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GOBERNACION QUINDIO 2018\PAGINA WEB\INSTRUMENTOS 2017 DEFINI PUBL\"/>
    </mc:Choice>
  </mc:AlternateContent>
  <bookViews>
    <workbookView xWindow="0" yWindow="0" windowWidth="6720" windowHeight="7380" tabRatio="571"/>
  </bookViews>
  <sheets>
    <sheet name="POAI 2017 " sheetId="7" r:id="rId1"/>
  </sheets>
  <definedNames>
    <definedName name="_1._Apoyo_con_equipos_para_la_seguridad_vial_Licenciamiento_de_software_para_comunicaciones">#REF!</definedName>
    <definedName name="CODIGO_DIVIPOLA">#REF!</definedName>
    <definedName name="DboREGISTRO_LEY_617">#REF!</definedName>
  </definedNames>
  <calcPr calcId="152511"/>
  <fileRecoveryPr autoRecover="0"/>
</workbook>
</file>

<file path=xl/calcChain.xml><?xml version="1.0" encoding="utf-8"?>
<calcChain xmlns="http://schemas.openxmlformats.org/spreadsheetml/2006/main">
  <c r="AD385" i="7" l="1"/>
  <c r="AJ371" i="7"/>
  <c r="AF385" i="7" l="1"/>
  <c r="AE371" i="7" l="1"/>
  <c r="K97" i="7" l="1"/>
  <c r="W615" i="7"/>
  <c r="AL128" i="7"/>
  <c r="AL130" i="7"/>
  <c r="AQ130" i="7" s="1"/>
  <c r="AL137" i="7"/>
  <c r="AL139" i="7"/>
  <c r="AQ139" i="7"/>
  <c r="S129" i="7"/>
  <c r="AQ129" i="7" s="1"/>
  <c r="S130" i="7"/>
  <c r="S131" i="7"/>
  <c r="AQ131" i="7"/>
  <c r="S132" i="7"/>
  <c r="AQ132" i="7" s="1"/>
  <c r="S136" i="7"/>
  <c r="AQ136" i="7"/>
  <c r="S137" i="7"/>
  <c r="S138" i="7"/>
  <c r="AQ10" i="7"/>
  <c r="AQ11" i="7"/>
  <c r="AQ12" i="7"/>
  <c r="AQ13" i="7"/>
  <c r="AQ14" i="7"/>
  <c r="AQ16" i="7"/>
  <c r="AQ17" i="7"/>
  <c r="AQ18" i="7"/>
  <c r="AQ28" i="7"/>
  <c r="AQ29" i="7"/>
  <c r="AQ32" i="7"/>
  <c r="AQ33" i="7" s="1"/>
  <c r="AL38" i="7"/>
  <c r="AQ38" i="7"/>
  <c r="AQ39" i="7" s="1"/>
  <c r="AQ40" i="7" s="1"/>
  <c r="AQ44" i="7"/>
  <c r="AQ45" i="7"/>
  <c r="AQ46" i="7"/>
  <c r="AQ47" i="7"/>
  <c r="AQ48" i="7"/>
  <c r="AQ49" i="7"/>
  <c r="AL50" i="7"/>
  <c r="AL51" i="7"/>
  <c r="AQ51" i="7"/>
  <c r="AL52" i="7"/>
  <c r="AQ53" i="7"/>
  <c r="AQ54" i="7"/>
  <c r="AL55" i="7"/>
  <c r="AQ55" i="7" s="1"/>
  <c r="AQ56" i="7"/>
  <c r="AL57" i="7"/>
  <c r="AQ57" i="7"/>
  <c r="AL58" i="7"/>
  <c r="AQ58" i="7" s="1"/>
  <c r="AQ59" i="7"/>
  <c r="AQ60" i="7"/>
  <c r="AL61" i="7"/>
  <c r="AQ61" i="7" s="1"/>
  <c r="AL71" i="7"/>
  <c r="AQ71" i="7"/>
  <c r="T72" i="7"/>
  <c r="AL72" i="7"/>
  <c r="T73" i="7"/>
  <c r="AO73" i="7"/>
  <c r="AO76" i="7" s="1"/>
  <c r="AO77" i="7" s="1"/>
  <c r="AO78" i="7"/>
  <c r="AO79" i="7" s="1"/>
  <c r="AL74" i="7"/>
  <c r="AQ74" i="7"/>
  <c r="AL75" i="7"/>
  <c r="AQ118" i="7"/>
  <c r="AQ119" i="7" s="1"/>
  <c r="AQ120" i="7" s="1"/>
  <c r="AK107" i="7"/>
  <c r="AQ107" i="7"/>
  <c r="AQ108" i="7"/>
  <c r="AQ109" i="7"/>
  <c r="AQ110" i="7"/>
  <c r="AQ111" i="7"/>
  <c r="AQ112" i="7"/>
  <c r="AQ91" i="7"/>
  <c r="AQ92" i="7"/>
  <c r="AQ93" i="7"/>
  <c r="AQ94" i="7"/>
  <c r="AQ95" i="7"/>
  <c r="AQ96" i="7"/>
  <c r="AL97" i="7"/>
  <c r="AQ97" i="7" s="1"/>
  <c r="AQ98" i="7"/>
  <c r="AQ99" i="7"/>
  <c r="AQ85" i="7"/>
  <c r="AQ86" i="7"/>
  <c r="AQ87" i="7"/>
  <c r="AL195" i="7"/>
  <c r="AL196" i="7" s="1"/>
  <c r="AL189" i="7"/>
  <c r="AQ189" i="7" s="1"/>
  <c r="AL190" i="7"/>
  <c r="AQ190" i="7"/>
  <c r="AQ191" i="7"/>
  <c r="AQ183" i="7"/>
  <c r="AQ184" i="7"/>
  <c r="AQ185" i="7"/>
  <c r="AQ174" i="7"/>
  <c r="AQ176" i="7" s="1"/>
  <c r="AQ175" i="7"/>
  <c r="AQ166" i="7"/>
  <c r="AQ167" i="7"/>
  <c r="AQ168" i="7"/>
  <c r="AQ169" i="7"/>
  <c r="AL170" i="7"/>
  <c r="AQ170" i="7"/>
  <c r="AQ159" i="7"/>
  <c r="AQ160" i="7"/>
  <c r="AQ153" i="7"/>
  <c r="AQ154" i="7"/>
  <c r="AQ155" i="7"/>
  <c r="AL145" i="7"/>
  <c r="AL146" i="7"/>
  <c r="AQ146" i="7"/>
  <c r="AQ147" i="7"/>
  <c r="AQ148" i="7"/>
  <c r="AL149" i="7"/>
  <c r="AQ149" i="7"/>
  <c r="AL226" i="7"/>
  <c r="AQ226" i="7" s="1"/>
  <c r="AL227" i="7"/>
  <c r="AN222" i="7"/>
  <c r="AQ222" i="7"/>
  <c r="AQ223" i="7" s="1"/>
  <c r="P216" i="7"/>
  <c r="AQ216" i="7" s="1"/>
  <c r="AQ217" i="7" s="1"/>
  <c r="AL212" i="7"/>
  <c r="AQ212" i="7" s="1"/>
  <c r="AQ213" i="7" s="1"/>
  <c r="P205" i="7"/>
  <c r="AQ205" i="7" s="1"/>
  <c r="AL206" i="7"/>
  <c r="AQ206" i="7" s="1"/>
  <c r="P207" i="7"/>
  <c r="AL207" i="7"/>
  <c r="P208" i="7"/>
  <c r="AL208" i="7"/>
  <c r="AL269" i="7"/>
  <c r="AL270" i="7" s="1"/>
  <c r="AN269" i="7"/>
  <c r="AN270" i="7"/>
  <c r="AL265" i="7"/>
  <c r="AL260" i="7"/>
  <c r="AQ260" i="7"/>
  <c r="AL261" i="7"/>
  <c r="AL252" i="7"/>
  <c r="AL253" i="7"/>
  <c r="AQ253" i="7"/>
  <c r="AL254" i="7"/>
  <c r="AQ254" i="7" s="1"/>
  <c r="AL245" i="7"/>
  <c r="AQ245" i="7"/>
  <c r="AL246" i="7"/>
  <c r="AL247" i="7"/>
  <c r="AQ247" i="7" s="1"/>
  <c r="AL248" i="7"/>
  <c r="AQ248" i="7" s="1"/>
  <c r="AL237" i="7"/>
  <c r="AQ237" i="7" s="1"/>
  <c r="AL238" i="7"/>
  <c r="AQ238" i="7" s="1"/>
  <c r="AL239" i="7"/>
  <c r="AQ239" i="7"/>
  <c r="AL240" i="7"/>
  <c r="AQ240" i="7" s="1"/>
  <c r="AL241" i="7"/>
  <c r="AQ241" i="7"/>
  <c r="AL339" i="7"/>
  <c r="AL340" i="7"/>
  <c r="AL341" i="7"/>
  <c r="AQ341" i="7"/>
  <c r="AL342" i="7"/>
  <c r="AQ342" i="7" s="1"/>
  <c r="AL343" i="7"/>
  <c r="AQ343" i="7" s="1"/>
  <c r="AL329" i="7"/>
  <c r="AQ329" i="7" s="1"/>
  <c r="AL330" i="7"/>
  <c r="AQ330" i="7" s="1"/>
  <c r="AQ332" i="7" s="1"/>
  <c r="AL331" i="7"/>
  <c r="AQ331" i="7" s="1"/>
  <c r="AL322" i="7"/>
  <c r="AL323" i="7"/>
  <c r="AQ323" i="7" s="1"/>
  <c r="AL324" i="7"/>
  <c r="AQ324" i="7"/>
  <c r="AL325" i="7"/>
  <c r="AQ325" i="7" s="1"/>
  <c r="AL313" i="7"/>
  <c r="AQ314" i="7"/>
  <c r="AQ315" i="7"/>
  <c r="AQ316" i="7"/>
  <c r="AQ317" i="7"/>
  <c r="AL318" i="7"/>
  <c r="AQ318" i="7"/>
  <c r="AL306" i="7"/>
  <c r="AQ307" i="7"/>
  <c r="AL308" i="7"/>
  <c r="AQ309" i="7"/>
  <c r="AQ293" i="7"/>
  <c r="AL294" i="7"/>
  <c r="AQ295" i="7"/>
  <c r="AL296" i="7"/>
  <c r="AQ296" i="7" s="1"/>
  <c r="AQ297" i="7"/>
  <c r="AQ298" i="7"/>
  <c r="AL288" i="7"/>
  <c r="AL289" i="7"/>
  <c r="AQ289" i="7" s="1"/>
  <c r="AQ279" i="7"/>
  <c r="AQ280" i="7"/>
  <c r="AQ281" i="7"/>
  <c r="AQ282" i="7"/>
  <c r="AL283" i="7"/>
  <c r="AL284" i="7"/>
  <c r="AQ284" i="7" s="1"/>
  <c r="AL360" i="7"/>
  <c r="AL353" i="7"/>
  <c r="AL354" i="7"/>
  <c r="AQ354" i="7"/>
  <c r="AQ466" i="7"/>
  <c r="AQ467" i="7" s="1"/>
  <c r="AQ468" i="7" s="1"/>
  <c r="AQ459" i="7"/>
  <c r="V460" i="7"/>
  <c r="AQ460" i="7"/>
  <c r="AQ455" i="7"/>
  <c r="AQ456" i="7" s="1"/>
  <c r="AQ451" i="7"/>
  <c r="AQ452" i="7" s="1"/>
  <c r="AQ446" i="7"/>
  <c r="AQ447" i="7"/>
  <c r="AQ436" i="7"/>
  <c r="AQ437" i="7"/>
  <c r="AQ438" i="7"/>
  <c r="AQ439" i="7"/>
  <c r="AQ440" i="7"/>
  <c r="V428" i="7"/>
  <c r="AQ428" i="7"/>
  <c r="V429" i="7"/>
  <c r="AQ429" i="7" s="1"/>
  <c r="AQ430" i="7"/>
  <c r="V431" i="7"/>
  <c r="AQ431" i="7" s="1"/>
  <c r="AQ432" i="7"/>
  <c r="AQ422" i="7"/>
  <c r="AQ423" i="7" s="1"/>
  <c r="AQ415" i="7"/>
  <c r="AQ416" i="7"/>
  <c r="AL417" i="7"/>
  <c r="AQ418" i="7"/>
  <c r="AQ402" i="7"/>
  <c r="AQ403" i="7"/>
  <c r="AQ404" i="7"/>
  <c r="AL405" i="7"/>
  <c r="AQ405" i="7" s="1"/>
  <c r="AQ406" i="7"/>
  <c r="V407" i="7"/>
  <c r="AQ407" i="7" s="1"/>
  <c r="AQ408" i="7"/>
  <c r="AQ409" i="7"/>
  <c r="AQ410" i="7"/>
  <c r="AQ411" i="7"/>
  <c r="AQ391" i="7"/>
  <c r="AQ392" i="7"/>
  <c r="AQ393" i="7"/>
  <c r="AQ394" i="7"/>
  <c r="AQ395" i="7"/>
  <c r="AQ396" i="7"/>
  <c r="AQ397" i="7"/>
  <c r="AQ398" i="7"/>
  <c r="AQ385" i="7"/>
  <c r="AQ386" i="7" s="1"/>
  <c r="AQ376" i="7"/>
  <c r="AQ377" i="7"/>
  <c r="AQ378" i="7"/>
  <c r="AQ379" i="7"/>
  <c r="AQ380" i="7"/>
  <c r="AQ381" i="7"/>
  <c r="AQ370" i="7"/>
  <c r="AQ371" i="7"/>
  <c r="AQ373" i="7" s="1"/>
  <c r="AQ372" i="7"/>
  <c r="AL529" i="7"/>
  <c r="AQ530" i="7"/>
  <c r="Q531" i="7"/>
  <c r="AQ531" i="7"/>
  <c r="Q532" i="7"/>
  <c r="AQ532" i="7" s="1"/>
  <c r="AL523" i="7"/>
  <c r="AL519" i="7"/>
  <c r="AL515" i="7"/>
  <c r="AQ515" i="7" s="1"/>
  <c r="AQ516" i="7" s="1"/>
  <c r="AL510" i="7"/>
  <c r="AQ510" i="7"/>
  <c r="AL511" i="7"/>
  <c r="AL505" i="7"/>
  <c r="AL506" i="7"/>
  <c r="AQ506" i="7"/>
  <c r="AQ499" i="7"/>
  <c r="AQ500" i="7" s="1"/>
  <c r="AL493" i="7"/>
  <c r="AQ494" i="7"/>
  <c r="AL495" i="7"/>
  <c r="AQ495" i="7" s="1"/>
  <c r="AL487" i="7"/>
  <c r="AQ488" i="7"/>
  <c r="AQ489" i="7"/>
  <c r="AL483" i="7"/>
  <c r="AQ483" i="7"/>
  <c r="AQ484" i="7" s="1"/>
  <c r="AL476" i="7"/>
  <c r="AQ477" i="7"/>
  <c r="AQ542" i="7"/>
  <c r="AQ543" i="7" s="1"/>
  <c r="AQ544" i="7" s="1"/>
  <c r="AQ545" i="7" s="1"/>
  <c r="AQ546" i="7" s="1"/>
  <c r="AQ670" i="7"/>
  <c r="AQ671" i="7"/>
  <c r="AQ672" i="7"/>
  <c r="AQ663" i="7"/>
  <c r="AQ664" i="7"/>
  <c r="AQ658" i="7"/>
  <c r="AQ659" i="7"/>
  <c r="AQ652" i="7"/>
  <c r="AQ653" i="7"/>
  <c r="AL654" i="7"/>
  <c r="AQ648" i="7"/>
  <c r="AQ649" i="7" s="1"/>
  <c r="AQ642" i="7"/>
  <c r="X643" i="7"/>
  <c r="X645" i="7" s="1"/>
  <c r="Y643" i="7"/>
  <c r="Y645" i="7" s="1"/>
  <c r="AQ644" i="7"/>
  <c r="AQ636" i="7"/>
  <c r="AQ637" i="7"/>
  <c r="AQ632" i="7"/>
  <c r="AQ633" i="7" s="1"/>
  <c r="AQ628" i="7"/>
  <c r="AQ629" i="7"/>
  <c r="W620" i="7"/>
  <c r="AQ620" i="7" s="1"/>
  <c r="AQ621" i="7"/>
  <c r="AQ622" i="7"/>
  <c r="AQ615" i="7"/>
  <c r="AQ616" i="7"/>
  <c r="AQ608" i="7"/>
  <c r="AQ609" i="7"/>
  <c r="AQ610" i="7"/>
  <c r="AQ611" i="7"/>
  <c r="AB602" i="7"/>
  <c r="AQ602" i="7"/>
  <c r="AQ603" i="7"/>
  <c r="AQ604" i="7"/>
  <c r="AQ597" i="7"/>
  <c r="AQ598" i="7"/>
  <c r="AQ592" i="7"/>
  <c r="AQ593" i="7"/>
  <c r="AQ584" i="7"/>
  <c r="AQ585" i="7"/>
  <c r="W586" i="7"/>
  <c r="W589" i="7" s="1"/>
  <c r="Z586" i="7"/>
  <c r="Z589" i="7"/>
  <c r="AQ587" i="7"/>
  <c r="AQ588" i="7"/>
  <c r="AQ578" i="7"/>
  <c r="AQ579" i="7"/>
  <c r="AQ580" i="7"/>
  <c r="AQ572" i="7"/>
  <c r="AQ573" i="7"/>
  <c r="AQ574" i="7"/>
  <c r="AQ565" i="7"/>
  <c r="AQ566" i="7"/>
  <c r="AQ567" i="7"/>
  <c r="AQ568" i="7"/>
  <c r="AQ560" i="7"/>
  <c r="AQ561" i="7"/>
  <c r="AQ552" i="7"/>
  <c r="AQ553" i="7"/>
  <c r="AQ554" i="7"/>
  <c r="AN717" i="7"/>
  <c r="AQ717" i="7" s="1"/>
  <c r="AQ718" i="7" s="1"/>
  <c r="AQ719" i="7" s="1"/>
  <c r="AQ711" i="7"/>
  <c r="AQ712" i="7" s="1"/>
  <c r="AL705" i="7"/>
  <c r="AQ706" i="7"/>
  <c r="AL707" i="7"/>
  <c r="AQ707" i="7" s="1"/>
  <c r="AM697" i="7"/>
  <c r="AL698" i="7"/>
  <c r="AM698" i="7"/>
  <c r="AQ698" i="7" s="1"/>
  <c r="AL699" i="7"/>
  <c r="AQ699" i="7" s="1"/>
  <c r="AL693" i="7"/>
  <c r="AM693" i="7"/>
  <c r="AQ689" i="7"/>
  <c r="AQ690" i="7" s="1"/>
  <c r="AA684" i="7"/>
  <c r="AA683" i="7" s="1"/>
  <c r="AL684" i="7"/>
  <c r="AL685" i="7"/>
  <c r="AQ685" i="7" s="1"/>
  <c r="R731" i="7"/>
  <c r="AN731" i="7"/>
  <c r="AN732" i="7"/>
  <c r="R733" i="7"/>
  <c r="AQ733" i="7" s="1"/>
  <c r="R734" i="7"/>
  <c r="AN734" i="7"/>
  <c r="AN735" i="7" s="1"/>
  <c r="AN727" i="7"/>
  <c r="AQ744" i="7"/>
  <c r="AQ745" i="7"/>
  <c r="AQ746" i="7"/>
  <c r="AQ747" i="7" s="1"/>
  <c r="AQ748" i="7" s="1"/>
  <c r="AP673" i="7"/>
  <c r="AP674" i="7" s="1"/>
  <c r="AP665" i="7"/>
  <c r="AP660" i="7"/>
  <c r="AP655" i="7"/>
  <c r="AP649" i="7"/>
  <c r="AP645" i="7"/>
  <c r="AP637" i="7"/>
  <c r="AP633" i="7"/>
  <c r="AP638" i="7" s="1"/>
  <c r="AP629" i="7"/>
  <c r="AP623" i="7"/>
  <c r="AP617" i="7"/>
  <c r="AP612" i="7"/>
  <c r="AP605" i="7"/>
  <c r="AP599" i="7"/>
  <c r="AP594" i="7"/>
  <c r="AP589" i="7"/>
  <c r="AP581" i="7"/>
  <c r="AP575" i="7"/>
  <c r="AP569" i="7"/>
  <c r="AP562" i="7"/>
  <c r="AP555" i="7"/>
  <c r="AP556" i="7"/>
  <c r="AP543" i="7"/>
  <c r="AP544" i="7"/>
  <c r="AP545" i="7" s="1"/>
  <c r="AP546" i="7" s="1"/>
  <c r="AP533" i="7"/>
  <c r="AP534" i="7"/>
  <c r="AP524" i="7"/>
  <c r="AP520" i="7"/>
  <c r="AP516" i="7"/>
  <c r="AP512" i="7"/>
  <c r="AP507" i="7"/>
  <c r="AP500" i="7"/>
  <c r="AP496" i="7"/>
  <c r="AP490" i="7"/>
  <c r="AP484" i="7"/>
  <c r="AP478" i="7"/>
  <c r="AP479" i="7" s="1"/>
  <c r="AP467" i="7"/>
  <c r="AP468" i="7" s="1"/>
  <c r="AP461" i="7"/>
  <c r="AP456" i="7"/>
  <c r="AP462" i="7" s="1"/>
  <c r="AP452" i="7"/>
  <c r="AP448" i="7"/>
  <c r="AP441" i="7"/>
  <c r="AP433" i="7"/>
  <c r="AP442" i="7" s="1"/>
  <c r="AP423" i="7"/>
  <c r="AP419" i="7"/>
  <c r="AP412" i="7"/>
  <c r="AP399" i="7"/>
  <c r="AP424" i="7" s="1"/>
  <c r="AP386" i="7"/>
  <c r="AP382" i="7"/>
  <c r="AP373" i="7"/>
  <c r="AP361" i="7"/>
  <c r="AP362" i="7" s="1"/>
  <c r="AP363" i="7" s="1"/>
  <c r="AP364" i="7" s="1"/>
  <c r="AP355" i="7"/>
  <c r="AP356" i="7"/>
  <c r="AP344" i="7"/>
  <c r="AP345" i="7" s="1"/>
  <c r="AP346" i="7" s="1"/>
  <c r="AP332" i="7"/>
  <c r="AP326" i="7"/>
  <c r="AP319" i="7"/>
  <c r="AP310" i="7"/>
  <c r="AP299" i="7"/>
  <c r="AP290" i="7"/>
  <c r="AP285" i="7"/>
  <c r="AP270" i="7"/>
  <c r="AP266" i="7"/>
  <c r="AP262" i="7"/>
  <c r="AP255" i="7"/>
  <c r="AP249" i="7"/>
  <c r="AP242" i="7"/>
  <c r="AP228" i="7"/>
  <c r="AP223" i="7"/>
  <c r="AP217" i="7"/>
  <c r="AP213" i="7"/>
  <c r="AP209" i="7"/>
  <c r="AP196" i="7"/>
  <c r="AP192" i="7"/>
  <c r="AP184" i="7"/>
  <c r="AP185" i="7" s="1"/>
  <c r="AP176" i="7"/>
  <c r="AP171" i="7"/>
  <c r="AP161" i="7"/>
  <c r="AP156" i="7"/>
  <c r="AP150" i="7"/>
  <c r="AP133" i="7"/>
  <c r="AP141" i="7"/>
  <c r="AP119" i="7"/>
  <c r="AP120" i="7"/>
  <c r="AP113" i="7"/>
  <c r="AP114" i="7"/>
  <c r="AP100" i="7"/>
  <c r="AP88" i="7"/>
  <c r="AP76" i="7"/>
  <c r="AP77" i="7"/>
  <c r="AP78" i="7" s="1"/>
  <c r="AP79" i="7" s="1"/>
  <c r="AP29" i="7"/>
  <c r="AP33" i="7"/>
  <c r="AP39" i="7"/>
  <c r="AP40" i="7"/>
  <c r="AP62" i="7"/>
  <c r="AP63" i="7"/>
  <c r="AP19" i="7"/>
  <c r="AP20" i="7"/>
  <c r="AP21" i="7" s="1"/>
  <c r="AP22" i="7" s="1"/>
  <c r="AP718" i="7"/>
  <c r="AP719" i="7"/>
  <c r="AP712" i="7"/>
  <c r="AP708" i="7"/>
  <c r="AP700" i="7"/>
  <c r="AP694" i="7"/>
  <c r="AP690" i="7"/>
  <c r="AP686" i="7"/>
  <c r="AP735" i="7"/>
  <c r="AP728" i="7"/>
  <c r="AP747" i="7"/>
  <c r="AP748" i="7"/>
  <c r="AP749" i="7"/>
  <c r="AP750" i="7"/>
  <c r="AO673" i="7"/>
  <c r="AO674" i="7"/>
  <c r="AO665" i="7"/>
  <c r="AO660" i="7"/>
  <c r="AO655" i="7"/>
  <c r="AO649" i="7"/>
  <c r="AO645" i="7"/>
  <c r="AO637" i="7"/>
  <c r="AO633" i="7"/>
  <c r="AO629" i="7"/>
  <c r="AO623" i="7"/>
  <c r="AO617" i="7"/>
  <c r="AO612" i="7"/>
  <c r="AO605" i="7"/>
  <c r="AO599" i="7"/>
  <c r="AO594" i="7"/>
  <c r="AO589" i="7"/>
  <c r="AO581" i="7"/>
  <c r="AO575" i="7"/>
  <c r="AO569" i="7"/>
  <c r="AO562" i="7"/>
  <c r="AO555" i="7"/>
  <c r="AO556" i="7"/>
  <c r="AO543" i="7"/>
  <c r="AO544" i="7" s="1"/>
  <c r="AO545" i="7" s="1"/>
  <c r="AO546" i="7" s="1"/>
  <c r="AO533" i="7"/>
  <c r="AO534" i="7" s="1"/>
  <c r="AO524" i="7"/>
  <c r="AO520" i="7"/>
  <c r="AO516" i="7"/>
  <c r="AO512" i="7"/>
  <c r="AO507" i="7"/>
  <c r="AO500" i="7"/>
  <c r="AO496" i="7"/>
  <c r="AO490" i="7"/>
  <c r="AO484" i="7"/>
  <c r="AO478" i="7"/>
  <c r="AO479" i="7" s="1"/>
  <c r="AO467" i="7"/>
  <c r="AO468" i="7" s="1"/>
  <c r="AO461" i="7"/>
  <c r="AO456" i="7"/>
  <c r="AO452" i="7"/>
  <c r="AO448" i="7"/>
  <c r="AO441" i="7"/>
  <c r="AO433" i="7"/>
  <c r="AO423" i="7"/>
  <c r="AO419" i="7"/>
  <c r="AO412" i="7"/>
  <c r="AO399" i="7"/>
  <c r="AO386" i="7"/>
  <c r="AO382" i="7"/>
  <c r="AO373" i="7"/>
  <c r="AO361" i="7"/>
  <c r="AO362" i="7" s="1"/>
  <c r="AO355" i="7"/>
  <c r="AO356" i="7" s="1"/>
  <c r="AO344" i="7"/>
  <c r="AO345" i="7" s="1"/>
  <c r="AO346" i="7" s="1"/>
  <c r="AO332" i="7"/>
  <c r="AO326" i="7"/>
  <c r="AO333" i="7" s="1"/>
  <c r="AO334" i="7" s="1"/>
  <c r="AO319" i="7"/>
  <c r="AO310" i="7"/>
  <c r="AO299" i="7"/>
  <c r="AO290" i="7"/>
  <c r="AO300" i="7" s="1"/>
  <c r="AO301" i="7" s="1"/>
  <c r="AO285" i="7"/>
  <c r="AO270" i="7"/>
  <c r="AO266" i="7"/>
  <c r="AO262" i="7"/>
  <c r="AO255" i="7"/>
  <c r="AO249" i="7"/>
  <c r="AO242" i="7"/>
  <c r="AO228" i="7"/>
  <c r="AO229" i="7" s="1"/>
  <c r="AO223" i="7"/>
  <c r="AO217" i="7"/>
  <c r="AO213" i="7"/>
  <c r="AO209" i="7"/>
  <c r="AO218" i="7" s="1"/>
  <c r="AO196" i="7"/>
  <c r="AO192" i="7"/>
  <c r="AO184" i="7"/>
  <c r="AO185" i="7"/>
  <c r="AO176" i="7"/>
  <c r="AO171" i="7"/>
  <c r="AO161" i="7"/>
  <c r="AO156" i="7"/>
  <c r="AO162" i="7" s="1"/>
  <c r="AO150" i="7"/>
  <c r="AO133" i="7"/>
  <c r="AO141" i="7"/>
  <c r="AO119" i="7"/>
  <c r="AO120" i="7" s="1"/>
  <c r="AO113" i="7"/>
  <c r="AO114" i="7"/>
  <c r="AO100" i="7"/>
  <c r="AO88" i="7"/>
  <c r="AO29" i="7"/>
  <c r="AO33" i="7"/>
  <c r="AO39" i="7"/>
  <c r="AO40" i="7" s="1"/>
  <c r="AO62" i="7"/>
  <c r="AO63" i="7" s="1"/>
  <c r="AO19" i="7"/>
  <c r="AO20" i="7" s="1"/>
  <c r="AO21" i="7" s="1"/>
  <c r="AO22" i="7" s="1"/>
  <c r="AO718" i="7"/>
  <c r="AO719" i="7" s="1"/>
  <c r="AO712" i="7"/>
  <c r="AO708" i="7"/>
  <c r="AO700" i="7"/>
  <c r="AO694" i="7"/>
  <c r="AO690" i="7"/>
  <c r="AO686" i="7"/>
  <c r="AO735" i="7"/>
  <c r="AO728" i="7"/>
  <c r="AO747" i="7"/>
  <c r="AO748" i="7" s="1"/>
  <c r="AO749" i="7" s="1"/>
  <c r="AO750" i="7" s="1"/>
  <c r="AN673" i="7"/>
  <c r="AN674" i="7"/>
  <c r="AN665" i="7"/>
  <c r="AN660" i="7"/>
  <c r="AN655" i="7"/>
  <c r="AN649" i="7"/>
  <c r="AN645" i="7"/>
  <c r="AN637" i="7"/>
  <c r="AN633" i="7"/>
  <c r="AN629" i="7"/>
  <c r="AN623" i="7"/>
  <c r="AN617" i="7"/>
  <c r="AN612" i="7"/>
  <c r="AN605" i="7"/>
  <c r="AN599" i="7"/>
  <c r="AN594" i="7"/>
  <c r="AN589" i="7"/>
  <c r="AN581" i="7"/>
  <c r="AN575" i="7"/>
  <c r="AN569" i="7"/>
  <c r="AN562" i="7"/>
  <c r="AN555" i="7"/>
  <c r="AN556" i="7"/>
  <c r="AN543" i="7"/>
  <c r="AN544" i="7"/>
  <c r="AN545" i="7"/>
  <c r="AN546" i="7"/>
  <c r="AN533" i="7"/>
  <c r="AN534" i="7"/>
  <c r="AN524" i="7"/>
  <c r="AN520" i="7"/>
  <c r="AN516" i="7"/>
  <c r="AN512" i="7"/>
  <c r="AN507" i="7"/>
  <c r="AN500" i="7"/>
  <c r="AN496" i="7"/>
  <c r="AN490" i="7"/>
  <c r="AN484" i="7"/>
  <c r="AN478" i="7"/>
  <c r="AN479" i="7" s="1"/>
  <c r="AN467" i="7"/>
  <c r="AN468" i="7"/>
  <c r="AN461" i="7"/>
  <c r="AN456" i="7"/>
  <c r="AN452" i="7"/>
  <c r="AN448" i="7"/>
  <c r="AN441" i="7"/>
  <c r="AN433" i="7"/>
  <c r="AN423" i="7"/>
  <c r="AN419" i="7"/>
  <c r="AN412" i="7"/>
  <c r="AN399" i="7"/>
  <c r="AN386" i="7"/>
  <c r="AN382" i="7"/>
  <c r="AN373" i="7"/>
  <c r="AN387" i="7" s="1"/>
  <c r="AN361" i="7"/>
  <c r="AN362" i="7" s="1"/>
  <c r="AN355" i="7"/>
  <c r="AN356" i="7" s="1"/>
  <c r="AN344" i="7"/>
  <c r="AN345" i="7"/>
  <c r="AN346" i="7" s="1"/>
  <c r="AN332" i="7"/>
  <c r="AN326" i="7"/>
  <c r="AN319" i="7"/>
  <c r="AN310" i="7"/>
  <c r="AN299" i="7"/>
  <c r="AN290" i="7"/>
  <c r="AN285" i="7"/>
  <c r="AN266" i="7"/>
  <c r="AN262" i="7"/>
  <c r="AN255" i="7"/>
  <c r="AN249" i="7"/>
  <c r="AN242" i="7"/>
  <c r="AN228" i="7"/>
  <c r="AN217" i="7"/>
  <c r="AN213" i="7"/>
  <c r="AN209" i="7"/>
  <c r="AN196" i="7"/>
  <c r="AN192" i="7"/>
  <c r="AN184" i="7"/>
  <c r="AN185" i="7" s="1"/>
  <c r="AN176" i="7"/>
  <c r="AN171" i="7"/>
  <c r="AN161" i="7"/>
  <c r="AN156" i="7"/>
  <c r="AN150" i="7"/>
  <c r="AN133" i="7"/>
  <c r="AN141" i="7"/>
  <c r="AN119" i="7"/>
  <c r="AN120" i="7" s="1"/>
  <c r="AN113" i="7"/>
  <c r="AN114" i="7"/>
  <c r="AN100" i="7"/>
  <c r="AN101" i="7" s="1"/>
  <c r="AN102" i="7" s="1"/>
  <c r="AN88" i="7"/>
  <c r="AN76" i="7"/>
  <c r="AN77" i="7"/>
  <c r="AN78" i="7"/>
  <c r="AN79" i="7" s="1"/>
  <c r="AN29" i="7"/>
  <c r="AN33" i="7"/>
  <c r="AN39" i="7"/>
  <c r="AN40" i="7" s="1"/>
  <c r="AN62" i="7"/>
  <c r="AN63" i="7" s="1"/>
  <c r="AN19" i="7"/>
  <c r="AN20" i="7" s="1"/>
  <c r="AN21" i="7" s="1"/>
  <c r="AN22" i="7" s="1"/>
  <c r="AN712" i="7"/>
  <c r="AN708" i="7"/>
  <c r="AN700" i="7"/>
  <c r="AN694" i="7"/>
  <c r="AN690" i="7"/>
  <c r="AN686" i="7"/>
  <c r="AN747" i="7"/>
  <c r="AN748" i="7"/>
  <c r="AN749" i="7"/>
  <c r="AN750" i="7" s="1"/>
  <c r="AM673" i="7"/>
  <c r="AM674" i="7" s="1"/>
  <c r="AM665" i="7"/>
  <c r="AM660" i="7"/>
  <c r="AM655" i="7"/>
  <c r="AM649" i="7"/>
  <c r="AM645" i="7"/>
  <c r="AM637" i="7"/>
  <c r="AM633" i="7"/>
  <c r="AM623" i="7"/>
  <c r="AM617" i="7"/>
  <c r="AM612" i="7"/>
  <c r="AM605" i="7"/>
  <c r="AM599" i="7"/>
  <c r="AM594" i="7"/>
  <c r="AM589" i="7"/>
  <c r="AM581" i="7"/>
  <c r="AM575" i="7"/>
  <c r="AM569" i="7"/>
  <c r="AM562" i="7"/>
  <c r="AM555" i="7"/>
  <c r="AM556" i="7" s="1"/>
  <c r="AM543" i="7"/>
  <c r="AM544" i="7" s="1"/>
  <c r="AM545" i="7" s="1"/>
  <c r="AM546" i="7" s="1"/>
  <c r="AM533" i="7"/>
  <c r="AM534" i="7" s="1"/>
  <c r="AM524" i="7"/>
  <c r="AM520" i="7"/>
  <c r="AM516" i="7"/>
  <c r="AM512" i="7"/>
  <c r="AM507" i="7"/>
  <c r="AM500" i="7"/>
  <c r="AM496" i="7"/>
  <c r="AM490" i="7"/>
  <c r="AM484" i="7"/>
  <c r="AM478" i="7"/>
  <c r="AM479" i="7"/>
  <c r="AM467" i="7"/>
  <c r="AM468" i="7" s="1"/>
  <c r="AM461" i="7"/>
  <c r="AM456" i="7"/>
  <c r="AM452" i="7"/>
  <c r="AM448" i="7"/>
  <c r="AM441" i="7"/>
  <c r="AM433" i="7"/>
  <c r="AM423" i="7"/>
  <c r="AM419" i="7"/>
  <c r="AM412" i="7"/>
  <c r="AM399" i="7"/>
  <c r="AM386" i="7"/>
  <c r="AM382" i="7"/>
  <c r="AM373" i="7"/>
  <c r="AM361" i="7"/>
  <c r="AM362" i="7"/>
  <c r="AM355" i="7"/>
  <c r="AM356" i="7"/>
  <c r="AM344" i="7"/>
  <c r="AM345" i="7"/>
  <c r="AM346" i="7" s="1"/>
  <c r="AM332" i="7"/>
  <c r="AM326" i="7"/>
  <c r="AM319" i="7"/>
  <c r="AM310" i="7"/>
  <c r="AM299" i="7"/>
  <c r="AM290" i="7"/>
  <c r="AM285" i="7"/>
  <c r="AM270" i="7"/>
  <c r="AM266" i="7"/>
  <c r="AM262" i="7"/>
  <c r="AM255" i="7"/>
  <c r="AM249" i="7"/>
  <c r="AM242" i="7"/>
  <c r="AM228" i="7"/>
  <c r="AM223" i="7"/>
  <c r="AM217" i="7"/>
  <c r="AM213" i="7"/>
  <c r="AM209" i="7"/>
  <c r="AM196" i="7"/>
  <c r="AM192" i="7"/>
  <c r="AM184" i="7"/>
  <c r="AM185" i="7"/>
  <c r="AM176" i="7"/>
  <c r="AM171" i="7"/>
  <c r="AM161" i="7"/>
  <c r="AM156" i="7"/>
  <c r="AM150" i="7"/>
  <c r="AM133" i="7"/>
  <c r="AM141" i="7"/>
  <c r="AM119" i="7"/>
  <c r="AM120" i="7" s="1"/>
  <c r="AM113" i="7"/>
  <c r="AM114" i="7"/>
  <c r="AM100" i="7"/>
  <c r="AM88" i="7"/>
  <c r="AM76" i="7"/>
  <c r="AM77" i="7"/>
  <c r="AM78" i="7"/>
  <c r="AM79" i="7" s="1"/>
  <c r="AM29" i="7"/>
  <c r="AM33" i="7"/>
  <c r="AM39" i="7"/>
  <c r="AM40" i="7" s="1"/>
  <c r="AM62" i="7"/>
  <c r="AM63" i="7"/>
  <c r="AM19" i="7"/>
  <c r="AM20" i="7" s="1"/>
  <c r="AM21" i="7" s="1"/>
  <c r="AM22" i="7" s="1"/>
  <c r="AM718" i="7"/>
  <c r="AM719" i="7" s="1"/>
  <c r="AM712" i="7"/>
  <c r="AM708" i="7"/>
  <c r="AM690" i="7"/>
  <c r="AM686" i="7"/>
  <c r="AM735" i="7"/>
  <c r="AM728" i="7"/>
  <c r="AM747" i="7"/>
  <c r="AM748" i="7" s="1"/>
  <c r="AM749" i="7" s="1"/>
  <c r="AM750" i="7" s="1"/>
  <c r="AL673" i="7"/>
  <c r="AL674" i="7" s="1"/>
  <c r="AL665" i="7"/>
  <c r="AL660" i="7"/>
  <c r="AL649" i="7"/>
  <c r="AL645" i="7"/>
  <c r="AL637" i="7"/>
  <c r="AL633" i="7"/>
  <c r="AL629" i="7"/>
  <c r="AL623" i="7"/>
  <c r="AL617" i="7"/>
  <c r="AL612" i="7"/>
  <c r="AL605" i="7"/>
  <c r="AL599" i="7"/>
  <c r="AL594" i="7"/>
  <c r="AL589" i="7"/>
  <c r="AL581" i="7"/>
  <c r="AL575" i="7"/>
  <c r="AL569" i="7"/>
  <c r="AL562" i="7"/>
  <c r="AL555" i="7"/>
  <c r="AL556" i="7" s="1"/>
  <c r="AL543" i="7"/>
  <c r="AL544" i="7"/>
  <c r="AL545" i="7"/>
  <c r="AL546" i="7" s="1"/>
  <c r="AL500" i="7"/>
  <c r="AL467" i="7"/>
  <c r="AL468" i="7"/>
  <c r="AL461" i="7"/>
  <c r="AL456" i="7"/>
  <c r="AL452" i="7"/>
  <c r="AL448" i="7"/>
  <c r="AL441" i="7"/>
  <c r="AL433" i="7"/>
  <c r="AL423" i="7"/>
  <c r="AL412" i="7"/>
  <c r="AL399" i="7"/>
  <c r="AL386" i="7"/>
  <c r="AL382" i="7"/>
  <c r="AL373" i="7"/>
  <c r="AL223" i="7"/>
  <c r="AL217" i="7"/>
  <c r="AL184" i="7"/>
  <c r="AL185" i="7"/>
  <c r="AL176" i="7"/>
  <c r="AL161" i="7"/>
  <c r="AL156" i="7"/>
  <c r="AL119" i="7"/>
  <c r="AL120" i="7" s="1"/>
  <c r="AL113" i="7"/>
  <c r="AL114" i="7" s="1"/>
  <c r="AL88" i="7"/>
  <c r="AL29" i="7"/>
  <c r="AL33" i="7"/>
  <c r="AL718" i="7"/>
  <c r="AL719" i="7"/>
  <c r="AL712" i="7"/>
  <c r="AL690" i="7"/>
  <c r="AL735" i="7"/>
  <c r="AL728" i="7"/>
  <c r="AL747" i="7"/>
  <c r="AL748" i="7" s="1"/>
  <c r="AL749" i="7" s="1"/>
  <c r="AL750" i="7"/>
  <c r="AK673" i="7"/>
  <c r="AK674" i="7" s="1"/>
  <c r="AK665" i="7"/>
  <c r="AK660" i="7"/>
  <c r="AK655" i="7"/>
  <c r="AK666" i="7" s="1"/>
  <c r="AK649" i="7"/>
  <c r="AK645" i="7"/>
  <c r="AK637" i="7"/>
  <c r="AK633" i="7"/>
  <c r="AK638" i="7" s="1"/>
  <c r="AK629" i="7"/>
  <c r="AK623" i="7"/>
  <c r="AK617" i="7"/>
  <c r="AK612" i="7"/>
  <c r="AK605" i="7"/>
  <c r="AK599" i="7"/>
  <c r="AK594" i="7"/>
  <c r="AK589" i="7"/>
  <c r="AK581" i="7"/>
  <c r="AK575" i="7"/>
  <c r="AK569" i="7"/>
  <c r="AK562" i="7"/>
  <c r="AK555" i="7"/>
  <c r="AK556" i="7" s="1"/>
  <c r="AK543" i="7"/>
  <c r="AK544" i="7"/>
  <c r="AK545" i="7" s="1"/>
  <c r="AK546" i="7" s="1"/>
  <c r="AK533" i="7"/>
  <c r="AK534" i="7" s="1"/>
  <c r="AK524" i="7"/>
  <c r="AK520" i="7"/>
  <c r="AK516" i="7"/>
  <c r="AK512" i="7"/>
  <c r="AK507" i="7"/>
  <c r="AK500" i="7"/>
  <c r="AK496" i="7"/>
  <c r="AK490" i="7"/>
  <c r="AK484" i="7"/>
  <c r="AK478" i="7"/>
  <c r="AK479" i="7" s="1"/>
  <c r="AK467" i="7"/>
  <c r="AK468" i="7" s="1"/>
  <c r="AK461" i="7"/>
  <c r="AK456" i="7"/>
  <c r="AK462" i="7" s="1"/>
  <c r="AK452" i="7"/>
  <c r="AK448" i="7"/>
  <c r="AK441" i="7"/>
  <c r="AK433" i="7"/>
  <c r="AK442" i="7" s="1"/>
  <c r="AK423" i="7"/>
  <c r="AK419" i="7"/>
  <c r="AK412" i="7"/>
  <c r="AK399" i="7"/>
  <c r="AK424" i="7" s="1"/>
  <c r="AK386" i="7"/>
  <c r="AK382" i="7"/>
  <c r="AK373" i="7"/>
  <c r="AK361" i="7"/>
  <c r="AK362" i="7" s="1"/>
  <c r="AK363" i="7" s="1"/>
  <c r="AK355" i="7"/>
  <c r="AK356" i="7"/>
  <c r="AK344" i="7"/>
  <c r="AK345" i="7" s="1"/>
  <c r="AK346" i="7" s="1"/>
  <c r="AK332" i="7"/>
  <c r="AK326" i="7"/>
  <c r="AK319" i="7"/>
  <c r="AK310" i="7"/>
  <c r="AK299" i="7"/>
  <c r="AK290" i="7"/>
  <c r="AK285" i="7"/>
  <c r="AK270" i="7"/>
  <c r="AK266" i="7"/>
  <c r="AK262" i="7"/>
  <c r="AK255" i="7"/>
  <c r="AK249" i="7"/>
  <c r="AK242" i="7"/>
  <c r="AK228" i="7"/>
  <c r="AK223" i="7"/>
  <c r="AK217" i="7"/>
  <c r="AK213" i="7"/>
  <c r="AK209" i="7"/>
  <c r="AK196" i="7"/>
  <c r="AK192" i="7"/>
  <c r="AK184" i="7"/>
  <c r="AK185" i="7" s="1"/>
  <c r="AK176" i="7"/>
  <c r="AK171" i="7"/>
  <c r="AK161" i="7"/>
  <c r="AK156" i="7"/>
  <c r="AK150" i="7"/>
  <c r="AK133" i="7"/>
  <c r="AK141" i="7"/>
  <c r="AK119" i="7"/>
  <c r="AK120" i="7"/>
  <c r="AK100" i="7"/>
  <c r="AK88" i="7"/>
  <c r="AK76" i="7"/>
  <c r="AK77" i="7"/>
  <c r="AK78" i="7" s="1"/>
  <c r="AK79" i="7" s="1"/>
  <c r="AK29" i="7"/>
  <c r="AK33" i="7"/>
  <c r="AK39" i="7"/>
  <c r="AK40" i="7"/>
  <c r="AK62" i="7"/>
  <c r="AK63" i="7"/>
  <c r="AK19" i="7"/>
  <c r="AK20" i="7"/>
  <c r="AK21" i="7"/>
  <c r="AK22" i="7"/>
  <c r="AK718" i="7"/>
  <c r="AK719" i="7"/>
  <c r="AK712" i="7"/>
  <c r="AK708" i="7"/>
  <c r="AK700" i="7"/>
  <c r="AK694" i="7"/>
  <c r="AK690" i="7"/>
  <c r="AK686" i="7"/>
  <c r="AK735" i="7"/>
  <c r="AK728" i="7"/>
  <c r="AK747" i="7"/>
  <c r="AK748" i="7"/>
  <c r="AK749" i="7" s="1"/>
  <c r="AK750" i="7" s="1"/>
  <c r="AJ673" i="7"/>
  <c r="AJ674" i="7"/>
  <c r="AJ665" i="7"/>
  <c r="AJ660" i="7"/>
  <c r="AJ655" i="7"/>
  <c r="AJ649" i="7"/>
  <c r="AJ645" i="7"/>
  <c r="AJ637" i="7"/>
  <c r="AJ633" i="7"/>
  <c r="AJ629" i="7"/>
  <c r="AJ623" i="7"/>
  <c r="AJ617" i="7"/>
  <c r="AJ612" i="7"/>
  <c r="AJ605" i="7"/>
  <c r="AJ599" i="7"/>
  <c r="AJ594" i="7"/>
  <c r="AJ589" i="7"/>
  <c r="AJ581" i="7"/>
  <c r="AJ575" i="7"/>
  <c r="AJ569" i="7"/>
  <c r="AJ562" i="7"/>
  <c r="AJ555" i="7"/>
  <c r="AJ556" i="7" s="1"/>
  <c r="AJ543" i="7"/>
  <c r="AJ544" i="7"/>
  <c r="AJ545" i="7" s="1"/>
  <c r="AJ546" i="7" s="1"/>
  <c r="AJ533" i="7"/>
  <c r="AJ534" i="7"/>
  <c r="AJ524" i="7"/>
  <c r="AJ520" i="7"/>
  <c r="AJ516" i="7"/>
  <c r="AJ512" i="7"/>
  <c r="AJ507" i="7"/>
  <c r="AJ500" i="7"/>
  <c r="AJ496" i="7"/>
  <c r="AJ490" i="7"/>
  <c r="AJ484" i="7"/>
  <c r="AJ478" i="7"/>
  <c r="AJ479" i="7" s="1"/>
  <c r="AJ467" i="7"/>
  <c r="AJ468" i="7"/>
  <c r="AJ461" i="7"/>
  <c r="AJ456" i="7"/>
  <c r="AJ452" i="7"/>
  <c r="AJ448" i="7"/>
  <c r="AJ441" i="7"/>
  <c r="AJ433" i="7"/>
  <c r="AJ423" i="7"/>
  <c r="AJ419" i="7"/>
  <c r="AJ412" i="7"/>
  <c r="AJ399" i="7"/>
  <c r="AJ386" i="7"/>
  <c r="AJ382" i="7"/>
  <c r="AJ373" i="7"/>
  <c r="AJ387" i="7" s="1"/>
  <c r="AJ361" i="7"/>
  <c r="AJ362" i="7" s="1"/>
  <c r="AJ355" i="7"/>
  <c r="AJ356" i="7" s="1"/>
  <c r="AJ344" i="7"/>
  <c r="AJ345" i="7" s="1"/>
  <c r="AJ346" i="7" s="1"/>
  <c r="AJ332" i="7"/>
  <c r="AJ326" i="7"/>
  <c r="AJ319" i="7"/>
  <c r="AJ310" i="7"/>
  <c r="AJ299" i="7"/>
  <c r="AJ290" i="7"/>
  <c r="AJ285" i="7"/>
  <c r="AJ270" i="7"/>
  <c r="AJ266" i="7"/>
  <c r="AJ262" i="7"/>
  <c r="AJ255" i="7"/>
  <c r="AJ256" i="7" s="1"/>
  <c r="AJ249" i="7"/>
  <c r="AJ242" i="7"/>
  <c r="AJ228" i="7"/>
  <c r="AJ223" i="7"/>
  <c r="AJ217" i="7"/>
  <c r="AJ213" i="7"/>
  <c r="AJ209" i="7"/>
  <c r="AJ196" i="7"/>
  <c r="AJ197" i="7" s="1"/>
  <c r="AJ192" i="7"/>
  <c r="AJ184" i="7"/>
  <c r="AJ185" i="7"/>
  <c r="AJ176" i="7"/>
  <c r="AJ177" i="7" s="1"/>
  <c r="AJ171" i="7"/>
  <c r="AJ161" i="7"/>
  <c r="AJ156" i="7"/>
  <c r="AJ150" i="7"/>
  <c r="AJ133" i="7"/>
  <c r="AJ141" i="7" s="1"/>
  <c r="AJ119" i="7"/>
  <c r="AJ120" i="7"/>
  <c r="AJ113" i="7"/>
  <c r="AJ114" i="7" s="1"/>
  <c r="AJ100" i="7"/>
  <c r="AJ88" i="7"/>
  <c r="AJ76" i="7"/>
  <c r="AJ77" i="7" s="1"/>
  <c r="AJ78" i="7" s="1"/>
  <c r="AJ79" i="7" s="1"/>
  <c r="AJ29" i="7"/>
  <c r="AJ33" i="7"/>
  <c r="AJ39" i="7"/>
  <c r="AJ40" i="7" s="1"/>
  <c r="AJ62" i="7"/>
  <c r="AJ63" i="7" s="1"/>
  <c r="AJ19" i="7"/>
  <c r="AJ20" i="7"/>
  <c r="AJ21" i="7" s="1"/>
  <c r="AJ22" i="7" s="1"/>
  <c r="AJ718" i="7"/>
  <c r="AJ719" i="7" s="1"/>
  <c r="AJ712" i="7"/>
  <c r="AJ708" i="7"/>
  <c r="AJ700" i="7"/>
  <c r="AJ694" i="7"/>
  <c r="AJ690" i="7"/>
  <c r="AJ686" i="7"/>
  <c r="AJ735" i="7"/>
  <c r="AJ728" i="7"/>
  <c r="AJ747" i="7"/>
  <c r="AJ748" i="7" s="1"/>
  <c r="AJ749" i="7" s="1"/>
  <c r="AJ750" i="7"/>
  <c r="AI673" i="7"/>
  <c r="AI674" i="7" s="1"/>
  <c r="AI665" i="7"/>
  <c r="AI660" i="7"/>
  <c r="AI655" i="7"/>
  <c r="AI666" i="7" s="1"/>
  <c r="AI649" i="7"/>
  <c r="AI645" i="7"/>
  <c r="AI637" i="7"/>
  <c r="AI633" i="7"/>
  <c r="AI638" i="7" s="1"/>
  <c r="AI629" i="7"/>
  <c r="AI623" i="7"/>
  <c r="AI617" i="7"/>
  <c r="AI612" i="7"/>
  <c r="AI605" i="7"/>
  <c r="AI599" i="7"/>
  <c r="AI594" i="7"/>
  <c r="AI589" i="7"/>
  <c r="AI581" i="7"/>
  <c r="AI575" i="7"/>
  <c r="AI569" i="7"/>
  <c r="AI562" i="7"/>
  <c r="AI555" i="7"/>
  <c r="AI556" i="7" s="1"/>
  <c r="AI543" i="7"/>
  <c r="AI544" i="7"/>
  <c r="AI545" i="7" s="1"/>
  <c r="AI546" i="7" s="1"/>
  <c r="AI533" i="7"/>
  <c r="AI534" i="7" s="1"/>
  <c r="AI524" i="7"/>
  <c r="AI520" i="7"/>
  <c r="AI516" i="7"/>
  <c r="AI512" i="7"/>
  <c r="AI507" i="7"/>
  <c r="AI500" i="7"/>
  <c r="AI496" i="7"/>
  <c r="AI490" i="7"/>
  <c r="AI484" i="7"/>
  <c r="AI478" i="7"/>
  <c r="AI479" i="7" s="1"/>
  <c r="AI467" i="7"/>
  <c r="AI468" i="7" s="1"/>
  <c r="AI461" i="7"/>
  <c r="AI456" i="7"/>
  <c r="AI452" i="7"/>
  <c r="AI448" i="7"/>
  <c r="AI441" i="7"/>
  <c r="AI433" i="7"/>
  <c r="AI423" i="7"/>
  <c r="AI419" i="7"/>
  <c r="AI412" i="7"/>
  <c r="AI399" i="7"/>
  <c r="AI386" i="7"/>
  <c r="AI382" i="7"/>
  <c r="AI373" i="7"/>
  <c r="AI361" i="7"/>
  <c r="AI362" i="7" s="1"/>
  <c r="AI363" i="7" s="1"/>
  <c r="AI364" i="7" s="1"/>
  <c r="AI355" i="7"/>
  <c r="AI356" i="7"/>
  <c r="AI344" i="7"/>
  <c r="AI345" i="7" s="1"/>
  <c r="AI346" i="7" s="1"/>
  <c r="AI332" i="7"/>
  <c r="AI326" i="7"/>
  <c r="AI319" i="7"/>
  <c r="AI310" i="7"/>
  <c r="AI299" i="7"/>
  <c r="AI290" i="7"/>
  <c r="AI285" i="7"/>
  <c r="AI270" i="7"/>
  <c r="AI266" i="7"/>
  <c r="AI262" i="7"/>
  <c r="AI255" i="7"/>
  <c r="AI249" i="7"/>
  <c r="AI242" i="7"/>
  <c r="AI228" i="7"/>
  <c r="AI223" i="7"/>
  <c r="AI217" i="7"/>
  <c r="AI213" i="7"/>
  <c r="AI209" i="7"/>
  <c r="AI196" i="7"/>
  <c r="AI192" i="7"/>
  <c r="AI184" i="7"/>
  <c r="AI185" i="7" s="1"/>
  <c r="AI176" i="7"/>
  <c r="AI171" i="7"/>
  <c r="AI161" i="7"/>
  <c r="AI156" i="7"/>
  <c r="AI150" i="7"/>
  <c r="AI133" i="7"/>
  <c r="AI141" i="7"/>
  <c r="AI119" i="7"/>
  <c r="AI120" i="7"/>
  <c r="AI113" i="7"/>
  <c r="AI114" i="7"/>
  <c r="AI100" i="7"/>
  <c r="AI88" i="7"/>
  <c r="AI76" i="7"/>
  <c r="AI77" i="7"/>
  <c r="AI78" i="7" s="1"/>
  <c r="AI79" i="7" s="1"/>
  <c r="AI29" i="7"/>
  <c r="AI33" i="7"/>
  <c r="AI39" i="7"/>
  <c r="AI40" i="7"/>
  <c r="AI62" i="7"/>
  <c r="AI63" i="7" s="1"/>
  <c r="AI19" i="7"/>
  <c r="AI20" i="7"/>
  <c r="AI21" i="7" s="1"/>
  <c r="AI22" i="7" s="1"/>
  <c r="AI718" i="7"/>
  <c r="AI719" i="7" s="1"/>
  <c r="AI712" i="7"/>
  <c r="AI708" i="7"/>
  <c r="AI700" i="7"/>
  <c r="AI694" i="7"/>
  <c r="AI690" i="7"/>
  <c r="AI686" i="7"/>
  <c r="AI735" i="7"/>
  <c r="AI728" i="7"/>
  <c r="AI747" i="7"/>
  <c r="AI748" i="7"/>
  <c r="AI749" i="7"/>
  <c r="AI750" i="7" s="1"/>
  <c r="AH673" i="7"/>
  <c r="AH674" i="7" s="1"/>
  <c r="AH665" i="7"/>
  <c r="AH660" i="7"/>
  <c r="AH655" i="7"/>
  <c r="AH649" i="7"/>
  <c r="AH645" i="7"/>
  <c r="AH637" i="7"/>
  <c r="AH633" i="7"/>
  <c r="AH629" i="7"/>
  <c r="AH623" i="7"/>
  <c r="AH617" i="7"/>
  <c r="AH612" i="7"/>
  <c r="AH605" i="7"/>
  <c r="AH599" i="7"/>
  <c r="AH594" i="7"/>
  <c r="AH589" i="7"/>
  <c r="AH581" i="7"/>
  <c r="AH575" i="7"/>
  <c r="AH569" i="7"/>
  <c r="AH562" i="7"/>
  <c r="AH555" i="7"/>
  <c r="AH556" i="7"/>
  <c r="AH543" i="7"/>
  <c r="AH544" i="7" s="1"/>
  <c r="AH545" i="7" s="1"/>
  <c r="AH546" i="7" s="1"/>
  <c r="AH533" i="7"/>
  <c r="AH534" i="7" s="1"/>
  <c r="AH524" i="7"/>
  <c r="AH520" i="7"/>
  <c r="AH516" i="7"/>
  <c r="AH512" i="7"/>
  <c r="AH507" i="7"/>
  <c r="AH500" i="7"/>
  <c r="AH496" i="7"/>
  <c r="AH490" i="7"/>
  <c r="AH484" i="7"/>
  <c r="AH478" i="7"/>
  <c r="AH479" i="7" s="1"/>
  <c r="AH467" i="7"/>
  <c r="AH468" i="7" s="1"/>
  <c r="AH461" i="7"/>
  <c r="AH456" i="7"/>
  <c r="AH452" i="7"/>
  <c r="AH448" i="7"/>
  <c r="AH441" i="7"/>
  <c r="AH433" i="7"/>
  <c r="AH423" i="7"/>
  <c r="AH419" i="7"/>
  <c r="AH412" i="7"/>
  <c r="AH399" i="7"/>
  <c r="AH386" i="7"/>
  <c r="AH382" i="7"/>
  <c r="AH373" i="7"/>
  <c r="AH361" i="7"/>
  <c r="AH362" i="7" s="1"/>
  <c r="AH355" i="7"/>
  <c r="AH356" i="7" s="1"/>
  <c r="AH344" i="7"/>
  <c r="AH345" i="7" s="1"/>
  <c r="AH346" i="7" s="1"/>
  <c r="AH332" i="7"/>
  <c r="AH326" i="7"/>
  <c r="AH319" i="7"/>
  <c r="AH310" i="7"/>
  <c r="AH299" i="7"/>
  <c r="AH290" i="7"/>
  <c r="AH285" i="7"/>
  <c r="AH270" i="7"/>
  <c r="AH266" i="7"/>
  <c r="AH262" i="7"/>
  <c r="AH255" i="7"/>
  <c r="AH249" i="7"/>
  <c r="AH242" i="7"/>
  <c r="AH228" i="7"/>
  <c r="AH223" i="7"/>
  <c r="AH217" i="7"/>
  <c r="AH213" i="7"/>
  <c r="AH209" i="7"/>
  <c r="AH196" i="7"/>
  <c r="AH192" i="7"/>
  <c r="AH184" i="7"/>
  <c r="AH185" i="7" s="1"/>
  <c r="AH176" i="7"/>
  <c r="AH171" i="7"/>
  <c r="AH161" i="7"/>
  <c r="AH156" i="7"/>
  <c r="AH150" i="7"/>
  <c r="AH133" i="7"/>
  <c r="AH141" i="7" s="1"/>
  <c r="AH119" i="7"/>
  <c r="AH120" i="7"/>
  <c r="AH113" i="7"/>
  <c r="AH114" i="7" s="1"/>
  <c r="AH100" i="7"/>
  <c r="AH88" i="7"/>
  <c r="AH76" i="7"/>
  <c r="AH77" i="7" s="1"/>
  <c r="AH78" i="7" s="1"/>
  <c r="AH79" i="7"/>
  <c r="AH29" i="7"/>
  <c r="AH33" i="7"/>
  <c r="AH39" i="7"/>
  <c r="AH40" i="7"/>
  <c r="AH62" i="7"/>
  <c r="AH63" i="7" s="1"/>
  <c r="AH19" i="7"/>
  <c r="AH20" i="7"/>
  <c r="AH21" i="7" s="1"/>
  <c r="AH22" i="7" s="1"/>
  <c r="AH718" i="7"/>
  <c r="AH719" i="7" s="1"/>
  <c r="AH712" i="7"/>
  <c r="AH708" i="7"/>
  <c r="AH700" i="7"/>
  <c r="AH694" i="7"/>
  <c r="AH690" i="7"/>
  <c r="AH686" i="7"/>
  <c r="AH735" i="7"/>
  <c r="AH728" i="7"/>
  <c r="AH747" i="7"/>
  <c r="AH748" i="7"/>
  <c r="AH749" i="7" s="1"/>
  <c r="AH750" i="7" s="1"/>
  <c r="AG673" i="7"/>
  <c r="AG674" i="7" s="1"/>
  <c r="AG665" i="7"/>
  <c r="AG660" i="7"/>
  <c r="AG655" i="7"/>
  <c r="AG649" i="7"/>
  <c r="AG645" i="7"/>
  <c r="AG637" i="7"/>
  <c r="AG633" i="7"/>
  <c r="AG629" i="7"/>
  <c r="AG623" i="7"/>
  <c r="AG617" i="7"/>
  <c r="AG612" i="7"/>
  <c r="AG605" i="7"/>
  <c r="AG599" i="7"/>
  <c r="AG594" i="7"/>
  <c r="AG589" i="7"/>
  <c r="AG581" i="7"/>
  <c r="AG575" i="7"/>
  <c r="AG569" i="7"/>
  <c r="AG562" i="7"/>
  <c r="AG555" i="7"/>
  <c r="AG556" i="7" s="1"/>
  <c r="AG543" i="7"/>
  <c r="AG544" i="7" s="1"/>
  <c r="AG545" i="7" s="1"/>
  <c r="AG546" i="7" s="1"/>
  <c r="AG533" i="7"/>
  <c r="AG534" i="7" s="1"/>
  <c r="AG524" i="7"/>
  <c r="AG520" i="7"/>
  <c r="AG516" i="7"/>
  <c r="AG512" i="7"/>
  <c r="AG507" i="7"/>
  <c r="AG500" i="7"/>
  <c r="AG496" i="7"/>
  <c r="AG490" i="7"/>
  <c r="AG484" i="7"/>
  <c r="AG478" i="7"/>
  <c r="AG479" i="7"/>
  <c r="AG467" i="7"/>
  <c r="AG468" i="7"/>
  <c r="AG461" i="7"/>
  <c r="AG456" i="7"/>
  <c r="AG452" i="7"/>
  <c r="AG448" i="7"/>
  <c r="AG441" i="7"/>
  <c r="AG433" i="7"/>
  <c r="AG423" i="7"/>
  <c r="AG419" i="7"/>
  <c r="AG412" i="7"/>
  <c r="AG399" i="7"/>
  <c r="AG386" i="7"/>
  <c r="AG382" i="7"/>
  <c r="AG373" i="7"/>
  <c r="AG361" i="7"/>
  <c r="AG362" i="7" s="1"/>
  <c r="AG355" i="7"/>
  <c r="AG356" i="7" s="1"/>
  <c r="AG344" i="7"/>
  <c r="AG345" i="7" s="1"/>
  <c r="AG346" i="7" s="1"/>
  <c r="AG332" i="7"/>
  <c r="AG326" i="7"/>
  <c r="AG319" i="7"/>
  <c r="AG310" i="7"/>
  <c r="AG299" i="7"/>
  <c r="AG290" i="7"/>
  <c r="AG285" i="7"/>
  <c r="AG270" i="7"/>
  <c r="AG266" i="7"/>
  <c r="AG262" i="7"/>
  <c r="AG255" i="7"/>
  <c r="AG249" i="7"/>
  <c r="AG242" i="7"/>
  <c r="AG228" i="7"/>
  <c r="AG223" i="7"/>
  <c r="AG217" i="7"/>
  <c r="AG213" i="7"/>
  <c r="AG209" i="7"/>
  <c r="AG196" i="7"/>
  <c r="AG192" i="7"/>
  <c r="AG184" i="7"/>
  <c r="AG185" i="7"/>
  <c r="AG176" i="7"/>
  <c r="AG171" i="7"/>
  <c r="AG161" i="7"/>
  <c r="AG156" i="7"/>
  <c r="AG150" i="7"/>
  <c r="AG133" i="7"/>
  <c r="AG141" i="7" s="1"/>
  <c r="AG119" i="7"/>
  <c r="AG120" i="7" s="1"/>
  <c r="AG113" i="7"/>
  <c r="AG114" i="7" s="1"/>
  <c r="AG100" i="7"/>
  <c r="AG88" i="7"/>
  <c r="AG76" i="7"/>
  <c r="AG77" i="7" s="1"/>
  <c r="AG78" i="7"/>
  <c r="AG79" i="7" s="1"/>
  <c r="AG29" i="7"/>
  <c r="AG33" i="7"/>
  <c r="AG39" i="7"/>
  <c r="AG40" i="7" s="1"/>
  <c r="AG62" i="7"/>
  <c r="AG63" i="7" s="1"/>
  <c r="AG19" i="7"/>
  <c r="AG20" i="7" s="1"/>
  <c r="AG21" i="7" s="1"/>
  <c r="AG22" i="7" s="1"/>
  <c r="AG718" i="7"/>
  <c r="AG719" i="7" s="1"/>
  <c r="AG712" i="7"/>
  <c r="AG708" i="7"/>
  <c r="AG700" i="7"/>
  <c r="AG694" i="7"/>
  <c r="AG690" i="7"/>
  <c r="AG686" i="7"/>
  <c r="AG735" i="7"/>
  <c r="AG728" i="7"/>
  <c r="AG747" i="7"/>
  <c r="AG748" i="7" s="1"/>
  <c r="AG749" i="7"/>
  <c r="AG750" i="7" s="1"/>
  <c r="AF673" i="7"/>
  <c r="AF674" i="7" s="1"/>
  <c r="AF665" i="7"/>
  <c r="AF660" i="7"/>
  <c r="AF655" i="7"/>
  <c r="AF649" i="7"/>
  <c r="AF645" i="7"/>
  <c r="AF637" i="7"/>
  <c r="AF633" i="7"/>
  <c r="AF623" i="7"/>
  <c r="AF617" i="7"/>
  <c r="AF612" i="7"/>
  <c r="AF605" i="7"/>
  <c r="AF599" i="7"/>
  <c r="AF594" i="7"/>
  <c r="AF589" i="7"/>
  <c r="AF581" i="7"/>
  <c r="AF575" i="7"/>
  <c r="AF569" i="7"/>
  <c r="AF562" i="7"/>
  <c r="AF555" i="7"/>
  <c r="AF556" i="7" s="1"/>
  <c r="AF543" i="7"/>
  <c r="AF544" i="7" s="1"/>
  <c r="AF545" i="7" s="1"/>
  <c r="AF546" i="7" s="1"/>
  <c r="AF533" i="7"/>
  <c r="AF534" i="7" s="1"/>
  <c r="AF524" i="7"/>
  <c r="AF520" i="7"/>
  <c r="AF516" i="7"/>
  <c r="AF512" i="7"/>
  <c r="AF507" i="7"/>
  <c r="AF500" i="7"/>
  <c r="AF496" i="7"/>
  <c r="AF490" i="7"/>
  <c r="AF484" i="7"/>
  <c r="AF478" i="7"/>
  <c r="AF479" i="7"/>
  <c r="AF467" i="7"/>
  <c r="AF468" i="7" s="1"/>
  <c r="AF461" i="7"/>
  <c r="AF456" i="7"/>
  <c r="AF452" i="7"/>
  <c r="AF448" i="7"/>
  <c r="AF441" i="7"/>
  <c r="AF433" i="7"/>
  <c r="AF423" i="7"/>
  <c r="AF419" i="7"/>
  <c r="AF412" i="7"/>
  <c r="AF399" i="7"/>
  <c r="AF386" i="7"/>
  <c r="AF382" i="7"/>
  <c r="AF373" i="7"/>
  <c r="AF361" i="7"/>
  <c r="AF362" i="7" s="1"/>
  <c r="AF355" i="7"/>
  <c r="AF356" i="7" s="1"/>
  <c r="AF344" i="7"/>
  <c r="AF345" i="7" s="1"/>
  <c r="AF346" i="7" s="1"/>
  <c r="AF332" i="7"/>
  <c r="AF326" i="7"/>
  <c r="AF319" i="7"/>
  <c r="AF310" i="7"/>
  <c r="AF299" i="7"/>
  <c r="AF290" i="7"/>
  <c r="AF285" i="7"/>
  <c r="AF270" i="7"/>
  <c r="AF266" i="7"/>
  <c r="AF262" i="7"/>
  <c r="AF255" i="7"/>
  <c r="AF249" i="7"/>
  <c r="AF242" i="7"/>
  <c r="AF228" i="7"/>
  <c r="AF223" i="7"/>
  <c r="AF217" i="7"/>
  <c r="AF213" i="7"/>
  <c r="AF209" i="7"/>
  <c r="AF196" i="7"/>
  <c r="AF192" i="7"/>
  <c r="AF184" i="7"/>
  <c r="AF185" i="7"/>
  <c r="AF176" i="7"/>
  <c r="AF171" i="7"/>
  <c r="AF161" i="7"/>
  <c r="AF156" i="7"/>
  <c r="AF150" i="7"/>
  <c r="AF133" i="7"/>
  <c r="AF141" i="7" s="1"/>
  <c r="AF119" i="7"/>
  <c r="AF120" i="7" s="1"/>
  <c r="AF113" i="7"/>
  <c r="AF114" i="7" s="1"/>
  <c r="AF100" i="7"/>
  <c r="AF88" i="7"/>
  <c r="AF76" i="7"/>
  <c r="AF77" i="7" s="1"/>
  <c r="AF78" i="7" s="1"/>
  <c r="AF79" i="7" s="1"/>
  <c r="AF29" i="7"/>
  <c r="AF33" i="7"/>
  <c r="AF39" i="7"/>
  <c r="AF40" i="7" s="1"/>
  <c r="AF62" i="7"/>
  <c r="AF63" i="7" s="1"/>
  <c r="AF19" i="7"/>
  <c r="AF20" i="7" s="1"/>
  <c r="AF21" i="7" s="1"/>
  <c r="AF22" i="7" s="1"/>
  <c r="AF718" i="7"/>
  <c r="AF719" i="7" s="1"/>
  <c r="AF712" i="7"/>
  <c r="AF708" i="7"/>
  <c r="AF700" i="7"/>
  <c r="AF694" i="7"/>
  <c r="AF690" i="7"/>
  <c r="AF686" i="7"/>
  <c r="AF735" i="7"/>
  <c r="AF728" i="7"/>
  <c r="AF747" i="7"/>
  <c r="AF748" i="7" s="1"/>
  <c r="AF749" i="7" s="1"/>
  <c r="AF750" i="7" s="1"/>
  <c r="AE673" i="7"/>
  <c r="AE674" i="7" s="1"/>
  <c r="AE665" i="7"/>
  <c r="AE660" i="7"/>
  <c r="AE655" i="7"/>
  <c r="AE649" i="7"/>
  <c r="AE645" i="7"/>
  <c r="AE637" i="7"/>
  <c r="AE633" i="7"/>
  <c r="AE629" i="7"/>
  <c r="AE623" i="7"/>
  <c r="AE617" i="7"/>
  <c r="AE612" i="7"/>
  <c r="AE605" i="7"/>
  <c r="AE599" i="7"/>
  <c r="AE594" i="7"/>
  <c r="AE589" i="7"/>
  <c r="AE581" i="7"/>
  <c r="AE575" i="7"/>
  <c r="AE569" i="7"/>
  <c r="AE562" i="7"/>
  <c r="AE555" i="7"/>
  <c r="AE556" i="7"/>
  <c r="AE543" i="7"/>
  <c r="AE544" i="7" s="1"/>
  <c r="AE545" i="7" s="1"/>
  <c r="AE546" i="7" s="1"/>
  <c r="AE533" i="7"/>
  <c r="AE534" i="7"/>
  <c r="AE524" i="7"/>
  <c r="AE520" i="7"/>
  <c r="AE516" i="7"/>
  <c r="AE512" i="7"/>
  <c r="AE507" i="7"/>
  <c r="AE500" i="7"/>
  <c r="AE496" i="7"/>
  <c r="AE490" i="7"/>
  <c r="AE484" i="7"/>
  <c r="AE478" i="7"/>
  <c r="AE479" i="7" s="1"/>
  <c r="AE467" i="7"/>
  <c r="AE468" i="7" s="1"/>
  <c r="AE461" i="7"/>
  <c r="AE456" i="7"/>
  <c r="AE452" i="7"/>
  <c r="AE448" i="7"/>
  <c r="AE441" i="7"/>
  <c r="AE433" i="7"/>
  <c r="AE423" i="7"/>
  <c r="AE419" i="7"/>
  <c r="AE412" i="7"/>
  <c r="AE399" i="7"/>
  <c r="AE386" i="7"/>
  <c r="AE382" i="7"/>
  <c r="AE373" i="7"/>
  <c r="AE387" i="7" s="1"/>
  <c r="AE361" i="7"/>
  <c r="AE362" i="7" s="1"/>
  <c r="AE355" i="7"/>
  <c r="AE356" i="7"/>
  <c r="AE344" i="7"/>
  <c r="AE345" i="7" s="1"/>
  <c r="AE346" i="7" s="1"/>
  <c r="AE332" i="7"/>
  <c r="AE326" i="7"/>
  <c r="AE319" i="7"/>
  <c r="AE310" i="7"/>
  <c r="AE299" i="7"/>
  <c r="AE290" i="7"/>
  <c r="AE285" i="7"/>
  <c r="AE270" i="7"/>
  <c r="AE266" i="7"/>
  <c r="AE262" i="7"/>
  <c r="AE255" i="7"/>
  <c r="AE249" i="7"/>
  <c r="AE242" i="7"/>
  <c r="AE228" i="7"/>
  <c r="AE223" i="7"/>
  <c r="AE217" i="7"/>
  <c r="AE213" i="7"/>
  <c r="AE209" i="7"/>
  <c r="AE196" i="7"/>
  <c r="AE192" i="7"/>
  <c r="AE184" i="7"/>
  <c r="AE185" i="7" s="1"/>
  <c r="AE176" i="7"/>
  <c r="AE171" i="7"/>
  <c r="AE161" i="7"/>
  <c r="AE156" i="7"/>
  <c r="AE150" i="7"/>
  <c r="AE133" i="7"/>
  <c r="AE141" i="7" s="1"/>
  <c r="AE119" i="7"/>
  <c r="AE120" i="7"/>
  <c r="AE113" i="7"/>
  <c r="AE114" i="7" s="1"/>
  <c r="AE100" i="7"/>
  <c r="AE88" i="7"/>
  <c r="AE76" i="7"/>
  <c r="AE77" i="7" s="1"/>
  <c r="AE78" i="7" s="1"/>
  <c r="AE79" i="7" s="1"/>
  <c r="AE29" i="7"/>
  <c r="AE33" i="7"/>
  <c r="AE39" i="7"/>
  <c r="AE40" i="7" s="1"/>
  <c r="AE62" i="7"/>
  <c r="AE63" i="7"/>
  <c r="AE19" i="7"/>
  <c r="AE20" i="7" s="1"/>
  <c r="AE21" i="7" s="1"/>
  <c r="AE22" i="7" s="1"/>
  <c r="AE718" i="7"/>
  <c r="AE719" i="7"/>
  <c r="AE712" i="7"/>
  <c r="AE708" i="7"/>
  <c r="AE700" i="7"/>
  <c r="AE694" i="7"/>
  <c r="AE690" i="7"/>
  <c r="AE686" i="7"/>
  <c r="AE735" i="7"/>
  <c r="AE728" i="7"/>
  <c r="AE747" i="7"/>
  <c r="AE748" i="7" s="1"/>
  <c r="AE749" i="7" s="1"/>
  <c r="AE750" i="7" s="1"/>
  <c r="AD673" i="7"/>
  <c r="AD674" i="7"/>
  <c r="AD665" i="7"/>
  <c r="AD660" i="7"/>
  <c r="AD655" i="7"/>
  <c r="AD649" i="7"/>
  <c r="AD645" i="7"/>
  <c r="AD637" i="7"/>
  <c r="AD633" i="7"/>
  <c r="AD629" i="7"/>
  <c r="AD623" i="7"/>
  <c r="AD617" i="7"/>
  <c r="AD612" i="7"/>
  <c r="AD605" i="7"/>
  <c r="AD599" i="7"/>
  <c r="AD594" i="7"/>
  <c r="AD589" i="7"/>
  <c r="AD581" i="7"/>
  <c r="AD575" i="7"/>
  <c r="AD569" i="7"/>
  <c r="AD562" i="7"/>
  <c r="AD555" i="7"/>
  <c r="AD556" i="7" s="1"/>
  <c r="AD543" i="7"/>
  <c r="AD544" i="7" s="1"/>
  <c r="AD545" i="7" s="1"/>
  <c r="AD546" i="7" s="1"/>
  <c r="AD533" i="7"/>
  <c r="AD534" i="7" s="1"/>
  <c r="AD524" i="7"/>
  <c r="AD520" i="7"/>
  <c r="AD516" i="7"/>
  <c r="AD512" i="7"/>
  <c r="AD507" i="7"/>
  <c r="AD500" i="7"/>
  <c r="AD496" i="7"/>
  <c r="AD490" i="7"/>
  <c r="AD484" i="7"/>
  <c r="AD478" i="7"/>
  <c r="AD479" i="7"/>
  <c r="AD467" i="7"/>
  <c r="AD468" i="7" s="1"/>
  <c r="AD461" i="7"/>
  <c r="AD456" i="7"/>
  <c r="AD452" i="7"/>
  <c r="AD448" i="7"/>
  <c r="AD441" i="7"/>
  <c r="AD433" i="7"/>
  <c r="AD423" i="7"/>
  <c r="AD419" i="7"/>
  <c r="AD412" i="7"/>
  <c r="AD399" i="7"/>
  <c r="AD386" i="7"/>
  <c r="AD382" i="7"/>
  <c r="AD373" i="7"/>
  <c r="AD361" i="7"/>
  <c r="AD362" i="7" s="1"/>
  <c r="AD355" i="7"/>
  <c r="AD356" i="7" s="1"/>
  <c r="AD344" i="7"/>
  <c r="AD345" i="7" s="1"/>
  <c r="AD346" i="7" s="1"/>
  <c r="AD332" i="7"/>
  <c r="AD326" i="7"/>
  <c r="AD319" i="7"/>
  <c r="AD310" i="7"/>
  <c r="AD299" i="7"/>
  <c r="AD290" i="7"/>
  <c r="AD285" i="7"/>
  <c r="AD270" i="7"/>
  <c r="AD266" i="7"/>
  <c r="AD262" i="7"/>
  <c r="AD255" i="7"/>
  <c r="AD249" i="7"/>
  <c r="AD242" i="7"/>
  <c r="AD228" i="7"/>
  <c r="AD223" i="7"/>
  <c r="AD217" i="7"/>
  <c r="AD213" i="7"/>
  <c r="AD209" i="7"/>
  <c r="AD196" i="7"/>
  <c r="AD192" i="7"/>
  <c r="AD184" i="7"/>
  <c r="AD185" i="7"/>
  <c r="AD176" i="7"/>
  <c r="AD171" i="7"/>
  <c r="AD161" i="7"/>
  <c r="AD156" i="7"/>
  <c r="AD150" i="7"/>
  <c r="AD133" i="7"/>
  <c r="AD141" i="7" s="1"/>
  <c r="AD119" i="7"/>
  <c r="AD120" i="7" s="1"/>
  <c r="AD113" i="7"/>
  <c r="AD114" i="7" s="1"/>
  <c r="AD100" i="7"/>
  <c r="AD88" i="7"/>
  <c r="AD76" i="7"/>
  <c r="AD77" i="7" s="1"/>
  <c r="AD78" i="7" s="1"/>
  <c r="AD79" i="7" s="1"/>
  <c r="AD29" i="7"/>
  <c r="AD34" i="7" s="1"/>
  <c r="AD64" i="7" s="1"/>
  <c r="AD65" i="7" s="1"/>
  <c r="AD33" i="7"/>
  <c r="AD39" i="7"/>
  <c r="AD40" i="7" s="1"/>
  <c r="AD62" i="7"/>
  <c r="AD63" i="7" s="1"/>
  <c r="AD19" i="7"/>
  <c r="AD20" i="7" s="1"/>
  <c r="AD21" i="7" s="1"/>
  <c r="AD22" i="7" s="1"/>
  <c r="AD718" i="7"/>
  <c r="AD719" i="7" s="1"/>
  <c r="AD712" i="7"/>
  <c r="AD708" i="7"/>
  <c r="AD700" i="7"/>
  <c r="AD694" i="7"/>
  <c r="AD690" i="7"/>
  <c r="AD686" i="7"/>
  <c r="AD735" i="7"/>
  <c r="AD728" i="7"/>
  <c r="AD747" i="7"/>
  <c r="AD748" i="7" s="1"/>
  <c r="AD749" i="7" s="1"/>
  <c r="AD750" i="7" s="1"/>
  <c r="AC673" i="7"/>
  <c r="AC674" i="7" s="1"/>
  <c r="AC665" i="7"/>
  <c r="AC660" i="7"/>
  <c r="AC655" i="7"/>
  <c r="AC649" i="7"/>
  <c r="AC645" i="7"/>
  <c r="AC637" i="7"/>
  <c r="AC633" i="7"/>
  <c r="AC629" i="7"/>
  <c r="AC623" i="7"/>
  <c r="AC617" i="7"/>
  <c r="AC612" i="7"/>
  <c r="AC605" i="7"/>
  <c r="AC599" i="7"/>
  <c r="AC594" i="7"/>
  <c r="AC589" i="7"/>
  <c r="AC581" i="7"/>
  <c r="AC575" i="7"/>
  <c r="AC569" i="7"/>
  <c r="AC562" i="7"/>
  <c r="AC555" i="7"/>
  <c r="AC556" i="7"/>
  <c r="AC543" i="7"/>
  <c r="AC544" i="7"/>
  <c r="AC545" i="7" s="1"/>
  <c r="AC546" i="7" s="1"/>
  <c r="AC533" i="7"/>
  <c r="AC534" i="7"/>
  <c r="AC524" i="7"/>
  <c r="AC520" i="7"/>
  <c r="AC516" i="7"/>
  <c r="AC512" i="7"/>
  <c r="AC507" i="7"/>
  <c r="AC500" i="7"/>
  <c r="AC496" i="7"/>
  <c r="AC490" i="7"/>
  <c r="AC484" i="7"/>
  <c r="AC478" i="7"/>
  <c r="AC479" i="7" s="1"/>
  <c r="AC467" i="7"/>
  <c r="AC468" i="7" s="1"/>
  <c r="AC461" i="7"/>
  <c r="AC456" i="7"/>
  <c r="AC452" i="7"/>
  <c r="AC448" i="7"/>
  <c r="AC441" i="7"/>
  <c r="AC433" i="7"/>
  <c r="AC423" i="7"/>
  <c r="AC419" i="7"/>
  <c r="AC412" i="7"/>
  <c r="AC399" i="7"/>
  <c r="AC386" i="7"/>
  <c r="AC382" i="7"/>
  <c r="AC373" i="7"/>
  <c r="AC361" i="7"/>
  <c r="AC362" i="7"/>
  <c r="AC355" i="7"/>
  <c r="AC356" i="7"/>
  <c r="AC344" i="7"/>
  <c r="AC345" i="7"/>
  <c r="AC346" i="7" s="1"/>
  <c r="AC332" i="7"/>
  <c r="AC326" i="7"/>
  <c r="AC319" i="7"/>
  <c r="AC310" i="7"/>
  <c r="AC299" i="7"/>
  <c r="AC290" i="7"/>
  <c r="AC285" i="7"/>
  <c r="AC270" i="7"/>
  <c r="AC266" i="7"/>
  <c r="AC262" i="7"/>
  <c r="AC255" i="7"/>
  <c r="AC249" i="7"/>
  <c r="AC242" i="7"/>
  <c r="AC228" i="7"/>
  <c r="AC223" i="7"/>
  <c r="AC217" i="7"/>
  <c r="AC213" i="7"/>
  <c r="AC209" i="7"/>
  <c r="AC196" i="7"/>
  <c r="AC192" i="7"/>
  <c r="AC184" i="7"/>
  <c r="AC185" i="7" s="1"/>
  <c r="AC176" i="7"/>
  <c r="AC171" i="7"/>
  <c r="AC161" i="7"/>
  <c r="AC156" i="7"/>
  <c r="AC150" i="7"/>
  <c r="AC133" i="7"/>
  <c r="AC141" i="7"/>
  <c r="AC119" i="7"/>
  <c r="AC120" i="7"/>
  <c r="AC113" i="7"/>
  <c r="AC114" i="7"/>
  <c r="AC100" i="7"/>
  <c r="AC88" i="7"/>
  <c r="AC76" i="7"/>
  <c r="AC77" i="7"/>
  <c r="AC78" i="7" s="1"/>
  <c r="AC79" i="7"/>
  <c r="AC29" i="7"/>
  <c r="AC33" i="7"/>
  <c r="AC39" i="7"/>
  <c r="AC40" i="7"/>
  <c r="AC62" i="7"/>
  <c r="AC63" i="7" s="1"/>
  <c r="AC19" i="7"/>
  <c r="AC20" i="7"/>
  <c r="AC21" i="7" s="1"/>
  <c r="AC22" i="7" s="1"/>
  <c r="AC718" i="7"/>
  <c r="AC719" i="7" s="1"/>
  <c r="AC712" i="7"/>
  <c r="AC708" i="7"/>
  <c r="AC700" i="7"/>
  <c r="AC694" i="7"/>
  <c r="AC690" i="7"/>
  <c r="AC686" i="7"/>
  <c r="AC735" i="7"/>
  <c r="AC728" i="7"/>
  <c r="AC747" i="7"/>
  <c r="AC748" i="7"/>
  <c r="AC749" i="7" s="1"/>
  <c r="AC750" i="7" s="1"/>
  <c r="AB673" i="7"/>
  <c r="AB674" i="7" s="1"/>
  <c r="AB665" i="7"/>
  <c r="AB660" i="7"/>
  <c r="AB655" i="7"/>
  <c r="AB649" i="7"/>
  <c r="AB645" i="7"/>
  <c r="AB637" i="7"/>
  <c r="AB633" i="7"/>
  <c r="AB629" i="7"/>
  <c r="AB623" i="7"/>
  <c r="AB617" i="7"/>
  <c r="AB612" i="7"/>
  <c r="AB599" i="7"/>
  <c r="AB594" i="7"/>
  <c r="AB589" i="7"/>
  <c r="AB581" i="7"/>
  <c r="AB575" i="7"/>
  <c r="AB569" i="7"/>
  <c r="AB562" i="7"/>
  <c r="AB555" i="7"/>
  <c r="AB556" i="7" s="1"/>
  <c r="AB543" i="7"/>
  <c r="AB544" i="7"/>
  <c r="AB545" i="7" s="1"/>
  <c r="AB546" i="7" s="1"/>
  <c r="AB533" i="7"/>
  <c r="AB534" i="7" s="1"/>
  <c r="AB524" i="7"/>
  <c r="AB520" i="7"/>
  <c r="AB516" i="7"/>
  <c r="AB512" i="7"/>
  <c r="AB507" i="7"/>
  <c r="AB500" i="7"/>
  <c r="AB496" i="7"/>
  <c r="AB490" i="7"/>
  <c r="AB484" i="7"/>
  <c r="AB478" i="7"/>
  <c r="AB479" i="7" s="1"/>
  <c r="AB467" i="7"/>
  <c r="AB468" i="7" s="1"/>
  <c r="AB461" i="7"/>
  <c r="AB456" i="7"/>
  <c r="AB452" i="7"/>
  <c r="AB448" i="7"/>
  <c r="AB441" i="7"/>
  <c r="AB433" i="7"/>
  <c r="AB423" i="7"/>
  <c r="AB419" i="7"/>
  <c r="AB412" i="7"/>
  <c r="AB399" i="7"/>
  <c r="AB386" i="7"/>
  <c r="AB382" i="7"/>
  <c r="AB373" i="7"/>
  <c r="AB361" i="7"/>
  <c r="AB362" i="7"/>
  <c r="AB355" i="7"/>
  <c r="AB356" i="7" s="1"/>
  <c r="AB344" i="7"/>
  <c r="AB345" i="7"/>
  <c r="AB346" i="7" s="1"/>
  <c r="AB332" i="7"/>
  <c r="AB326" i="7"/>
  <c r="AB319" i="7"/>
  <c r="AB310" i="7"/>
  <c r="AB299" i="7"/>
  <c r="AB290" i="7"/>
  <c r="AB285" i="7"/>
  <c r="AB270" i="7"/>
  <c r="AB266" i="7"/>
  <c r="AB262" i="7"/>
  <c r="AB255" i="7"/>
  <c r="AB249" i="7"/>
  <c r="AB242" i="7"/>
  <c r="AB228" i="7"/>
  <c r="AB223" i="7"/>
  <c r="AB217" i="7"/>
  <c r="AB213" i="7"/>
  <c r="AB209" i="7"/>
  <c r="AB196" i="7"/>
  <c r="AB192" i="7"/>
  <c r="AB184" i="7"/>
  <c r="AB185" i="7" s="1"/>
  <c r="AB176" i="7"/>
  <c r="AB171" i="7"/>
  <c r="AB161" i="7"/>
  <c r="AB156" i="7"/>
  <c r="AB150" i="7"/>
  <c r="AB133" i="7"/>
  <c r="AB141" i="7"/>
  <c r="AB119" i="7"/>
  <c r="AB120" i="7" s="1"/>
  <c r="AB113" i="7"/>
  <c r="AB114" i="7"/>
  <c r="AB100" i="7"/>
  <c r="AB88" i="7"/>
  <c r="AB76" i="7"/>
  <c r="AB77" i="7"/>
  <c r="AB78" i="7" s="1"/>
  <c r="AB79" i="7" s="1"/>
  <c r="AB29" i="7"/>
  <c r="AB33" i="7"/>
  <c r="AB39" i="7"/>
  <c r="AB40" i="7"/>
  <c r="AB62" i="7"/>
  <c r="AB63" i="7" s="1"/>
  <c r="AB19" i="7"/>
  <c r="AB20" i="7"/>
  <c r="AB21" i="7" s="1"/>
  <c r="AB22" i="7" s="1"/>
  <c r="AB718" i="7"/>
  <c r="AB719" i="7" s="1"/>
  <c r="AB712" i="7"/>
  <c r="AB708" i="7"/>
  <c r="AB700" i="7"/>
  <c r="AB694" i="7"/>
  <c r="AB690" i="7"/>
  <c r="AB686" i="7"/>
  <c r="AB735" i="7"/>
  <c r="AB728" i="7"/>
  <c r="AB747" i="7"/>
  <c r="AB748" i="7"/>
  <c r="AB749" i="7" s="1"/>
  <c r="AB750" i="7" s="1"/>
  <c r="AA673" i="7"/>
  <c r="AA674" i="7" s="1"/>
  <c r="AA665" i="7"/>
  <c r="AA660" i="7"/>
  <c r="AA655" i="7"/>
  <c r="AA649" i="7"/>
  <c r="AA645" i="7"/>
  <c r="AA637" i="7"/>
  <c r="AA638" i="7" s="1"/>
  <c r="AA623" i="7"/>
  <c r="AA617" i="7"/>
  <c r="AA612" i="7"/>
  <c r="AA605" i="7"/>
  <c r="AA599" i="7"/>
  <c r="AA594" i="7"/>
  <c r="AA589" i="7"/>
  <c r="AA581" i="7"/>
  <c r="AA575" i="7"/>
  <c r="AA569" i="7"/>
  <c r="AA562" i="7"/>
  <c r="AA555" i="7"/>
  <c r="AA556" i="7" s="1"/>
  <c r="AA543" i="7"/>
  <c r="AA544" i="7" s="1"/>
  <c r="AA545" i="7" s="1"/>
  <c r="AA546" i="7" s="1"/>
  <c r="AA533" i="7"/>
  <c r="AA534" i="7"/>
  <c r="AA524" i="7"/>
  <c r="AA520" i="7"/>
  <c r="AA516" i="7"/>
  <c r="AA512" i="7"/>
  <c r="AA525" i="7" s="1"/>
  <c r="AA507" i="7"/>
  <c r="AA500" i="7"/>
  <c r="AA496" i="7"/>
  <c r="AA490" i="7"/>
  <c r="AA501" i="7" s="1"/>
  <c r="AA484" i="7"/>
  <c r="AA478" i="7"/>
  <c r="AA479" i="7" s="1"/>
  <c r="AA467" i="7"/>
  <c r="AA468" i="7" s="1"/>
  <c r="AA461" i="7"/>
  <c r="AA456" i="7"/>
  <c r="AA452" i="7"/>
  <c r="AA448" i="7"/>
  <c r="AA441" i="7"/>
  <c r="AA433" i="7"/>
  <c r="AA423" i="7"/>
  <c r="AA419" i="7"/>
  <c r="AA412" i="7"/>
  <c r="AA399" i="7"/>
  <c r="AA386" i="7"/>
  <c r="AA382" i="7"/>
  <c r="AA373" i="7"/>
  <c r="AA361" i="7"/>
  <c r="AA362" i="7" s="1"/>
  <c r="AA355" i="7"/>
  <c r="AA356" i="7"/>
  <c r="AA344" i="7"/>
  <c r="AA345" i="7" s="1"/>
  <c r="AA346" i="7" s="1"/>
  <c r="AA332" i="7"/>
  <c r="AA326" i="7"/>
  <c r="AA319" i="7"/>
  <c r="AA310" i="7"/>
  <c r="AA299" i="7"/>
  <c r="AA290" i="7"/>
  <c r="AA285" i="7"/>
  <c r="AA270" i="7"/>
  <c r="AA266" i="7"/>
  <c r="AA262" i="7"/>
  <c r="AA255" i="7"/>
  <c r="AA249" i="7"/>
  <c r="AA242" i="7"/>
  <c r="AA228" i="7"/>
  <c r="AA223" i="7"/>
  <c r="AA217" i="7"/>
  <c r="AA213" i="7"/>
  <c r="AA209" i="7"/>
  <c r="AA196" i="7"/>
  <c r="AA192" i="7"/>
  <c r="AA184" i="7"/>
  <c r="AA185" i="7" s="1"/>
  <c r="AA176" i="7"/>
  <c r="AA177" i="7" s="1"/>
  <c r="AA171" i="7"/>
  <c r="AA161" i="7"/>
  <c r="AA156" i="7"/>
  <c r="AA150" i="7"/>
  <c r="AA162" i="7" s="1"/>
  <c r="AA133" i="7"/>
  <c r="AA141" i="7"/>
  <c r="AA119" i="7"/>
  <c r="AA120" i="7"/>
  <c r="AA113" i="7"/>
  <c r="AA114" i="7"/>
  <c r="AA100" i="7"/>
  <c r="AA88" i="7"/>
  <c r="AA101" i="7" s="1"/>
  <c r="AA102" i="7" s="1"/>
  <c r="AA76" i="7"/>
  <c r="AA77" i="7"/>
  <c r="AA78" i="7" s="1"/>
  <c r="AA79" i="7" s="1"/>
  <c r="AA29" i="7"/>
  <c r="AA33" i="7"/>
  <c r="AA39" i="7"/>
  <c r="AA40" i="7"/>
  <c r="AA62" i="7"/>
  <c r="AA63" i="7"/>
  <c r="AA19" i="7"/>
  <c r="AA20" i="7"/>
  <c r="AA21" i="7" s="1"/>
  <c r="AA22" i="7" s="1"/>
  <c r="AA718" i="7"/>
  <c r="AA719" i="7"/>
  <c r="AA712" i="7"/>
  <c r="AA708" i="7"/>
  <c r="AA700" i="7"/>
  <c r="AA694" i="7"/>
  <c r="AA690" i="7"/>
  <c r="AA735" i="7"/>
  <c r="AA728" i="7"/>
  <c r="Z673" i="7"/>
  <c r="Z674" i="7" s="1"/>
  <c r="Z665" i="7"/>
  <c r="Z660" i="7"/>
  <c r="Z655" i="7"/>
  <c r="Z649" i="7"/>
  <c r="Z645" i="7"/>
  <c r="Z637" i="7"/>
  <c r="Z633" i="7"/>
  <c r="Z629" i="7"/>
  <c r="Z623" i="7"/>
  <c r="Z617" i="7"/>
  <c r="Z612" i="7"/>
  <c r="Z605" i="7"/>
  <c r="Z599" i="7"/>
  <c r="Z594" i="7"/>
  <c r="Z581" i="7"/>
  <c r="Z575" i="7"/>
  <c r="Z569" i="7"/>
  <c r="Z562" i="7"/>
  <c r="Z555" i="7"/>
  <c r="Z556" i="7" s="1"/>
  <c r="Z543" i="7"/>
  <c r="Z544" i="7" s="1"/>
  <c r="Z545" i="7" s="1"/>
  <c r="Z546" i="7" s="1"/>
  <c r="Z533" i="7"/>
  <c r="Z534" i="7" s="1"/>
  <c r="Z524" i="7"/>
  <c r="Z520" i="7"/>
  <c r="Z516" i="7"/>
  <c r="Z512" i="7"/>
  <c r="Z507" i="7"/>
  <c r="Z500" i="7"/>
  <c r="Z496" i="7"/>
  <c r="Z490" i="7"/>
  <c r="Z484" i="7"/>
  <c r="Z478" i="7"/>
  <c r="Z479" i="7"/>
  <c r="Z467" i="7"/>
  <c r="Z468" i="7"/>
  <c r="Z461" i="7"/>
  <c r="Z456" i="7"/>
  <c r="Z452" i="7"/>
  <c r="Z448" i="7"/>
  <c r="Z441" i="7"/>
  <c r="Z433" i="7"/>
  <c r="Z423" i="7"/>
  <c r="Z419" i="7"/>
  <c r="Z412" i="7"/>
  <c r="Z399" i="7"/>
  <c r="Z386" i="7"/>
  <c r="Z382" i="7"/>
  <c r="Z373" i="7"/>
  <c r="Z361" i="7"/>
  <c r="Z362" i="7" s="1"/>
  <c r="Z355" i="7"/>
  <c r="Z356" i="7" s="1"/>
  <c r="Z344" i="7"/>
  <c r="Z345" i="7" s="1"/>
  <c r="Z346" i="7" s="1"/>
  <c r="Z332" i="7"/>
  <c r="Z326" i="7"/>
  <c r="Z319" i="7"/>
  <c r="Z310" i="7"/>
  <c r="Z299" i="7"/>
  <c r="Z290" i="7"/>
  <c r="Z285" i="7"/>
  <c r="Z270" i="7"/>
  <c r="Z266" i="7"/>
  <c r="Z262" i="7"/>
  <c r="Z255" i="7"/>
  <c r="Z249" i="7"/>
  <c r="Z242" i="7"/>
  <c r="Z228" i="7"/>
  <c r="Z223" i="7"/>
  <c r="Z217" i="7"/>
  <c r="Z213" i="7"/>
  <c r="Z209" i="7"/>
  <c r="Z196" i="7"/>
  <c r="Z192" i="7"/>
  <c r="Z184" i="7"/>
  <c r="Z185" i="7"/>
  <c r="Z176" i="7"/>
  <c r="Z171" i="7"/>
  <c r="Z161" i="7"/>
  <c r="Z156" i="7"/>
  <c r="Z150" i="7"/>
  <c r="Z133" i="7"/>
  <c r="Z141" i="7" s="1"/>
  <c r="Z119" i="7"/>
  <c r="Z120" i="7" s="1"/>
  <c r="Z113" i="7"/>
  <c r="Z114" i="7" s="1"/>
  <c r="Z100" i="7"/>
  <c r="Z88" i="7"/>
  <c r="Z76" i="7"/>
  <c r="Z77" i="7" s="1"/>
  <c r="Z78" i="7" s="1"/>
  <c r="Z79" i="7" s="1"/>
  <c r="Z29" i="7"/>
  <c r="Z34" i="7" s="1"/>
  <c r="Z64" i="7" s="1"/>
  <c r="Z65" i="7" s="1"/>
  <c r="Z33" i="7"/>
  <c r="Z39" i="7"/>
  <c r="Z40" i="7" s="1"/>
  <c r="Z62" i="7"/>
  <c r="Z63" i="7" s="1"/>
  <c r="Z19" i="7"/>
  <c r="Z20" i="7" s="1"/>
  <c r="Z21" i="7" s="1"/>
  <c r="Z22" i="7" s="1"/>
  <c r="Z718" i="7"/>
  <c r="Z719" i="7" s="1"/>
  <c r="Z712" i="7"/>
  <c r="Z708" i="7"/>
  <c r="Z700" i="7"/>
  <c r="Z694" i="7"/>
  <c r="Z690" i="7"/>
  <c r="Z686" i="7"/>
  <c r="Z735" i="7"/>
  <c r="Z728" i="7"/>
  <c r="Z747" i="7"/>
  <c r="Z748" i="7" s="1"/>
  <c r="Z749" i="7"/>
  <c r="Z750" i="7" s="1"/>
  <c r="Y673" i="7"/>
  <c r="Y674" i="7" s="1"/>
  <c r="Y665" i="7"/>
  <c r="Y660" i="7"/>
  <c r="Y655" i="7"/>
  <c r="Y649" i="7"/>
  <c r="Y637" i="7"/>
  <c r="Y638" i="7" s="1"/>
  <c r="Y623" i="7"/>
  <c r="Y617" i="7"/>
  <c r="Y612" i="7"/>
  <c r="Y605" i="7"/>
  <c r="Y599" i="7"/>
  <c r="Y594" i="7"/>
  <c r="Y589" i="7"/>
  <c r="Y581" i="7"/>
  <c r="Y575" i="7"/>
  <c r="Y569" i="7"/>
  <c r="Y562" i="7"/>
  <c r="Y555" i="7"/>
  <c r="Y556" i="7" s="1"/>
  <c r="Y543" i="7"/>
  <c r="Y544" i="7" s="1"/>
  <c r="Y545" i="7" s="1"/>
  <c r="Y546" i="7" s="1"/>
  <c r="Y533" i="7"/>
  <c r="Y534" i="7" s="1"/>
  <c r="Y524" i="7"/>
  <c r="Y520" i="7"/>
  <c r="Y516" i="7"/>
  <c r="Y512" i="7"/>
  <c r="Y507" i="7"/>
  <c r="Y500" i="7"/>
  <c r="Y496" i="7"/>
  <c r="Y490" i="7"/>
  <c r="Y484" i="7"/>
  <c r="Y478" i="7"/>
  <c r="Y479" i="7" s="1"/>
  <c r="Y467" i="7"/>
  <c r="Y468" i="7" s="1"/>
  <c r="Y461" i="7"/>
  <c r="Y456" i="7"/>
  <c r="Y452" i="7"/>
  <c r="Y448" i="7"/>
  <c r="Y441" i="7"/>
  <c r="Y433" i="7"/>
  <c r="Y423" i="7"/>
  <c r="Y419" i="7"/>
  <c r="Y412" i="7"/>
  <c r="Y399" i="7"/>
  <c r="Y386" i="7"/>
  <c r="Y382" i="7"/>
  <c r="Y373" i="7"/>
  <c r="Y361" i="7"/>
  <c r="Y362" i="7"/>
  <c r="Y355" i="7"/>
  <c r="Y356" i="7" s="1"/>
  <c r="Y344" i="7"/>
  <c r="Y345" i="7" s="1"/>
  <c r="Y346" i="7" s="1"/>
  <c r="Y332" i="7"/>
  <c r="Y326" i="7"/>
  <c r="Y319" i="7"/>
  <c r="Y310" i="7"/>
  <c r="Y299" i="7"/>
  <c r="Y290" i="7"/>
  <c r="Y285" i="7"/>
  <c r="Y270" i="7"/>
  <c r="Y266" i="7"/>
  <c r="Y262" i="7"/>
  <c r="Y255" i="7"/>
  <c r="Y249" i="7"/>
  <c r="Y242" i="7"/>
  <c r="Y228" i="7"/>
  <c r="Y223" i="7"/>
  <c r="Y217" i="7"/>
  <c r="Y213" i="7"/>
  <c r="Y209" i="7"/>
  <c r="Y196" i="7"/>
  <c r="Y192" i="7"/>
  <c r="Y184" i="7"/>
  <c r="Y185" i="7" s="1"/>
  <c r="Y176" i="7"/>
  <c r="Y171" i="7"/>
  <c r="Y161" i="7"/>
  <c r="Y156" i="7"/>
  <c r="Y150" i="7"/>
  <c r="Y133" i="7"/>
  <c r="Y141" i="7" s="1"/>
  <c r="Y119" i="7"/>
  <c r="Y120" i="7"/>
  <c r="Y113" i="7"/>
  <c r="Y114" i="7" s="1"/>
  <c r="Y100" i="7"/>
  <c r="Y88" i="7"/>
  <c r="Y76" i="7"/>
  <c r="Y77" i="7" s="1"/>
  <c r="Y78" i="7" s="1"/>
  <c r="Y79" i="7" s="1"/>
  <c r="Y29" i="7"/>
  <c r="Y33" i="7"/>
  <c r="Y39" i="7"/>
  <c r="Y40" i="7" s="1"/>
  <c r="Y62" i="7"/>
  <c r="Y63" i="7" s="1"/>
  <c r="Y19" i="7"/>
  <c r="Y20" i="7"/>
  <c r="Y21" i="7" s="1"/>
  <c r="Y22" i="7" s="1"/>
  <c r="Y718" i="7"/>
  <c r="Y719" i="7"/>
  <c r="Y712" i="7"/>
  <c r="Y708" i="7"/>
  <c r="Y700" i="7"/>
  <c r="Y694" i="7"/>
  <c r="Y690" i="7"/>
  <c r="Y686" i="7"/>
  <c r="Y735" i="7"/>
  <c r="Y728" i="7"/>
  <c r="X673" i="7"/>
  <c r="X674" i="7" s="1"/>
  <c r="X665" i="7"/>
  <c r="X660" i="7"/>
  <c r="X655" i="7"/>
  <c r="X649" i="7"/>
  <c r="X637" i="7"/>
  <c r="X638" i="7"/>
  <c r="X623" i="7"/>
  <c r="X617" i="7"/>
  <c r="X612" i="7"/>
  <c r="X605" i="7"/>
  <c r="X599" i="7"/>
  <c r="X594" i="7"/>
  <c r="X589" i="7"/>
  <c r="X581" i="7"/>
  <c r="X575" i="7"/>
  <c r="X569" i="7"/>
  <c r="X562" i="7"/>
  <c r="X555" i="7"/>
  <c r="X556" i="7" s="1"/>
  <c r="X543" i="7"/>
  <c r="X544" i="7" s="1"/>
  <c r="X545" i="7" s="1"/>
  <c r="X546" i="7" s="1"/>
  <c r="X533" i="7"/>
  <c r="X534" i="7" s="1"/>
  <c r="X524" i="7"/>
  <c r="X520" i="7"/>
  <c r="X516" i="7"/>
  <c r="X512" i="7"/>
  <c r="X507" i="7"/>
  <c r="X500" i="7"/>
  <c r="X496" i="7"/>
  <c r="X490" i="7"/>
  <c r="X484" i="7"/>
  <c r="X478" i="7"/>
  <c r="X479" i="7" s="1"/>
  <c r="X467" i="7"/>
  <c r="X468" i="7"/>
  <c r="X461" i="7"/>
  <c r="X456" i="7"/>
  <c r="X452" i="7"/>
  <c r="X448" i="7"/>
  <c r="X441" i="7"/>
  <c r="X433" i="7"/>
  <c r="X423" i="7"/>
  <c r="X419" i="7"/>
  <c r="X412" i="7"/>
  <c r="X399" i="7"/>
  <c r="X386" i="7"/>
  <c r="X382" i="7"/>
  <c r="X373" i="7"/>
  <c r="X361" i="7"/>
  <c r="X362" i="7" s="1"/>
  <c r="X355" i="7"/>
  <c r="X356" i="7" s="1"/>
  <c r="X344" i="7"/>
  <c r="X345" i="7" s="1"/>
  <c r="X346" i="7" s="1"/>
  <c r="X332" i="7"/>
  <c r="X326" i="7"/>
  <c r="X319" i="7"/>
  <c r="X310" i="7"/>
  <c r="X299" i="7"/>
  <c r="X290" i="7"/>
  <c r="X285" i="7"/>
  <c r="X270" i="7"/>
  <c r="X266" i="7"/>
  <c r="X262" i="7"/>
  <c r="X255" i="7"/>
  <c r="X249" i="7"/>
  <c r="X242" i="7"/>
  <c r="X228" i="7"/>
  <c r="X223" i="7"/>
  <c r="X217" i="7"/>
  <c r="X213" i="7"/>
  <c r="X209" i="7"/>
  <c r="X196" i="7"/>
  <c r="X192" i="7"/>
  <c r="X184" i="7"/>
  <c r="X185" i="7" s="1"/>
  <c r="X176" i="7"/>
  <c r="X171" i="7"/>
  <c r="X161" i="7"/>
  <c r="X156" i="7"/>
  <c r="X150" i="7"/>
  <c r="X133" i="7"/>
  <c r="X141" i="7" s="1"/>
  <c r="X119" i="7"/>
  <c r="X120" i="7" s="1"/>
  <c r="X113" i="7"/>
  <c r="X114" i="7" s="1"/>
  <c r="X100" i="7"/>
  <c r="X88" i="7"/>
  <c r="X76" i="7"/>
  <c r="X77" i="7" s="1"/>
  <c r="X78" i="7" s="1"/>
  <c r="X79" i="7" s="1"/>
  <c r="X29" i="7"/>
  <c r="X33" i="7"/>
  <c r="X39" i="7"/>
  <c r="X40" i="7" s="1"/>
  <c r="X62" i="7"/>
  <c r="X63" i="7" s="1"/>
  <c r="X19" i="7"/>
  <c r="X20" i="7" s="1"/>
  <c r="X21" i="7" s="1"/>
  <c r="X22" i="7" s="1"/>
  <c r="X718" i="7"/>
  <c r="X719" i="7" s="1"/>
  <c r="X712" i="7"/>
  <c r="X713" i="7" s="1"/>
  <c r="X708" i="7"/>
  <c r="X700" i="7"/>
  <c r="X694" i="7"/>
  <c r="X690" i="7"/>
  <c r="X686" i="7"/>
  <c r="X735" i="7"/>
  <c r="X728" i="7"/>
  <c r="W673" i="7"/>
  <c r="W674" i="7" s="1"/>
  <c r="W665" i="7"/>
  <c r="W660" i="7"/>
  <c r="W655" i="7"/>
  <c r="W649" i="7"/>
  <c r="W645" i="7"/>
  <c r="W637" i="7"/>
  <c r="W633" i="7"/>
  <c r="W629" i="7"/>
  <c r="W617" i="7"/>
  <c r="W612" i="7"/>
  <c r="W605" i="7"/>
  <c r="W599" i="7"/>
  <c r="W594" i="7"/>
  <c r="W581" i="7"/>
  <c r="W575" i="7"/>
  <c r="W569" i="7"/>
  <c r="W562" i="7"/>
  <c r="W555" i="7"/>
  <c r="W556" i="7" s="1"/>
  <c r="W543" i="7"/>
  <c r="W544" i="7" s="1"/>
  <c r="W545" i="7" s="1"/>
  <c r="W546" i="7" s="1"/>
  <c r="W533" i="7"/>
  <c r="W534" i="7" s="1"/>
  <c r="W524" i="7"/>
  <c r="W520" i="7"/>
  <c r="W516" i="7"/>
  <c r="W512" i="7"/>
  <c r="W507" i="7"/>
  <c r="W500" i="7"/>
  <c r="W496" i="7"/>
  <c r="W490" i="7"/>
  <c r="W484" i="7"/>
  <c r="W501" i="7" s="1"/>
  <c r="W478" i="7"/>
  <c r="W479" i="7" s="1"/>
  <c r="W467" i="7"/>
  <c r="W468" i="7" s="1"/>
  <c r="W461" i="7"/>
  <c r="W456" i="7"/>
  <c r="W452" i="7"/>
  <c r="W448" i="7"/>
  <c r="W441" i="7"/>
  <c r="W433" i="7"/>
  <c r="W423" i="7"/>
  <c r="W419" i="7"/>
  <c r="W412" i="7"/>
  <c r="W399" i="7"/>
  <c r="W386" i="7"/>
  <c r="W382" i="7"/>
  <c r="W373" i="7"/>
  <c r="W361" i="7"/>
  <c r="W362" i="7" s="1"/>
  <c r="W363" i="7" s="1"/>
  <c r="W364" i="7" s="1"/>
  <c r="W355" i="7"/>
  <c r="W356" i="7" s="1"/>
  <c r="W344" i="7"/>
  <c r="W345" i="7" s="1"/>
  <c r="W346" i="7" s="1"/>
  <c r="W332" i="7"/>
  <c r="W326" i="7"/>
  <c r="W319" i="7"/>
  <c r="W333" i="7" s="1"/>
  <c r="W310" i="7"/>
  <c r="W299" i="7"/>
  <c r="W290" i="7"/>
  <c r="W285" i="7"/>
  <c r="W300" i="7" s="1"/>
  <c r="W270" i="7"/>
  <c r="W266" i="7"/>
  <c r="W262" i="7"/>
  <c r="W255" i="7"/>
  <c r="W256" i="7" s="1"/>
  <c r="W249" i="7"/>
  <c r="W242" i="7"/>
  <c r="W228" i="7"/>
  <c r="W223" i="7"/>
  <c r="W229" i="7" s="1"/>
  <c r="W217" i="7"/>
  <c r="W213" i="7"/>
  <c r="W209" i="7"/>
  <c r="W196" i="7"/>
  <c r="W197" i="7" s="1"/>
  <c r="W198" i="7" s="1"/>
  <c r="W192" i="7"/>
  <c r="W184" i="7"/>
  <c r="W185" i="7" s="1"/>
  <c r="W176" i="7"/>
  <c r="W171" i="7"/>
  <c r="W177" i="7" s="1"/>
  <c r="W161" i="7"/>
  <c r="W156" i="7"/>
  <c r="W150" i="7"/>
  <c r="W133" i="7"/>
  <c r="W141" i="7" s="1"/>
  <c r="W119" i="7"/>
  <c r="W120" i="7" s="1"/>
  <c r="W113" i="7"/>
  <c r="W114" i="7" s="1"/>
  <c r="W100" i="7"/>
  <c r="W88" i="7"/>
  <c r="W76" i="7"/>
  <c r="W77" i="7" s="1"/>
  <c r="W78" i="7" s="1"/>
  <c r="W79" i="7" s="1"/>
  <c r="W29" i="7"/>
  <c r="W33" i="7"/>
  <c r="W39" i="7"/>
  <c r="W40" i="7" s="1"/>
  <c r="W62" i="7"/>
  <c r="W63" i="7" s="1"/>
  <c r="W19" i="7"/>
  <c r="W20" i="7" s="1"/>
  <c r="W21" i="7" s="1"/>
  <c r="W22" i="7" s="1"/>
  <c r="W718" i="7"/>
  <c r="W719" i="7" s="1"/>
  <c r="W712" i="7"/>
  <c r="W708" i="7"/>
  <c r="W700" i="7"/>
  <c r="W694" i="7"/>
  <c r="W690" i="7"/>
  <c r="W686" i="7"/>
  <c r="W735" i="7"/>
  <c r="W728" i="7"/>
  <c r="V673" i="7"/>
  <c r="V674" i="7" s="1"/>
  <c r="V665" i="7"/>
  <c r="V660" i="7"/>
  <c r="V655" i="7"/>
  <c r="V649" i="7"/>
  <c r="V645" i="7"/>
  <c r="V637" i="7"/>
  <c r="V633" i="7"/>
  <c r="V629" i="7"/>
  <c r="V638" i="7" s="1"/>
  <c r="V623" i="7"/>
  <c r="V617" i="7"/>
  <c r="V612" i="7"/>
  <c r="V605" i="7"/>
  <c r="V599" i="7"/>
  <c r="V594" i="7"/>
  <c r="V589" i="7"/>
  <c r="V581" i="7"/>
  <c r="V575" i="7"/>
  <c r="V569" i="7"/>
  <c r="V562" i="7"/>
  <c r="V555" i="7"/>
  <c r="V556" i="7" s="1"/>
  <c r="V543" i="7"/>
  <c r="V544" i="7" s="1"/>
  <c r="V545" i="7" s="1"/>
  <c r="V546" i="7" s="1"/>
  <c r="V533" i="7"/>
  <c r="V534" i="7" s="1"/>
  <c r="V524" i="7"/>
  <c r="V520" i="7"/>
  <c r="V516" i="7"/>
  <c r="V512" i="7"/>
  <c r="V507" i="7"/>
  <c r="V500" i="7"/>
  <c r="V501" i="7" s="1"/>
  <c r="V496" i="7"/>
  <c r="V490" i="7"/>
  <c r="V484" i="7"/>
  <c r="V478" i="7"/>
  <c r="V479" i="7" s="1"/>
  <c r="V467" i="7"/>
  <c r="V468" i="7" s="1"/>
  <c r="V456" i="7"/>
  <c r="V452" i="7"/>
  <c r="V448" i="7"/>
  <c r="V441" i="7"/>
  <c r="V423" i="7"/>
  <c r="V419" i="7"/>
  <c r="V399" i="7"/>
  <c r="V386" i="7"/>
  <c r="V382" i="7"/>
  <c r="V373" i="7"/>
  <c r="V361" i="7"/>
  <c r="V362" i="7" s="1"/>
  <c r="V355" i="7"/>
  <c r="V356" i="7" s="1"/>
  <c r="V363" i="7" s="1"/>
  <c r="V364" i="7" s="1"/>
  <c r="V344" i="7"/>
  <c r="V345" i="7" s="1"/>
  <c r="V346" i="7" s="1"/>
  <c r="V332" i="7"/>
  <c r="V326" i="7"/>
  <c r="V319" i="7"/>
  <c r="V310" i="7"/>
  <c r="V299" i="7"/>
  <c r="V290" i="7"/>
  <c r="V285" i="7"/>
  <c r="V270" i="7"/>
  <c r="V266" i="7"/>
  <c r="V262" i="7"/>
  <c r="V255" i="7"/>
  <c r="V249" i="7"/>
  <c r="V242" i="7"/>
  <c r="V228" i="7"/>
  <c r="V223" i="7"/>
  <c r="V217" i="7"/>
  <c r="V218" i="7" s="1"/>
  <c r="V213" i="7"/>
  <c r="V209" i="7"/>
  <c r="V196" i="7"/>
  <c r="V192" i="7"/>
  <c r="V184" i="7"/>
  <c r="V185" i="7" s="1"/>
  <c r="V176" i="7"/>
  <c r="V171" i="7"/>
  <c r="V161" i="7"/>
  <c r="V156" i="7"/>
  <c r="V150" i="7"/>
  <c r="V133" i="7"/>
  <c r="V141" i="7"/>
  <c r="V119" i="7"/>
  <c r="V120" i="7" s="1"/>
  <c r="V113" i="7"/>
  <c r="V114" i="7" s="1"/>
  <c r="V100" i="7"/>
  <c r="V88" i="7"/>
  <c r="V76" i="7"/>
  <c r="V77" i="7" s="1"/>
  <c r="V78" i="7" s="1"/>
  <c r="V79" i="7" s="1"/>
  <c r="V29" i="7"/>
  <c r="V33" i="7"/>
  <c r="V39" i="7"/>
  <c r="V40" i="7" s="1"/>
  <c r="V62" i="7"/>
  <c r="V63" i="7"/>
  <c r="V19" i="7"/>
  <c r="V20" i="7" s="1"/>
  <c r="V21" i="7" s="1"/>
  <c r="V22" i="7"/>
  <c r="V718" i="7"/>
  <c r="V719" i="7" s="1"/>
  <c r="V712" i="7"/>
  <c r="V708" i="7"/>
  <c r="V700" i="7"/>
  <c r="V694" i="7"/>
  <c r="V690" i="7"/>
  <c r="V701" i="7" s="1"/>
  <c r="V686" i="7"/>
  <c r="V735" i="7"/>
  <c r="V728" i="7"/>
  <c r="V747" i="7"/>
  <c r="V748" i="7" s="1"/>
  <c r="V749" i="7" s="1"/>
  <c r="V750" i="7" s="1"/>
  <c r="U673" i="7"/>
  <c r="U674" i="7" s="1"/>
  <c r="U665" i="7"/>
  <c r="U660" i="7"/>
  <c r="U655" i="7"/>
  <c r="U649" i="7"/>
  <c r="U645" i="7"/>
  <c r="U637" i="7"/>
  <c r="U633" i="7"/>
  <c r="U629" i="7"/>
  <c r="U623" i="7"/>
  <c r="U624" i="7" s="1"/>
  <c r="U617" i="7"/>
  <c r="U612" i="7"/>
  <c r="U605" i="7"/>
  <c r="U599" i="7"/>
  <c r="U594" i="7"/>
  <c r="U589" i="7"/>
  <c r="U581" i="7"/>
  <c r="U575" i="7"/>
  <c r="U569" i="7"/>
  <c r="U562" i="7"/>
  <c r="U555" i="7"/>
  <c r="U556" i="7" s="1"/>
  <c r="U543" i="7"/>
  <c r="U544" i="7" s="1"/>
  <c r="U545" i="7" s="1"/>
  <c r="U546" i="7" s="1"/>
  <c r="U533" i="7"/>
  <c r="U534" i="7" s="1"/>
  <c r="U524" i="7"/>
  <c r="U520" i="7"/>
  <c r="U516" i="7"/>
  <c r="U512" i="7"/>
  <c r="U507" i="7"/>
  <c r="U500" i="7"/>
  <c r="U496" i="7"/>
  <c r="U490" i="7"/>
  <c r="U484" i="7"/>
  <c r="U478" i="7"/>
  <c r="U479" i="7" s="1"/>
  <c r="U467" i="7"/>
  <c r="U468" i="7"/>
  <c r="U461" i="7"/>
  <c r="U456" i="7"/>
  <c r="U452" i="7"/>
  <c r="U448" i="7"/>
  <c r="U441" i="7"/>
  <c r="U433" i="7"/>
  <c r="U442" i="7" s="1"/>
  <c r="U423" i="7"/>
  <c r="U419" i="7"/>
  <c r="U412" i="7"/>
  <c r="U399" i="7"/>
  <c r="U386" i="7"/>
  <c r="U382" i="7"/>
  <c r="U373" i="7"/>
  <c r="U361" i="7"/>
  <c r="U362" i="7" s="1"/>
  <c r="U355" i="7"/>
  <c r="U356" i="7" s="1"/>
  <c r="U344" i="7"/>
  <c r="U345" i="7" s="1"/>
  <c r="U346" i="7" s="1"/>
  <c r="U332" i="7"/>
  <c r="U326" i="7"/>
  <c r="U319" i="7"/>
  <c r="U310" i="7"/>
  <c r="U299" i="7"/>
  <c r="U290" i="7"/>
  <c r="U285" i="7"/>
  <c r="U270" i="7"/>
  <c r="U266" i="7"/>
  <c r="U271" i="7" s="1"/>
  <c r="U262" i="7"/>
  <c r="U255" i="7"/>
  <c r="U249" i="7"/>
  <c r="U242" i="7"/>
  <c r="U228" i="7"/>
  <c r="U223" i="7"/>
  <c r="U217" i="7"/>
  <c r="U213" i="7"/>
  <c r="U209" i="7"/>
  <c r="U196" i="7"/>
  <c r="U192" i="7"/>
  <c r="U184" i="7"/>
  <c r="U185" i="7" s="1"/>
  <c r="U176" i="7"/>
  <c r="U171" i="7"/>
  <c r="U177" i="7" s="1"/>
  <c r="U161" i="7"/>
  <c r="U156" i="7"/>
  <c r="U150" i="7"/>
  <c r="U133" i="7"/>
  <c r="U141" i="7" s="1"/>
  <c r="U119" i="7"/>
  <c r="U120" i="7" s="1"/>
  <c r="U113" i="7"/>
  <c r="U114" i="7" s="1"/>
  <c r="U100" i="7"/>
  <c r="U88" i="7"/>
  <c r="U76" i="7"/>
  <c r="U77" i="7" s="1"/>
  <c r="U78" i="7" s="1"/>
  <c r="U79" i="7" s="1"/>
  <c r="U29" i="7"/>
  <c r="U34" i="7" s="1"/>
  <c r="U33" i="7"/>
  <c r="U39" i="7"/>
  <c r="U40" i="7" s="1"/>
  <c r="U62" i="7"/>
  <c r="U63" i="7" s="1"/>
  <c r="U19" i="7"/>
  <c r="U20" i="7" s="1"/>
  <c r="U21" i="7" s="1"/>
  <c r="U22" i="7" s="1"/>
  <c r="U718" i="7"/>
  <c r="U719" i="7" s="1"/>
  <c r="U712" i="7"/>
  <c r="U708" i="7"/>
  <c r="U700" i="7"/>
  <c r="U694" i="7"/>
  <c r="U690" i="7"/>
  <c r="U686" i="7"/>
  <c r="U735" i="7"/>
  <c r="U728" i="7"/>
  <c r="U747" i="7"/>
  <c r="U748" i="7" s="1"/>
  <c r="U749" i="7" s="1"/>
  <c r="U750" i="7" s="1"/>
  <c r="T673" i="7"/>
  <c r="T674" i="7" s="1"/>
  <c r="T665" i="7"/>
  <c r="T660" i="7"/>
  <c r="T655" i="7"/>
  <c r="T649" i="7"/>
  <c r="T645" i="7"/>
  <c r="T637" i="7"/>
  <c r="T633" i="7"/>
  <c r="T629" i="7"/>
  <c r="T623" i="7"/>
  <c r="T617" i="7"/>
  <c r="T612" i="7"/>
  <c r="T605" i="7"/>
  <c r="T599" i="7"/>
  <c r="T594" i="7"/>
  <c r="T589" i="7"/>
  <c r="T581" i="7"/>
  <c r="T575" i="7"/>
  <c r="T569" i="7"/>
  <c r="T562" i="7"/>
  <c r="T555" i="7"/>
  <c r="T556" i="7" s="1"/>
  <c r="T543" i="7"/>
  <c r="T544" i="7"/>
  <c r="T545" i="7" s="1"/>
  <c r="T546" i="7" s="1"/>
  <c r="T533" i="7"/>
  <c r="T534" i="7"/>
  <c r="T524" i="7"/>
  <c r="T520" i="7"/>
  <c r="T516" i="7"/>
  <c r="T512" i="7"/>
  <c r="T525" i="7" s="1"/>
  <c r="T507" i="7"/>
  <c r="T500" i="7"/>
  <c r="T496" i="7"/>
  <c r="T490" i="7"/>
  <c r="T484" i="7"/>
  <c r="T478" i="7"/>
  <c r="T479" i="7" s="1"/>
  <c r="T467" i="7"/>
  <c r="T468" i="7" s="1"/>
  <c r="T461" i="7"/>
  <c r="T462" i="7" s="1"/>
  <c r="T456" i="7"/>
  <c r="T452" i="7"/>
  <c r="T448" i="7"/>
  <c r="T441" i="7"/>
  <c r="T442" i="7" s="1"/>
  <c r="T433" i="7"/>
  <c r="T423" i="7"/>
  <c r="T419" i="7"/>
  <c r="T412" i="7"/>
  <c r="T424" i="7" s="1"/>
  <c r="T399" i="7"/>
  <c r="T386" i="7"/>
  <c r="T382" i="7"/>
  <c r="T373" i="7"/>
  <c r="T387" i="7" s="1"/>
  <c r="T361" i="7"/>
  <c r="T362" i="7"/>
  <c r="T355" i="7"/>
  <c r="T356" i="7" s="1"/>
  <c r="T363" i="7" s="1"/>
  <c r="T364" i="7" s="1"/>
  <c r="T344" i="7"/>
  <c r="T345" i="7" s="1"/>
  <c r="T346" i="7" s="1"/>
  <c r="T332" i="7"/>
  <c r="T326" i="7"/>
  <c r="T319" i="7"/>
  <c r="T333" i="7" s="1"/>
  <c r="T310" i="7"/>
  <c r="T299" i="7"/>
  <c r="T290" i="7"/>
  <c r="T285" i="7"/>
  <c r="T270" i="7"/>
  <c r="T266" i="7"/>
  <c r="T262" i="7"/>
  <c r="T255" i="7"/>
  <c r="T256" i="7" s="1"/>
  <c r="T249" i="7"/>
  <c r="T242" i="7"/>
  <c r="T228" i="7"/>
  <c r="T223" i="7"/>
  <c r="T217" i="7"/>
  <c r="T213" i="7"/>
  <c r="T209" i="7"/>
  <c r="T196" i="7"/>
  <c r="T197" i="7" s="1"/>
  <c r="T198" i="7" s="1"/>
  <c r="T192" i="7"/>
  <c r="T184" i="7"/>
  <c r="T185" i="7" s="1"/>
  <c r="T176" i="7"/>
  <c r="T171" i="7"/>
  <c r="T161" i="7"/>
  <c r="T156" i="7"/>
  <c r="T150" i="7"/>
  <c r="T162" i="7" s="1"/>
  <c r="T133" i="7"/>
  <c r="T141" i="7" s="1"/>
  <c r="T119" i="7"/>
  <c r="T120" i="7"/>
  <c r="T113" i="7"/>
  <c r="T114" i="7" s="1"/>
  <c r="T100" i="7"/>
  <c r="T88" i="7"/>
  <c r="T101" i="7" s="1"/>
  <c r="T102" i="7" s="1"/>
  <c r="T29" i="7"/>
  <c r="T34" i="7" s="1"/>
  <c r="T64" i="7" s="1"/>
  <c r="T65" i="7" s="1"/>
  <c r="T33" i="7"/>
  <c r="T39" i="7"/>
  <c r="T40" i="7"/>
  <c r="T62" i="7"/>
  <c r="T63" i="7" s="1"/>
  <c r="T19" i="7"/>
  <c r="T20" i="7"/>
  <c r="T21" i="7" s="1"/>
  <c r="T22" i="7" s="1"/>
  <c r="T718" i="7"/>
  <c r="T719" i="7"/>
  <c r="T712" i="7"/>
  <c r="T708" i="7"/>
  <c r="T700" i="7"/>
  <c r="T694" i="7"/>
  <c r="T690" i="7"/>
  <c r="T686" i="7"/>
  <c r="T735" i="7"/>
  <c r="T728" i="7"/>
  <c r="T736" i="7" s="1"/>
  <c r="T737" i="7" s="1"/>
  <c r="T738" i="7" s="1"/>
  <c r="T747" i="7"/>
  <c r="T748" i="7" s="1"/>
  <c r="T749" i="7" s="1"/>
  <c r="T750" i="7"/>
  <c r="S673" i="7"/>
  <c r="S674" i="7" s="1"/>
  <c r="S665" i="7"/>
  <c r="S666" i="7" s="1"/>
  <c r="S660" i="7"/>
  <c r="S655" i="7"/>
  <c r="S649" i="7"/>
  <c r="S645" i="7"/>
  <c r="S637" i="7"/>
  <c r="S633" i="7"/>
  <c r="S629" i="7"/>
  <c r="S623" i="7"/>
  <c r="S617" i="7"/>
  <c r="S612" i="7"/>
  <c r="S605" i="7"/>
  <c r="S599" i="7"/>
  <c r="S594" i="7"/>
  <c r="S589" i="7"/>
  <c r="S581" i="7"/>
  <c r="S575" i="7"/>
  <c r="S569" i="7"/>
  <c r="S562" i="7"/>
  <c r="S555" i="7"/>
  <c r="S556" i="7" s="1"/>
  <c r="S543" i="7"/>
  <c r="S544" i="7" s="1"/>
  <c r="S545" i="7" s="1"/>
  <c r="S546" i="7" s="1"/>
  <c r="S533" i="7"/>
  <c r="S534" i="7" s="1"/>
  <c r="S524" i="7"/>
  <c r="S520" i="7"/>
  <c r="S516" i="7"/>
  <c r="S525" i="7" s="1"/>
  <c r="S512" i="7"/>
  <c r="S507" i="7"/>
  <c r="S500" i="7"/>
  <c r="S496" i="7"/>
  <c r="S501" i="7" s="1"/>
  <c r="S490" i="7"/>
  <c r="S484" i="7"/>
  <c r="S478" i="7"/>
  <c r="S479" i="7"/>
  <c r="S467" i="7"/>
  <c r="S468" i="7" s="1"/>
  <c r="S461" i="7"/>
  <c r="S456" i="7"/>
  <c r="S452" i="7"/>
  <c r="S462" i="7" s="1"/>
  <c r="S448" i="7"/>
  <c r="S441" i="7"/>
  <c r="S433" i="7"/>
  <c r="S442" i="7" s="1"/>
  <c r="S423" i="7"/>
  <c r="S424" i="7" s="1"/>
  <c r="S419" i="7"/>
  <c r="S412" i="7"/>
  <c r="S399" i="7"/>
  <c r="S386" i="7"/>
  <c r="S387" i="7" s="1"/>
  <c r="S382" i="7"/>
  <c r="S373" i="7"/>
  <c r="S361" i="7"/>
  <c r="S362" i="7" s="1"/>
  <c r="S355" i="7"/>
  <c r="S356" i="7" s="1"/>
  <c r="S344" i="7"/>
  <c r="S345" i="7" s="1"/>
  <c r="S346" i="7" s="1"/>
  <c r="S332" i="7"/>
  <c r="S326" i="7"/>
  <c r="S319" i="7"/>
  <c r="S310" i="7"/>
  <c r="S299" i="7"/>
  <c r="S290" i="7"/>
  <c r="S285" i="7"/>
  <c r="S300" i="7" s="1"/>
  <c r="S301" i="7" s="1"/>
  <c r="S270" i="7"/>
  <c r="S266" i="7"/>
  <c r="S262" i="7"/>
  <c r="S271" i="7" s="1"/>
  <c r="S255" i="7"/>
  <c r="S256" i="7" s="1"/>
  <c r="S249" i="7"/>
  <c r="S242" i="7"/>
  <c r="S228" i="7"/>
  <c r="S223" i="7"/>
  <c r="S217" i="7"/>
  <c r="S213" i="7"/>
  <c r="S209" i="7"/>
  <c r="S218" i="7" s="1"/>
  <c r="S196" i="7"/>
  <c r="S192" i="7"/>
  <c r="S184" i="7"/>
  <c r="S185" i="7"/>
  <c r="S176" i="7"/>
  <c r="S177" i="7" s="1"/>
  <c r="S171" i="7"/>
  <c r="S161" i="7"/>
  <c r="S156" i="7"/>
  <c r="S150" i="7"/>
  <c r="S119" i="7"/>
  <c r="S120" i="7" s="1"/>
  <c r="S113" i="7"/>
  <c r="S114" i="7" s="1"/>
  <c r="S100" i="7"/>
  <c r="S88" i="7"/>
  <c r="S101" i="7" s="1"/>
  <c r="S76" i="7"/>
  <c r="S77" i="7" s="1"/>
  <c r="S78" i="7" s="1"/>
  <c r="S79" i="7" s="1"/>
  <c r="S29" i="7"/>
  <c r="S33" i="7"/>
  <c r="S39" i="7"/>
  <c r="S40" i="7" s="1"/>
  <c r="S62" i="7"/>
  <c r="S63" i="7" s="1"/>
  <c r="S19" i="7"/>
  <c r="S20" i="7" s="1"/>
  <c r="S21" i="7"/>
  <c r="S22" i="7" s="1"/>
  <c r="S718" i="7"/>
  <c r="S719" i="7" s="1"/>
  <c r="S712" i="7"/>
  <c r="S708" i="7"/>
  <c r="S700" i="7"/>
  <c r="S694" i="7"/>
  <c r="S690" i="7"/>
  <c r="S686" i="7"/>
  <c r="S735" i="7"/>
  <c r="S728" i="7"/>
  <c r="S736" i="7" s="1"/>
  <c r="S737" i="7" s="1"/>
  <c r="S747" i="7"/>
  <c r="S748" i="7" s="1"/>
  <c r="S749" i="7" s="1"/>
  <c r="S750" i="7" s="1"/>
  <c r="R673" i="7"/>
  <c r="R674" i="7" s="1"/>
  <c r="R665" i="7"/>
  <c r="R660" i="7"/>
  <c r="R666" i="7" s="1"/>
  <c r="R655" i="7"/>
  <c r="R649" i="7"/>
  <c r="R645" i="7"/>
  <c r="R637" i="7"/>
  <c r="R638" i="7" s="1"/>
  <c r="R633" i="7"/>
  <c r="R629" i="7"/>
  <c r="R623" i="7"/>
  <c r="R617" i="7"/>
  <c r="R612" i="7"/>
  <c r="R605" i="7"/>
  <c r="R599" i="7"/>
  <c r="R594" i="7"/>
  <c r="R589" i="7"/>
  <c r="R581" i="7"/>
  <c r="R575" i="7"/>
  <c r="R569" i="7"/>
  <c r="R562" i="7"/>
  <c r="R555" i="7"/>
  <c r="R556" i="7" s="1"/>
  <c r="R543" i="7"/>
  <c r="R544" i="7"/>
  <c r="R545" i="7" s="1"/>
  <c r="R546" i="7" s="1"/>
  <c r="R533" i="7"/>
  <c r="R534" i="7"/>
  <c r="R524" i="7"/>
  <c r="R520" i="7"/>
  <c r="R525" i="7" s="1"/>
  <c r="R516" i="7"/>
  <c r="R512" i="7"/>
  <c r="R507" i="7"/>
  <c r="R500" i="7"/>
  <c r="R501" i="7" s="1"/>
  <c r="R496" i="7"/>
  <c r="R490" i="7"/>
  <c r="R484" i="7"/>
  <c r="R478" i="7"/>
  <c r="R479" i="7" s="1"/>
  <c r="R467" i="7"/>
  <c r="R468" i="7" s="1"/>
  <c r="R461" i="7"/>
  <c r="R456" i="7"/>
  <c r="R452" i="7"/>
  <c r="R448" i="7"/>
  <c r="R441" i="7"/>
  <c r="R433" i="7"/>
  <c r="R423" i="7"/>
  <c r="R424" i="7" s="1"/>
  <c r="R419" i="7"/>
  <c r="R412" i="7"/>
  <c r="R399" i="7"/>
  <c r="R386" i="7"/>
  <c r="R387" i="7" s="1"/>
  <c r="R382" i="7"/>
  <c r="R373" i="7"/>
  <c r="R361" i="7"/>
  <c r="R362" i="7"/>
  <c r="R355" i="7"/>
  <c r="R356" i="7" s="1"/>
  <c r="R344" i="7"/>
  <c r="R345" i="7"/>
  <c r="R346" i="7" s="1"/>
  <c r="R332" i="7"/>
  <c r="R326" i="7"/>
  <c r="R319" i="7"/>
  <c r="R310" i="7"/>
  <c r="R299" i="7"/>
  <c r="R290" i="7"/>
  <c r="R285" i="7"/>
  <c r="R270" i="7"/>
  <c r="R266" i="7"/>
  <c r="R271" i="7" s="1"/>
  <c r="R262" i="7"/>
  <c r="R255" i="7"/>
  <c r="R249" i="7"/>
  <c r="R242" i="7"/>
  <c r="R228" i="7"/>
  <c r="R223" i="7"/>
  <c r="R217" i="7"/>
  <c r="R213" i="7"/>
  <c r="R218" i="7" s="1"/>
  <c r="R209" i="7"/>
  <c r="R196" i="7"/>
  <c r="R192" i="7"/>
  <c r="R184" i="7"/>
  <c r="R185" i="7" s="1"/>
  <c r="R176" i="7"/>
  <c r="R171" i="7"/>
  <c r="R161" i="7"/>
  <c r="R156" i="7"/>
  <c r="R150" i="7"/>
  <c r="R133" i="7"/>
  <c r="R141" i="7" s="1"/>
  <c r="R119" i="7"/>
  <c r="R120" i="7"/>
  <c r="R113" i="7"/>
  <c r="R114" i="7" s="1"/>
  <c r="R100" i="7"/>
  <c r="R88" i="7"/>
  <c r="R101" i="7" s="1"/>
  <c r="R102" i="7" s="1"/>
  <c r="R76" i="7"/>
  <c r="R77" i="7" s="1"/>
  <c r="R78" i="7" s="1"/>
  <c r="R79" i="7" s="1"/>
  <c r="R29" i="7"/>
  <c r="R33" i="7"/>
  <c r="R39" i="7"/>
  <c r="R40" i="7" s="1"/>
  <c r="R64" i="7" s="1"/>
  <c r="R65" i="7" s="1"/>
  <c r="R62" i="7"/>
  <c r="R63" i="7" s="1"/>
  <c r="R19" i="7"/>
  <c r="R20" i="7"/>
  <c r="R21" i="7" s="1"/>
  <c r="R22" i="7" s="1"/>
  <c r="R718" i="7"/>
  <c r="R719" i="7"/>
  <c r="R712" i="7"/>
  <c r="R708" i="7"/>
  <c r="R713" i="7" s="1"/>
  <c r="R700" i="7"/>
  <c r="R694" i="7"/>
  <c r="R690" i="7"/>
  <c r="R686" i="7"/>
  <c r="R728" i="7"/>
  <c r="R747" i="7"/>
  <c r="R748" i="7" s="1"/>
  <c r="R749" i="7" s="1"/>
  <c r="R750" i="7" s="1"/>
  <c r="Q673" i="7"/>
  <c r="Q674" i="7" s="1"/>
  <c r="Q665" i="7"/>
  <c r="Q660" i="7"/>
  <c r="Q655" i="7"/>
  <c r="Q649" i="7"/>
  <c r="Q645" i="7"/>
  <c r="Q637" i="7"/>
  <c r="Q633" i="7"/>
  <c r="Q629" i="7"/>
  <c r="Q623" i="7"/>
  <c r="Q617" i="7"/>
  <c r="Q612" i="7"/>
  <c r="Q605" i="7"/>
  <c r="Q599" i="7"/>
  <c r="Q594" i="7"/>
  <c r="Q589" i="7"/>
  <c r="Q581" i="7"/>
  <c r="Q575" i="7"/>
  <c r="Q569" i="7"/>
  <c r="Q562" i="7"/>
  <c r="Q555" i="7"/>
  <c r="Q556" i="7" s="1"/>
  <c r="Q543" i="7"/>
  <c r="Q544" i="7" s="1"/>
  <c r="Q545" i="7" s="1"/>
  <c r="Q546" i="7" s="1"/>
  <c r="Q524" i="7"/>
  <c r="Q520" i="7"/>
  <c r="Q516" i="7"/>
  <c r="Q512" i="7"/>
  <c r="Q507" i="7"/>
  <c r="Q500" i="7"/>
  <c r="Q496" i="7"/>
  <c r="Q490" i="7"/>
  <c r="Q484" i="7"/>
  <c r="Q478" i="7"/>
  <c r="Q479" i="7" s="1"/>
  <c r="Q467" i="7"/>
  <c r="Q468" i="7" s="1"/>
  <c r="Q461" i="7"/>
  <c r="Q456" i="7"/>
  <c r="Q452" i="7"/>
  <c r="Q448" i="7"/>
  <c r="Q441" i="7"/>
  <c r="Q433" i="7"/>
  <c r="Q423" i="7"/>
  <c r="Q419" i="7"/>
  <c r="Q424" i="7" s="1"/>
  <c r="Q412" i="7"/>
  <c r="Q399" i="7"/>
  <c r="Q386" i="7"/>
  <c r="Q382" i="7"/>
  <c r="Q387" i="7" s="1"/>
  <c r="Q373" i="7"/>
  <c r="Q361" i="7"/>
  <c r="Q362" i="7" s="1"/>
  <c r="Q355" i="7"/>
  <c r="Q356" i="7"/>
  <c r="Q344" i="7"/>
  <c r="Q345" i="7" s="1"/>
  <c r="Q346" i="7" s="1"/>
  <c r="Q332" i="7"/>
  <c r="Q326" i="7"/>
  <c r="Q319" i="7"/>
  <c r="Q333" i="7" s="1"/>
  <c r="Q334" i="7" s="1"/>
  <c r="Q310" i="7"/>
  <c r="Q299" i="7"/>
  <c r="Q290" i="7"/>
  <c r="Q285" i="7"/>
  <c r="Q300" i="7" s="1"/>
  <c r="Q301" i="7" s="1"/>
  <c r="Q347" i="7" s="1"/>
  <c r="Q270" i="7"/>
  <c r="Q266" i="7"/>
  <c r="Q262" i="7"/>
  <c r="Q255" i="7"/>
  <c r="Q249" i="7"/>
  <c r="Q242" i="7"/>
  <c r="Q228" i="7"/>
  <c r="Q223" i="7"/>
  <c r="Q229" i="7" s="1"/>
  <c r="Q217" i="7"/>
  <c r="Q213" i="7"/>
  <c r="Q209" i="7"/>
  <c r="Q196" i="7"/>
  <c r="Q197" i="7" s="1"/>
  <c r="Q198" i="7" s="1"/>
  <c r="Q192" i="7"/>
  <c r="Q184" i="7"/>
  <c r="Q185" i="7" s="1"/>
  <c r="Q176" i="7"/>
  <c r="Q171" i="7"/>
  <c r="Q161" i="7"/>
  <c r="Q156" i="7"/>
  <c r="Q150" i="7"/>
  <c r="Q133" i="7"/>
  <c r="Q141" i="7" s="1"/>
  <c r="Q119" i="7"/>
  <c r="Q120" i="7" s="1"/>
  <c r="Q113" i="7"/>
  <c r="Q114" i="7"/>
  <c r="Q100" i="7"/>
  <c r="Q88" i="7"/>
  <c r="Q76" i="7"/>
  <c r="Q77" i="7"/>
  <c r="Q78" i="7" s="1"/>
  <c r="Q79" i="7" s="1"/>
  <c r="Q29" i="7"/>
  <c r="Q33" i="7"/>
  <c r="Q34" i="7" s="1"/>
  <c r="Q39" i="7"/>
  <c r="Q40" i="7" s="1"/>
  <c r="Q62" i="7"/>
  <c r="Q63" i="7" s="1"/>
  <c r="Q19" i="7"/>
  <c r="Q20" i="7" s="1"/>
  <c r="Q21" i="7" s="1"/>
  <c r="Q22" i="7" s="1"/>
  <c r="Q718" i="7"/>
  <c r="Q719" i="7" s="1"/>
  <c r="Q712" i="7"/>
  <c r="Q708" i="7"/>
  <c r="Q713" i="7" s="1"/>
  <c r="Q700" i="7"/>
  <c r="Q694" i="7"/>
  <c r="Q690" i="7"/>
  <c r="Q686" i="7"/>
  <c r="Q735" i="7"/>
  <c r="Q736" i="7" s="1"/>
  <c r="Q737" i="7" s="1"/>
  <c r="Q738" i="7" s="1"/>
  <c r="Q747" i="7"/>
  <c r="Q748" i="7" s="1"/>
  <c r="Q749" i="7" s="1"/>
  <c r="Q750" i="7" s="1"/>
  <c r="P673" i="7"/>
  <c r="P674" i="7" s="1"/>
  <c r="P665" i="7"/>
  <c r="P660" i="7"/>
  <c r="P666" i="7" s="1"/>
  <c r="P655" i="7"/>
  <c r="P649" i="7"/>
  <c r="P645" i="7"/>
  <c r="P637" i="7"/>
  <c r="P638" i="7" s="1"/>
  <c r="P633" i="7"/>
  <c r="P629" i="7"/>
  <c r="P623" i="7"/>
  <c r="P617" i="7"/>
  <c r="P612" i="7"/>
  <c r="P605" i="7"/>
  <c r="P599" i="7"/>
  <c r="P594" i="7"/>
  <c r="P589" i="7"/>
  <c r="P581" i="7"/>
  <c r="P575" i="7"/>
  <c r="P569" i="7"/>
  <c r="P562" i="7"/>
  <c r="P555" i="7"/>
  <c r="P556" i="7" s="1"/>
  <c r="P543" i="7"/>
  <c r="P544" i="7" s="1"/>
  <c r="P545" i="7" s="1"/>
  <c r="P546" i="7" s="1"/>
  <c r="P533" i="7"/>
  <c r="P534" i="7" s="1"/>
  <c r="P524" i="7"/>
  <c r="P520" i="7"/>
  <c r="P516" i="7"/>
  <c r="P512" i="7"/>
  <c r="P525" i="7" s="1"/>
  <c r="P507" i="7"/>
  <c r="P500" i="7"/>
  <c r="P496" i="7"/>
  <c r="P490" i="7"/>
  <c r="P501" i="7" s="1"/>
  <c r="P484" i="7"/>
  <c r="P478" i="7"/>
  <c r="P479" i="7"/>
  <c r="P467" i="7"/>
  <c r="P468" i="7" s="1"/>
  <c r="P461" i="7"/>
  <c r="P456" i="7"/>
  <c r="P452" i="7"/>
  <c r="P448" i="7"/>
  <c r="P441" i="7"/>
  <c r="P433" i="7"/>
  <c r="P442" i="7" s="1"/>
  <c r="P423" i="7"/>
  <c r="P419" i="7"/>
  <c r="P412" i="7"/>
  <c r="P399" i="7"/>
  <c r="P386" i="7"/>
  <c r="P382" i="7"/>
  <c r="P387" i="7" s="1"/>
  <c r="P373" i="7"/>
  <c r="P361" i="7"/>
  <c r="P362" i="7" s="1"/>
  <c r="P363" i="7" s="1"/>
  <c r="P364" i="7" s="1"/>
  <c r="P355" i="7"/>
  <c r="P356" i="7" s="1"/>
  <c r="P344" i="7"/>
  <c r="P345" i="7" s="1"/>
  <c r="P346" i="7" s="1"/>
  <c r="P332" i="7"/>
  <c r="P326" i="7"/>
  <c r="P319" i="7"/>
  <c r="P310" i="7"/>
  <c r="P333" i="7" s="1"/>
  <c r="P334" i="7" s="1"/>
  <c r="P299" i="7"/>
  <c r="P290" i="7"/>
  <c r="P300" i="7" s="1"/>
  <c r="P285" i="7"/>
  <c r="P270" i="7"/>
  <c r="P266" i="7"/>
  <c r="P262" i="7"/>
  <c r="P255" i="7"/>
  <c r="P249" i="7"/>
  <c r="P256" i="7" s="1"/>
  <c r="P242" i="7"/>
  <c r="P228" i="7"/>
  <c r="P229" i="7" s="1"/>
  <c r="P223" i="7"/>
  <c r="P213" i="7"/>
  <c r="P196" i="7"/>
  <c r="P192" i="7"/>
  <c r="P184" i="7"/>
  <c r="P185" i="7" s="1"/>
  <c r="P176" i="7"/>
  <c r="P171" i="7"/>
  <c r="P161" i="7"/>
  <c r="P156" i="7"/>
  <c r="P150" i="7"/>
  <c r="P133" i="7"/>
  <c r="P141" i="7" s="1"/>
  <c r="P119" i="7"/>
  <c r="P120" i="7" s="1"/>
  <c r="P113" i="7"/>
  <c r="P114" i="7" s="1"/>
  <c r="P100" i="7"/>
  <c r="P88" i="7"/>
  <c r="P76" i="7"/>
  <c r="P77" i="7" s="1"/>
  <c r="P78" i="7" s="1"/>
  <c r="P79" i="7" s="1"/>
  <c r="P29" i="7"/>
  <c r="P34" i="7" s="1"/>
  <c r="P33" i="7"/>
  <c r="P39" i="7"/>
  <c r="P40" i="7" s="1"/>
  <c r="P62" i="7"/>
  <c r="P63" i="7" s="1"/>
  <c r="P19" i="7"/>
  <c r="P20" i="7"/>
  <c r="P21" i="7" s="1"/>
  <c r="P22" i="7" s="1"/>
  <c r="P718" i="7"/>
  <c r="P719" i="7" s="1"/>
  <c r="P712" i="7"/>
  <c r="P713" i="7" s="1"/>
  <c r="P708" i="7"/>
  <c r="P700" i="7"/>
  <c r="P694" i="7"/>
  <c r="P690" i="7"/>
  <c r="P686" i="7"/>
  <c r="P735" i="7"/>
  <c r="P736" i="7" s="1"/>
  <c r="P737" i="7" s="1"/>
  <c r="P738" i="7" s="1"/>
  <c r="P747" i="7"/>
  <c r="P748" i="7"/>
  <c r="P749" i="7" s="1"/>
  <c r="P750" i="7" s="1"/>
  <c r="AP730" i="7"/>
  <c r="AO730" i="7"/>
  <c r="AL730" i="7"/>
  <c r="AK730" i="7"/>
  <c r="AJ730" i="7"/>
  <c r="AI730" i="7"/>
  <c r="AH730" i="7"/>
  <c r="AG730" i="7"/>
  <c r="AE730" i="7"/>
  <c r="AD730" i="7"/>
  <c r="AC730" i="7"/>
  <c r="AB730" i="7"/>
  <c r="AA730" i="7"/>
  <c r="Z730" i="7"/>
  <c r="Y730" i="7"/>
  <c r="X730" i="7"/>
  <c r="W730" i="7"/>
  <c r="V730" i="7"/>
  <c r="U730" i="7"/>
  <c r="T730" i="7"/>
  <c r="S730" i="7"/>
  <c r="R730" i="7"/>
  <c r="Q730" i="7"/>
  <c r="P730" i="7"/>
  <c r="Q728" i="7"/>
  <c r="P728" i="7"/>
  <c r="O686" i="7"/>
  <c r="O676" i="7"/>
  <c r="AP312" i="7"/>
  <c r="AO312" i="7"/>
  <c r="AN312" i="7"/>
  <c r="A183" i="7"/>
  <c r="AP140" i="7"/>
  <c r="AO140" i="7"/>
  <c r="AN140" i="7"/>
  <c r="AM140" i="7"/>
  <c r="AK140" i="7"/>
  <c r="AJ140" i="7"/>
  <c r="AI140" i="7"/>
  <c r="AH140" i="7"/>
  <c r="AG140" i="7"/>
  <c r="AF140" i="7"/>
  <c r="AE140" i="7"/>
  <c r="AD140" i="7"/>
  <c r="AC140" i="7"/>
  <c r="AB140" i="7"/>
  <c r="AA140" i="7"/>
  <c r="Z140" i="7"/>
  <c r="Y140" i="7"/>
  <c r="X140" i="7"/>
  <c r="W140" i="7"/>
  <c r="V140" i="7"/>
  <c r="U140" i="7"/>
  <c r="T140" i="7"/>
  <c r="R140" i="7"/>
  <c r="Q140" i="7"/>
  <c r="P140" i="7"/>
  <c r="AL213" i="7"/>
  <c r="AQ137" i="7"/>
  <c r="AL516" i="7"/>
  <c r="Q533" i="7"/>
  <c r="Q534" i="7" s="1"/>
  <c r="AL484" i="7"/>
  <c r="AL192" i="7"/>
  <c r="AA686" i="7"/>
  <c r="AA701" i="7" s="1"/>
  <c r="AB605" i="7"/>
  <c r="AB624" i="7" s="1"/>
  <c r="AN718" i="7"/>
  <c r="AN719" i="7"/>
  <c r="AK113" i="7"/>
  <c r="AK114" i="7" s="1"/>
  <c r="AL100" i="7"/>
  <c r="AL101" i="7" s="1"/>
  <c r="AL102" i="7" s="1"/>
  <c r="AE736" i="7"/>
  <c r="AE737" i="7" s="1"/>
  <c r="AE738" i="7" s="1"/>
  <c r="P217" i="7"/>
  <c r="AA229" i="7"/>
  <c r="X34" i="7"/>
  <c r="AH736" i="7"/>
  <c r="AH737" i="7" s="1"/>
  <c r="AH738" i="7" s="1"/>
  <c r="AH34" i="7"/>
  <c r="AH64" i="7" s="1"/>
  <c r="AH65" i="7" s="1"/>
  <c r="AF177" i="7"/>
  <c r="P101" i="7"/>
  <c r="AI34" i="7"/>
  <c r="AI64" i="7" s="1"/>
  <c r="AI65" i="7" s="1"/>
  <c r="W623" i="7"/>
  <c r="AC229" i="7"/>
  <c r="AE229" i="7"/>
  <c r="AL34" i="7"/>
  <c r="AP101" i="7"/>
  <c r="AP102" i="7"/>
  <c r="R442" i="7"/>
  <c r="W34" i="7"/>
  <c r="W64" i="7" s="1"/>
  <c r="W65" i="7" s="1"/>
  <c r="AF34" i="7"/>
  <c r="AF64" i="7" s="1"/>
  <c r="AF65" i="7" s="1"/>
  <c r="AD218" i="7"/>
  <c r="AD638" i="7"/>
  <c r="V461" i="7"/>
  <c r="AE424" i="7"/>
  <c r="AE501" i="7"/>
  <c r="AE525" i="7"/>
  <c r="AF162" i="7"/>
  <c r="AL39" i="7"/>
  <c r="AL40" i="7" s="1"/>
  <c r="AL700" i="7"/>
  <c r="P162" i="7"/>
  <c r="P209" i="7"/>
  <c r="AI177" i="7"/>
  <c r="AK34" i="7"/>
  <c r="AK64" i="7" s="1"/>
  <c r="AK65" i="7" s="1"/>
  <c r="AK177" i="7"/>
  <c r="AL171" i="7"/>
  <c r="AL177" i="7" s="1"/>
  <c r="Q101" i="7"/>
  <c r="Q102" i="7" s="1"/>
  <c r="AI218" i="7"/>
  <c r="AN223" i="7"/>
  <c r="AN229" i="7" s="1"/>
  <c r="AQ72" i="7"/>
  <c r="T76" i="7"/>
  <c r="T77" i="7" s="1"/>
  <c r="T78" i="7" s="1"/>
  <c r="T79" i="7"/>
  <c r="AO387" i="7"/>
  <c r="AQ487" i="7"/>
  <c r="AQ490" i="7" s="1"/>
  <c r="AL490" i="7"/>
  <c r="AA736" i="7"/>
  <c r="AA737" i="7" s="1"/>
  <c r="AA738" i="7" s="1"/>
  <c r="S738" i="7"/>
  <c r="Y501" i="7"/>
  <c r="AP229" i="7"/>
  <c r="Z387" i="7"/>
  <c r="AD701" i="7"/>
  <c r="AD229" i="7"/>
  <c r="AD333" i="7"/>
  <c r="AD334" i="7" s="1"/>
  <c r="AG177" i="7"/>
  <c r="AG387" i="7"/>
  <c r="AL332" i="7"/>
  <c r="AP218" i="7"/>
  <c r="AQ665" i="7"/>
  <c r="AQ673" i="7"/>
  <c r="AQ674" i="7" s="1"/>
  <c r="AQ73" i="7"/>
  <c r="Y300" i="7"/>
  <c r="Y301" i="7"/>
  <c r="AA197" i="7"/>
  <c r="AA198" i="7"/>
  <c r="AB34" i="7"/>
  <c r="AB64" i="7"/>
  <c r="AB65" i="7" s="1"/>
  <c r="AG34" i="7"/>
  <c r="AG64" i="7" s="1"/>
  <c r="AG65" i="7" s="1"/>
  <c r="AG442" i="7"/>
  <c r="AH363" i="7"/>
  <c r="AH364" i="7" s="1"/>
  <c r="AJ713" i="7"/>
  <c r="AK387" i="7"/>
  <c r="AL442" i="7"/>
  <c r="AQ731" i="7"/>
  <c r="AQ705" i="7"/>
  <c r="AL708" i="7"/>
  <c r="AL713" i="7" s="1"/>
  <c r="AQ476" i="7"/>
  <c r="AQ478" i="7" s="1"/>
  <c r="AQ479" i="7" s="1"/>
  <c r="AL478" i="7"/>
  <c r="AL479" i="7" s="1"/>
  <c r="AQ360" i="7"/>
  <c r="AQ361" i="7" s="1"/>
  <c r="AQ362" i="7" s="1"/>
  <c r="AL361" i="7"/>
  <c r="AL362" i="7"/>
  <c r="AQ288" i="7"/>
  <c r="AL290" i="7"/>
  <c r="AQ308" i="7"/>
  <c r="AQ313" i="7"/>
  <c r="AL319" i="7"/>
  <c r="AQ339" i="7"/>
  <c r="AQ246" i="7"/>
  <c r="AQ249" i="7"/>
  <c r="AL249" i="7"/>
  <c r="AQ252" i="7"/>
  <c r="AQ255" i="7" s="1"/>
  <c r="AL255" i="7"/>
  <c r="U736" i="7"/>
  <c r="U737" i="7" s="1"/>
  <c r="U738" i="7" s="1"/>
  <c r="V177" i="7"/>
  <c r="V229" i="7"/>
  <c r="V300" i="7"/>
  <c r="V301" i="7" s="1"/>
  <c r="V433" i="7"/>
  <c r="V442" i="7" s="1"/>
  <c r="V525" i="7"/>
  <c r="W638" i="7"/>
  <c r="Z177" i="7"/>
  <c r="AB713" i="7"/>
  <c r="AB162" i="7"/>
  <c r="AB442" i="7"/>
  <c r="AQ145" i="7"/>
  <c r="AL150" i="7"/>
  <c r="AL162" i="7" s="1"/>
  <c r="AQ50" i="7"/>
  <c r="Q177" i="7"/>
  <c r="S638" i="7"/>
  <c r="T701" i="7"/>
  <c r="W736" i="7"/>
  <c r="W737" i="7" s="1"/>
  <c r="W738" i="7" s="1"/>
  <c r="W218" i="7"/>
  <c r="X736" i="7"/>
  <c r="X737" i="7" s="1"/>
  <c r="X738" i="7" s="1"/>
  <c r="X333" i="7"/>
  <c r="X334" i="7"/>
  <c r="AA713" i="7"/>
  <c r="AB501" i="7"/>
  <c r="AC101" i="7"/>
  <c r="AC102" i="7"/>
  <c r="AC197" i="7"/>
  <c r="AD101" i="7"/>
  <c r="AD102" i="7" s="1"/>
  <c r="AD177" i="7"/>
  <c r="AD271" i="7"/>
  <c r="AQ505" i="7"/>
  <c r="AQ507" i="7" s="1"/>
  <c r="AL507" i="7"/>
  <c r="AQ519" i="7"/>
  <c r="AQ520" i="7"/>
  <c r="AL520" i="7"/>
  <c r="S34" i="7"/>
  <c r="R735" i="7"/>
  <c r="R736" i="7"/>
  <c r="R737" i="7" s="1"/>
  <c r="R738" i="7" s="1"/>
  <c r="S713" i="7"/>
  <c r="T271" i="7"/>
  <c r="T334" i="7"/>
  <c r="X229" i="7"/>
  <c r="Y34" i="7"/>
  <c r="Y64" i="7"/>
  <c r="Y65" i="7" s="1"/>
  <c r="Y256" i="7"/>
  <c r="Y424" i="7"/>
  <c r="AC300" i="7"/>
  <c r="AC301" i="7" s="1"/>
  <c r="AE701" i="7"/>
  <c r="AF736" i="7"/>
  <c r="AF737" i="7"/>
  <c r="AF738" i="7"/>
  <c r="AG701" i="7"/>
  <c r="AG720" i="7" s="1"/>
  <c r="AG229" i="7"/>
  <c r="AH713" i="7"/>
  <c r="AH197" i="7"/>
  <c r="AH198" i="7" s="1"/>
  <c r="AH256" i="7"/>
  <c r="AI162" i="7"/>
  <c r="AJ162" i="7"/>
  <c r="AM177" i="7"/>
  <c r="AP34" i="7"/>
  <c r="AP64" i="7" s="1"/>
  <c r="AP65" i="7" s="1"/>
  <c r="AL686" i="7"/>
  <c r="AQ594" i="7"/>
  <c r="AQ617" i="7"/>
  <c r="AQ660" i="7"/>
  <c r="AF256" i="7"/>
  <c r="AH101" i="7"/>
  <c r="AH102" i="7" s="1"/>
  <c r="AH177" i="7"/>
  <c r="AI713" i="7"/>
  <c r="AK713" i="7"/>
  <c r="AO462" i="7"/>
  <c r="AP271" i="7"/>
  <c r="AF442" i="7"/>
  <c r="AG462" i="7"/>
  <c r="AQ441" i="7"/>
  <c r="AQ732" i="7"/>
  <c r="AQ654" i="7"/>
  <c r="AQ655" i="7"/>
  <c r="AL655" i="7"/>
  <c r="AL666" i="7" s="1"/>
  <c r="AQ261" i="7"/>
  <c r="AL262" i="7"/>
  <c r="Q701" i="7"/>
  <c r="Q720" i="7" s="1"/>
  <c r="Q721" i="7" s="1"/>
  <c r="R34" i="7"/>
  <c r="R256" i="7"/>
  <c r="V412" i="7"/>
  <c r="V424" i="7"/>
  <c r="W666" i="7"/>
  <c r="X424" i="7"/>
  <c r="AQ511" i="7"/>
  <c r="AQ512" i="7" s="1"/>
  <c r="AL512" i="7"/>
  <c r="AQ529" i="7"/>
  <c r="AQ533" i="7"/>
  <c r="AQ534" i="7" s="1"/>
  <c r="AL533" i="7"/>
  <c r="AL534" i="7" s="1"/>
  <c r="U424" i="7"/>
  <c r="X387" i="7"/>
  <c r="AL694" i="7"/>
  <c r="AQ493" i="7"/>
  <c r="AL496" i="7"/>
  <c r="Q256" i="7"/>
  <c r="R177" i="7"/>
  <c r="R229" i="7"/>
  <c r="R462" i="7"/>
  <c r="T218" i="7"/>
  <c r="U387" i="7"/>
  <c r="W334" i="7"/>
  <c r="U101" i="7"/>
  <c r="U102" i="7" s="1"/>
  <c r="U229" i="7"/>
  <c r="V736" i="7"/>
  <c r="V737" i="7" s="1"/>
  <c r="V738" i="7"/>
  <c r="V197" i="7"/>
  <c r="V198" i="7"/>
  <c r="V387" i="7"/>
  <c r="W713" i="7"/>
  <c r="X701" i="7"/>
  <c r="X177" i="7"/>
  <c r="X197" i="7"/>
  <c r="X198" i="7"/>
  <c r="X300" i="7"/>
  <c r="X301" i="7"/>
  <c r="X442" i="7"/>
  <c r="Y101" i="7"/>
  <c r="Y102" i="7" s="1"/>
  <c r="Y162" i="7"/>
  <c r="Y229" i="7"/>
  <c r="Z736" i="7"/>
  <c r="Z737" i="7" s="1"/>
  <c r="Z738" i="7" s="1"/>
  <c r="Z162" i="7"/>
  <c r="Z229" i="7"/>
  <c r="Z300" i="7"/>
  <c r="Z301" i="7"/>
  <c r="AA34" i="7"/>
  <c r="AA64" i="7" s="1"/>
  <c r="AA65" i="7" s="1"/>
  <c r="AB736" i="7"/>
  <c r="AB737" i="7" s="1"/>
  <c r="AB738" i="7" s="1"/>
  <c r="AB177" i="7"/>
  <c r="AC713" i="7"/>
  <c r="AC34" i="7"/>
  <c r="AC64" i="7" s="1"/>
  <c r="AC65" i="7" s="1"/>
  <c r="AD424" i="7"/>
  <c r="AD462" i="7"/>
  <c r="AE333" i="7"/>
  <c r="AE334" i="7"/>
  <c r="AE666" i="7"/>
  <c r="V333" i="7"/>
  <c r="V334" i="7" s="1"/>
  <c r="W462" i="7"/>
  <c r="AB300" i="7"/>
  <c r="AB301" i="7" s="1"/>
  <c r="AC198" i="7"/>
  <c r="AC424" i="7"/>
  <c r="AE218" i="7"/>
  <c r="AE300" i="7"/>
  <c r="AE301" i="7"/>
  <c r="AE462" i="7"/>
  <c r="S624" i="7"/>
  <c r="T713" i="7"/>
  <c r="T229" i="7"/>
  <c r="T230" i="7" s="1"/>
  <c r="U162" i="7"/>
  <c r="V713" i="7"/>
  <c r="V34" i="7"/>
  <c r="V64" i="7"/>
  <c r="V65" i="7"/>
  <c r="V666" i="7"/>
  <c r="W271" i="7"/>
  <c r="W442" i="7"/>
  <c r="X162" i="7"/>
  <c r="X501" i="7"/>
  <c r="AA387" i="7"/>
  <c r="AB101" i="7"/>
  <c r="AB102" i="7"/>
  <c r="AB218" i="7"/>
  <c r="AB256" i="7"/>
  <c r="AC736" i="7"/>
  <c r="AC737" i="7"/>
  <c r="AC738" i="7" s="1"/>
  <c r="AC162" i="7"/>
  <c r="AD300" i="7"/>
  <c r="AD301" i="7"/>
  <c r="AE177" i="7"/>
  <c r="AE197" i="7"/>
  <c r="AE198" i="7"/>
  <c r="AF101" i="7"/>
  <c r="AF102" i="7" s="1"/>
  <c r="AG713" i="7"/>
  <c r="AG721" i="7"/>
  <c r="AG333" i="7"/>
  <c r="AG334" i="7" s="1"/>
  <c r="AG363" i="7"/>
  <c r="AG364" i="7"/>
  <c r="AH162" i="7"/>
  <c r="AH178" i="7" s="1"/>
  <c r="AH199" i="7" s="1"/>
  <c r="AH218" i="7"/>
  <c r="AI101" i="7"/>
  <c r="AI102" i="7"/>
  <c r="AI442" i="7"/>
  <c r="AJ271" i="7"/>
  <c r="AK271" i="7"/>
  <c r="AG218" i="7"/>
  <c r="AI701" i="7"/>
  <c r="AI271" i="7"/>
  <c r="AI333" i="7"/>
  <c r="AI334" i="7" s="1"/>
  <c r="AK256" i="7"/>
  <c r="AM300" i="7"/>
  <c r="AM301" i="7" s="1"/>
  <c r="AM666" i="7"/>
  <c r="AF713" i="7"/>
  <c r="AG736" i="7"/>
  <c r="AG737" i="7" s="1"/>
  <c r="AG738" i="7" s="1"/>
  <c r="AG162" i="7"/>
  <c r="AG197" i="7"/>
  <c r="AG198" i="7"/>
  <c r="AH271" i="7"/>
  <c r="AH333" i="7"/>
  <c r="AH334" i="7" s="1"/>
  <c r="AH387" i="7"/>
  <c r="AI256" i="7"/>
  <c r="AK701" i="7"/>
  <c r="AK720" i="7" s="1"/>
  <c r="AK721" i="7" s="1"/>
  <c r="AK101" i="7"/>
  <c r="AK162" i="7"/>
  <c r="AQ562" i="7"/>
  <c r="AM197" i="7"/>
  <c r="AM198" i="7" s="1"/>
  <c r="AN34" i="7"/>
  <c r="AN64" i="7"/>
  <c r="AN65" i="7" s="1"/>
  <c r="AN256" i="7"/>
  <c r="AN442" i="7"/>
  <c r="AO736" i="7"/>
  <c r="AO737" i="7" s="1"/>
  <c r="AO738" i="7" s="1"/>
  <c r="AO424" i="7"/>
  <c r="AO442" i="7"/>
  <c r="AQ749" i="7"/>
  <c r="AQ750" i="7" s="1"/>
  <c r="AQ684" i="7"/>
  <c r="AQ686" i="7"/>
  <c r="AQ599" i="7"/>
  <c r="AQ448" i="7"/>
  <c r="AQ207" i="7"/>
  <c r="AQ555" i="7"/>
  <c r="AQ556" i="7" s="1"/>
  <c r="AQ575" i="7"/>
  <c r="AM101" i="7"/>
  <c r="AM102" i="7" s="1"/>
  <c r="AN177" i="7"/>
  <c r="AN197" i="7"/>
  <c r="AN198" i="7"/>
  <c r="AO177" i="7"/>
  <c r="AO525" i="7"/>
  <c r="AP197" i="7"/>
  <c r="AP198" i="7" s="1"/>
  <c r="AP525" i="7"/>
  <c r="AQ290" i="7"/>
  <c r="AQ161" i="7"/>
  <c r="Q162" i="7"/>
  <c r="S701" i="7"/>
  <c r="T501" i="7"/>
  <c r="W162" i="7"/>
  <c r="W525" i="7"/>
  <c r="W535" i="7" s="1"/>
  <c r="W536" i="7" s="1"/>
  <c r="X525" i="7"/>
  <c r="Z525" i="7"/>
  <c r="P624" i="7"/>
  <c r="Q462" i="7"/>
  <c r="R197" i="7"/>
  <c r="S197" i="7"/>
  <c r="S198" i="7" s="1"/>
  <c r="T300" i="7"/>
  <c r="T301" i="7" s="1"/>
  <c r="U300" i="7"/>
  <c r="U301" i="7" s="1"/>
  <c r="V162" i="7"/>
  <c r="V271" i="7"/>
  <c r="W424" i="7"/>
  <c r="Y713" i="7"/>
  <c r="Z501" i="7"/>
  <c r="P301" i="7"/>
  <c r="P177" i="7"/>
  <c r="P197" i="7"/>
  <c r="P198" i="7" s="1"/>
  <c r="Q218" i="7"/>
  <c r="Q271" i="7"/>
  <c r="Q442" i="7"/>
  <c r="Q638" i="7"/>
  <c r="R333" i="7"/>
  <c r="R334" i="7" s="1"/>
  <c r="U501" i="7"/>
  <c r="V101" i="7"/>
  <c r="V102" i="7" s="1"/>
  <c r="V256" i="7"/>
  <c r="W387" i="7"/>
  <c r="X271" i="7"/>
  <c r="X363" i="7"/>
  <c r="X364" i="7"/>
  <c r="AA300" i="7"/>
  <c r="AA301" i="7"/>
  <c r="R624" i="7"/>
  <c r="AA666" i="7"/>
  <c r="AB666" i="7"/>
  <c r="AC525" i="7"/>
  <c r="AD624" i="7"/>
  <c r="AQ727" i="7"/>
  <c r="AQ728" i="7" s="1"/>
  <c r="AN728" i="7"/>
  <c r="AQ697" i="7"/>
  <c r="AQ523" i="7"/>
  <c r="AQ524" i="7" s="1"/>
  <c r="AL524" i="7"/>
  <c r="AL525" i="7" s="1"/>
  <c r="AQ417" i="7"/>
  <c r="AQ419" i="7" s="1"/>
  <c r="AQ424" i="7" s="1"/>
  <c r="AL419" i="7"/>
  <c r="AL424" i="7" s="1"/>
  <c r="AQ283" i="7"/>
  <c r="AQ285" i="7" s="1"/>
  <c r="AL285" i="7"/>
  <c r="AQ294" i="7"/>
  <c r="AQ299" i="7" s="1"/>
  <c r="AL299" i="7"/>
  <c r="AQ322" i="7"/>
  <c r="AL326" i="7"/>
  <c r="AQ227" i="7"/>
  <c r="AQ75" i="7"/>
  <c r="AL76" i="7"/>
  <c r="AL77" i="7"/>
  <c r="AL78" i="7" s="1"/>
  <c r="AL79" i="7" s="1"/>
  <c r="Y701" i="7"/>
  <c r="Y387" i="7"/>
  <c r="Y525" i="7"/>
  <c r="Y666" i="7"/>
  <c r="Z271" i="7"/>
  <c r="Z333" i="7"/>
  <c r="Z334" i="7" s="1"/>
  <c r="Z347" i="7" s="1"/>
  <c r="Z363" i="7"/>
  <c r="Z364" i="7"/>
  <c r="Z462" i="7"/>
  <c r="Z638" i="7"/>
  <c r="AA271" i="7"/>
  <c r="AA333" i="7"/>
  <c r="AA334" i="7" s="1"/>
  <c r="AA347" i="7" s="1"/>
  <c r="AA363" i="7"/>
  <c r="AA364" i="7" s="1"/>
  <c r="AA462" i="7"/>
  <c r="AB197" i="7"/>
  <c r="AB198" i="7" s="1"/>
  <c r="AB424" i="7"/>
  <c r="AC387" i="7"/>
  <c r="AC501" i="7"/>
  <c r="AC535" i="7" s="1"/>
  <c r="AC536" i="7" s="1"/>
  <c r="AC638" i="7"/>
  <c r="AE638" i="7"/>
  <c r="AH442" i="7"/>
  <c r="AJ34" i="7"/>
  <c r="AJ442" i="7"/>
  <c r="W101" i="7"/>
  <c r="W102" i="7" s="1"/>
  <c r="X101" i="7"/>
  <c r="X102" i="7"/>
  <c r="X256" i="7"/>
  <c r="Y736" i="7"/>
  <c r="Y737" i="7" s="1"/>
  <c r="Y738" i="7" s="1"/>
  <c r="Y218" i="7"/>
  <c r="Y271" i="7"/>
  <c r="Y272" i="7" s="1"/>
  <c r="Y273" i="7" s="1"/>
  <c r="Y333" i="7"/>
  <c r="Y334" i="7"/>
  <c r="Y462" i="7"/>
  <c r="Z713" i="7"/>
  <c r="Z720" i="7" s="1"/>
  <c r="Z721" i="7" s="1"/>
  <c r="Z101" i="7"/>
  <c r="Z218" i="7"/>
  <c r="Z256" i="7"/>
  <c r="Z442" i="7"/>
  <c r="Z469" i="7" s="1"/>
  <c r="Z470" i="7" s="1"/>
  <c r="Z624" i="7"/>
  <c r="Z666" i="7"/>
  <c r="AA218" i="7"/>
  <c r="AA230" i="7" s="1"/>
  <c r="AA231" i="7" s="1"/>
  <c r="AA256" i="7"/>
  <c r="AA442" i="7"/>
  <c r="AA624" i="7"/>
  <c r="AB229" i="7"/>
  <c r="AB387" i="7"/>
  <c r="AB525" i="7"/>
  <c r="AB535" i="7" s="1"/>
  <c r="AB536" i="7" s="1"/>
  <c r="AD501" i="7"/>
  <c r="AD525" i="7"/>
  <c r="AD666" i="7"/>
  <c r="AE624" i="7"/>
  <c r="W301" i="7"/>
  <c r="W347" i="7" s="1"/>
  <c r="Y197" i="7"/>
  <c r="Y198" i="7"/>
  <c r="Y442" i="7"/>
  <c r="Y624" i="7"/>
  <c r="Y675" i="7" s="1"/>
  <c r="Z701" i="7"/>
  <c r="Z197" i="7"/>
  <c r="Z198" i="7" s="1"/>
  <c r="Z424" i="7"/>
  <c r="AA424" i="7"/>
  <c r="AB701" i="7"/>
  <c r="AB720" i="7" s="1"/>
  <c r="AB721" i="7" s="1"/>
  <c r="AB271" i="7"/>
  <c r="AB272" i="7" s="1"/>
  <c r="AB333" i="7"/>
  <c r="AB334" i="7" s="1"/>
  <c r="AB347" i="7" s="1"/>
  <c r="AB462" i="7"/>
  <c r="AB638" i="7"/>
  <c r="AC701" i="7"/>
  <c r="AE34" i="7"/>
  <c r="AE101" i="7"/>
  <c r="AE102" i="7" s="1"/>
  <c r="AE271" i="7"/>
  <c r="AG101" i="7"/>
  <c r="AG102" i="7"/>
  <c r="AG271" i="7"/>
  <c r="AG424" i="7"/>
  <c r="AG501" i="7"/>
  <c r="AH701" i="7"/>
  <c r="AJ736" i="7"/>
  <c r="AJ737" i="7"/>
  <c r="AJ738" i="7" s="1"/>
  <c r="AC271" i="7"/>
  <c r="AC272" i="7" s="1"/>
  <c r="AC273" i="7" s="1"/>
  <c r="AC333" i="7"/>
  <c r="AC334" i="7"/>
  <c r="AC363" i="7"/>
  <c r="AC364" i="7"/>
  <c r="AC462" i="7"/>
  <c r="AC624" i="7"/>
  <c r="AC666" i="7"/>
  <c r="AD713" i="7"/>
  <c r="AD720" i="7" s="1"/>
  <c r="AD721" i="7" s="1"/>
  <c r="AD256" i="7"/>
  <c r="AD363" i="7"/>
  <c r="AD364" i="7" s="1"/>
  <c r="AD442" i="7"/>
  <c r="AE713" i="7"/>
  <c r="AE256" i="7"/>
  <c r="AE363" i="7"/>
  <c r="AE364" i="7"/>
  <c r="AE442" i="7"/>
  <c r="AF197" i="7"/>
  <c r="AF198" i="7" s="1"/>
  <c r="AF199" i="7" s="1"/>
  <c r="AF363" i="7"/>
  <c r="AF364" i="7" s="1"/>
  <c r="AF501" i="7"/>
  <c r="AF666" i="7"/>
  <c r="AG256" i="7"/>
  <c r="AH300" i="7"/>
  <c r="AH301" i="7" s="1"/>
  <c r="AH347" i="7" s="1"/>
  <c r="AH462" i="7"/>
  <c r="AI300" i="7"/>
  <c r="AI301" i="7" s="1"/>
  <c r="AI501" i="7"/>
  <c r="AJ701" i="7"/>
  <c r="AJ101" i="7"/>
  <c r="AJ218" i="7"/>
  <c r="AJ462" i="7"/>
  <c r="AJ638" i="7"/>
  <c r="AK736" i="7"/>
  <c r="AK737" i="7" s="1"/>
  <c r="AK738" i="7" s="1"/>
  <c r="AK364" i="7"/>
  <c r="AC177" i="7"/>
  <c r="AC218" i="7"/>
  <c r="AC256" i="7"/>
  <c r="AC442" i="7"/>
  <c r="AC469" i="7" s="1"/>
  <c r="AC470" i="7" s="1"/>
  <c r="AD736" i="7"/>
  <c r="AD737" i="7" s="1"/>
  <c r="AD738" i="7" s="1"/>
  <c r="AD162" i="7"/>
  <c r="AD197" i="7"/>
  <c r="AD198" i="7" s="1"/>
  <c r="AE162" i="7"/>
  <c r="AF229" i="7"/>
  <c r="AF271" i="7"/>
  <c r="AF272" i="7" s="1"/>
  <c r="AF273" i="7" s="1"/>
  <c r="AG300" i="7"/>
  <c r="AG301" i="7" s="1"/>
  <c r="AG347" i="7" s="1"/>
  <c r="AG638" i="7"/>
  <c r="AH229" i="7"/>
  <c r="AH424" i="7"/>
  <c r="AH501" i="7"/>
  <c r="AH638" i="7"/>
  <c r="AI736" i="7"/>
  <c r="AI737" i="7" s="1"/>
  <c r="AI738" i="7" s="1"/>
  <c r="AI197" i="7"/>
  <c r="AI198" i="7" s="1"/>
  <c r="AI199" i="7" s="1"/>
  <c r="AI229" i="7"/>
  <c r="AI387" i="7"/>
  <c r="AJ333" i="7"/>
  <c r="AJ334" i="7" s="1"/>
  <c r="AJ363" i="7"/>
  <c r="AJ364" i="7"/>
  <c r="AJ424" i="7"/>
  <c r="AJ501" i="7"/>
  <c r="AM736" i="7"/>
  <c r="AM737" i="7"/>
  <c r="AM738" i="7" s="1"/>
  <c r="AL736" i="7"/>
  <c r="AL737" i="7"/>
  <c r="AL738" i="7" s="1"/>
  <c r="AL462" i="7"/>
  <c r="AL638" i="7"/>
  <c r="AM229" i="7"/>
  <c r="AM424" i="7"/>
  <c r="AM501" i="7"/>
  <c r="AM525" i="7"/>
  <c r="AK218" i="7"/>
  <c r="AK333" i="7"/>
  <c r="AK334" i="7" s="1"/>
  <c r="AM162" i="7"/>
  <c r="AN162" i="7"/>
  <c r="AN178" i="7" s="1"/>
  <c r="AN199" i="7" s="1"/>
  <c r="AK197" i="7"/>
  <c r="AK198" i="7" s="1"/>
  <c r="AM34" i="7"/>
  <c r="AM64" i="7" s="1"/>
  <c r="AM65" i="7" s="1"/>
  <c r="AM462" i="7"/>
  <c r="AM638" i="7"/>
  <c r="AO197" i="7"/>
  <c r="AP713" i="7"/>
  <c r="AP666" i="7"/>
  <c r="AN713" i="7"/>
  <c r="AO713" i="7"/>
  <c r="AO271" i="7"/>
  <c r="AO272" i="7" s="1"/>
  <c r="AO273" i="7" s="1"/>
  <c r="AO624" i="7"/>
  <c r="AN363" i="7"/>
  <c r="AN364" i="7"/>
  <c r="AN501" i="7"/>
  <c r="AO701" i="7"/>
  <c r="AO256" i="7"/>
  <c r="AO501" i="7"/>
  <c r="AO535" i="7" s="1"/>
  <c r="AO536" i="7" s="1"/>
  <c r="AP387" i="7"/>
  <c r="AQ399" i="7"/>
  <c r="AN271" i="7"/>
  <c r="AN272" i="7" s="1"/>
  <c r="AN273" i="7" s="1"/>
  <c r="AN333" i="7"/>
  <c r="AN334" i="7" s="1"/>
  <c r="AO34" i="7"/>
  <c r="AO64" i="7"/>
  <c r="AO65" i="7" s="1"/>
  <c r="AO666" i="7"/>
  <c r="AP701" i="7"/>
  <c r="AP256" i="7"/>
  <c r="AP177" i="7"/>
  <c r="AQ569" i="7"/>
  <c r="AQ586" i="7"/>
  <c r="AQ589" i="7"/>
  <c r="AQ612" i="7"/>
  <c r="AQ623" i="7"/>
  <c r="AQ34" i="7"/>
  <c r="AP162" i="7"/>
  <c r="AP300" i="7"/>
  <c r="AP301" i="7" s="1"/>
  <c r="AP347" i="7" s="1"/>
  <c r="AQ734" i="7"/>
  <c r="AQ643" i="7"/>
  <c r="AQ645" i="7" s="1"/>
  <c r="AQ581" i="7"/>
  <c r="AQ433" i="7"/>
  <c r="Q363" i="7"/>
  <c r="Q364" i="7" s="1"/>
  <c r="R363" i="7"/>
  <c r="R364" i="7" s="1"/>
  <c r="P64" i="7"/>
  <c r="P65" i="7" s="1"/>
  <c r="S64" i="7"/>
  <c r="S65" i="7" s="1"/>
  <c r="U363" i="7"/>
  <c r="U364" i="7"/>
  <c r="X666" i="7"/>
  <c r="X624" i="7"/>
  <c r="Y363" i="7"/>
  <c r="Y364" i="7"/>
  <c r="AB363" i="7"/>
  <c r="AB364" i="7"/>
  <c r="AE64" i="7"/>
  <c r="AE65" i="7"/>
  <c r="AF424" i="7"/>
  <c r="AF624" i="7"/>
  <c r="AF333" i="7"/>
  <c r="AF334" i="7"/>
  <c r="AF525" i="7"/>
  <c r="AF701" i="7"/>
  <c r="AF300" i="7"/>
  <c r="AF301" i="7"/>
  <c r="AF638" i="7"/>
  <c r="AF218" i="7"/>
  <c r="AF462" i="7"/>
  <c r="AJ525" i="7"/>
  <c r="AJ535" i="7" s="1"/>
  <c r="AJ536" i="7" s="1"/>
  <c r="AJ666" i="7"/>
  <c r="AK525" i="7"/>
  <c r="AQ15" i="7"/>
  <c r="AL19" i="7"/>
  <c r="AL20" i="7" s="1"/>
  <c r="AL21" i="7" s="1"/>
  <c r="AL22" i="7" s="1"/>
  <c r="AG525" i="7"/>
  <c r="AG535" i="7" s="1"/>
  <c r="AG536" i="7" s="1"/>
  <c r="AG666" i="7"/>
  <c r="AH624" i="7"/>
  <c r="AN525" i="7"/>
  <c r="AH525" i="7"/>
  <c r="AJ624" i="7"/>
  <c r="AK229" i="7"/>
  <c r="AK300" i="7"/>
  <c r="AK301" i="7" s="1"/>
  <c r="AK501" i="7"/>
  <c r="AG624" i="7"/>
  <c r="AH666" i="7"/>
  <c r="AI525" i="7"/>
  <c r="AL133" i="7"/>
  <c r="AQ128" i="7"/>
  <c r="AL624" i="7"/>
  <c r="AL387" i="7"/>
  <c r="AM271" i="7"/>
  <c r="AM713" i="7"/>
  <c r="AM218" i="7"/>
  <c r="AM363" i="7"/>
  <c r="AM364" i="7" s="1"/>
  <c r="AM442" i="7"/>
  <c r="AN701" i="7"/>
  <c r="AN300" i="7"/>
  <c r="AN301" i="7" s="1"/>
  <c r="AN347" i="7" s="1"/>
  <c r="AO363" i="7"/>
  <c r="AO364" i="7" s="1"/>
  <c r="AN218" i="7"/>
  <c r="AN230" i="7" s="1"/>
  <c r="AN231" i="7" s="1"/>
  <c r="AN462" i="7"/>
  <c r="AN638" i="7"/>
  <c r="AO101" i="7"/>
  <c r="AO102" i="7" s="1"/>
  <c r="AM256" i="7"/>
  <c r="AM272" i="7" s="1"/>
  <c r="AM273" i="7" s="1"/>
  <c r="AM333" i="7"/>
  <c r="AM334" i="7" s="1"/>
  <c r="AM347" i="7" s="1"/>
  <c r="AM387" i="7"/>
  <c r="AM624" i="7"/>
  <c r="AN424" i="7"/>
  <c r="AN624" i="7"/>
  <c r="AN666" i="7"/>
  <c r="AP333" i="7"/>
  <c r="AP334" i="7"/>
  <c r="AP501" i="7"/>
  <c r="AP736" i="7"/>
  <c r="AP737" i="7" s="1"/>
  <c r="AP738" i="7" s="1"/>
  <c r="AQ382" i="7"/>
  <c r="AQ605" i="7"/>
  <c r="AQ496" i="7"/>
  <c r="AQ412" i="7"/>
  <c r="AQ461" i="7"/>
  <c r="AQ262" i="7"/>
  <c r="AQ113" i="7"/>
  <c r="AQ114" i="7" s="1"/>
  <c r="S140" i="7"/>
  <c r="AQ138" i="7"/>
  <c r="AQ140" i="7"/>
  <c r="AQ269" i="7"/>
  <c r="AQ270" i="7" s="1"/>
  <c r="AQ88" i="7"/>
  <c r="AL140" i="7"/>
  <c r="AH121" i="7"/>
  <c r="AH122" i="7" s="1"/>
  <c r="Y347" i="7"/>
  <c r="AQ442" i="7"/>
  <c r="AE720" i="7"/>
  <c r="AE721" i="7" s="1"/>
  <c r="T121" i="7"/>
  <c r="T122" i="7"/>
  <c r="AF121" i="7"/>
  <c r="AF122" i="7" s="1"/>
  <c r="T347" i="7"/>
  <c r="P218" i="7"/>
  <c r="AI720" i="7"/>
  <c r="AI721" i="7" s="1"/>
  <c r="AH720" i="7"/>
  <c r="AH721" i="7" s="1"/>
  <c r="AK178" i="7"/>
  <c r="AK199" i="7"/>
  <c r="W230" i="7"/>
  <c r="W231" i="7" s="1"/>
  <c r="R535" i="7"/>
  <c r="R536" i="7"/>
  <c r="AG178" i="7"/>
  <c r="AD347" i="7"/>
  <c r="AQ76" i="7"/>
  <c r="AQ77" i="7"/>
  <c r="AQ78" i="7" s="1"/>
  <c r="AQ79" i="7" s="1"/>
  <c r="AI535" i="7"/>
  <c r="AI536" i="7"/>
  <c r="T535" i="7"/>
  <c r="T536" i="7" s="1"/>
  <c r="AF178" i="7"/>
  <c r="AB230" i="7"/>
  <c r="AB231" i="7" s="1"/>
  <c r="T272" i="7"/>
  <c r="T273" i="7" s="1"/>
  <c r="X720" i="7"/>
  <c r="X721" i="7"/>
  <c r="AC121" i="7"/>
  <c r="AC122" i="7"/>
  <c r="Q230" i="7"/>
  <c r="Q231" i="7" s="1"/>
  <c r="AD272" i="7"/>
  <c r="AD273" i="7" s="1"/>
  <c r="Z675" i="7"/>
  <c r="Z676" i="7"/>
  <c r="W178" i="7"/>
  <c r="X178" i="7"/>
  <c r="AF720" i="7"/>
  <c r="AF721" i="7" s="1"/>
  <c r="Q272" i="7"/>
  <c r="Q273" i="7"/>
  <c r="AK230" i="7"/>
  <c r="AK231" i="7" s="1"/>
  <c r="Q121" i="7"/>
  <c r="Q122" i="7" s="1"/>
  <c r="AE178" i="7"/>
  <c r="AE199" i="7" s="1"/>
  <c r="AC230" i="7"/>
  <c r="AC231" i="7" s="1"/>
  <c r="AJ720" i="7"/>
  <c r="AJ721" i="7" s="1"/>
  <c r="AE272" i="7"/>
  <c r="AE273" i="7" s="1"/>
  <c r="AA720" i="7"/>
  <c r="AA721" i="7" s="1"/>
  <c r="AB178" i="7"/>
  <c r="AB199" i="7"/>
  <c r="AI178" i="7"/>
  <c r="AD230" i="7"/>
  <c r="AD231" i="7"/>
  <c r="R121" i="7"/>
  <c r="R122" i="7" s="1"/>
  <c r="T720" i="7"/>
  <c r="T721" i="7" s="1"/>
  <c r="AB273" i="7"/>
  <c r="AM178" i="7"/>
  <c r="AH272" i="7"/>
  <c r="AH273" i="7"/>
  <c r="Z178" i="7"/>
  <c r="V535" i="7"/>
  <c r="V536" i="7" s="1"/>
  <c r="AG469" i="7"/>
  <c r="AG470" i="7" s="1"/>
  <c r="AQ501" i="7"/>
  <c r="AH535" i="7"/>
  <c r="AH536" i="7" s="1"/>
  <c r="AN535" i="7"/>
  <c r="AN536" i="7" s="1"/>
  <c r="AP720" i="7"/>
  <c r="AP721" i="7" s="1"/>
  <c r="AC720" i="7"/>
  <c r="AC721" i="7" s="1"/>
  <c r="S720" i="7"/>
  <c r="S721" i="7" s="1"/>
  <c r="Q178" i="7"/>
  <c r="Q199" i="7" s="1"/>
  <c r="AI272" i="7"/>
  <c r="AI273" i="7" s="1"/>
  <c r="AP230" i="7"/>
  <c r="AP231" i="7"/>
  <c r="AP535" i="7"/>
  <c r="AP536" i="7" s="1"/>
  <c r="AH230" i="7"/>
  <c r="AH231" i="7" s="1"/>
  <c r="AL701" i="7"/>
  <c r="AP272" i="7"/>
  <c r="AP273" i="7" s="1"/>
  <c r="Y230" i="7"/>
  <c r="Y231" i="7" s="1"/>
  <c r="Y676" i="7"/>
  <c r="AG230" i="7"/>
  <c r="AG231" i="7"/>
  <c r="AD178" i="7"/>
  <c r="AD199" i="7" s="1"/>
  <c r="S535" i="7"/>
  <c r="S536" i="7" s="1"/>
  <c r="AD675" i="7"/>
  <c r="AD676" i="7" s="1"/>
  <c r="Y535" i="7"/>
  <c r="Y536" i="7"/>
  <c r="S675" i="7"/>
  <c r="S676" i="7"/>
  <c r="AP121" i="7"/>
  <c r="AP122" i="7"/>
  <c r="AB121" i="7"/>
  <c r="AB122" i="7" s="1"/>
  <c r="Z230" i="7"/>
  <c r="Z231" i="7" s="1"/>
  <c r="AM535" i="7"/>
  <c r="AM536" i="7"/>
  <c r="AI230" i="7"/>
  <c r="AI231" i="7"/>
  <c r="R675" i="7"/>
  <c r="R676" i="7" s="1"/>
  <c r="AE230" i="7"/>
  <c r="AE231" i="7" s="1"/>
  <c r="AN675" i="7"/>
  <c r="AN676" i="7" s="1"/>
  <c r="AF230" i="7"/>
  <c r="AF231" i="7"/>
  <c r="T231" i="7"/>
  <c r="AH469" i="7"/>
  <c r="AH470" i="7" s="1"/>
  <c r="AN121" i="7"/>
  <c r="AN122" i="7" s="1"/>
  <c r="P178" i="7"/>
  <c r="V178" i="7"/>
  <c r="V199" i="7"/>
  <c r="R272" i="7"/>
  <c r="R273" i="7" s="1"/>
  <c r="AL300" i="7"/>
  <c r="AL301" i="7" s="1"/>
  <c r="AE675" i="7"/>
  <c r="AE676" i="7"/>
  <c r="AQ525" i="7"/>
  <c r="AQ535" i="7"/>
  <c r="AQ536" i="7" s="1"/>
  <c r="AM675" i="7"/>
  <c r="AM676" i="7" s="1"/>
  <c r="AM230" i="7"/>
  <c r="AM231" i="7" s="1"/>
  <c r="AC675" i="7"/>
  <c r="AC676" i="7"/>
  <c r="AE535" i="7"/>
  <c r="AE536" i="7"/>
  <c r="AF675" i="7"/>
  <c r="AF676" i="7"/>
  <c r="AK272" i="7"/>
  <c r="AK273" i="7"/>
  <c r="AG272" i="7"/>
  <c r="AG273" i="7"/>
  <c r="W469" i="7"/>
  <c r="W470" i="7"/>
  <c r="P675" i="7"/>
  <c r="P676" i="7"/>
  <c r="AB675" i="7"/>
  <c r="AB676" i="7"/>
  <c r="AE347" i="7"/>
  <c r="T469" i="7"/>
  <c r="T470" i="7"/>
  <c r="R469" i="7"/>
  <c r="R470" i="7" s="1"/>
  <c r="AQ666" i="7"/>
  <c r="AH675" i="7"/>
  <c r="AH676" i="7"/>
  <c r="Y720" i="7"/>
  <c r="Y721" i="7"/>
  <c r="Q469" i="7"/>
  <c r="Q470" i="7"/>
  <c r="AK535" i="7"/>
  <c r="AK536" i="7"/>
  <c r="AF535" i="7"/>
  <c r="AF536" i="7"/>
  <c r="AE121" i="7"/>
  <c r="AE122" i="7"/>
  <c r="AL675" i="7"/>
  <c r="AL676" i="7" s="1"/>
  <c r="AO720" i="7"/>
  <c r="AO721" i="7" s="1"/>
  <c r="AC178" i="7"/>
  <c r="AC199" i="7"/>
  <c r="AK121" i="7"/>
  <c r="AK122" i="7" s="1"/>
  <c r="AK102" i="7"/>
  <c r="AI121" i="7"/>
  <c r="AI122" i="7"/>
  <c r="X675" i="7"/>
  <c r="X676" i="7" s="1"/>
  <c r="Z272" i="7"/>
  <c r="Z273" i="7" s="1"/>
  <c r="AJ675" i="7"/>
  <c r="AJ676" i="7"/>
  <c r="AJ121" i="7"/>
  <c r="AJ122" i="7" s="1"/>
  <c r="AJ102" i="7"/>
  <c r="AG121" i="7"/>
  <c r="AG122" i="7"/>
  <c r="AD535" i="7"/>
  <c r="AD536" i="7"/>
  <c r="AA272" i="7"/>
  <c r="AA273" i="7"/>
  <c r="X272" i="7"/>
  <c r="X273" i="7"/>
  <c r="V272" i="7"/>
  <c r="V273" i="7"/>
  <c r="AA469" i="7"/>
  <c r="AA470" i="7"/>
  <c r="Z121" i="7"/>
  <c r="Z122" i="7"/>
  <c r="Z102" i="7"/>
  <c r="V121" i="7"/>
  <c r="V122" i="7" s="1"/>
  <c r="AG675" i="7"/>
  <c r="AG676" i="7" s="1"/>
  <c r="AL141" i="7"/>
  <c r="AF347" i="7" l="1"/>
  <c r="S469" i="7"/>
  <c r="S470" i="7" s="1"/>
  <c r="W199" i="7"/>
  <c r="AQ624" i="7"/>
  <c r="AP178" i="7"/>
  <c r="AP199" i="7" s="1"/>
  <c r="AQ300" i="7"/>
  <c r="AQ301" i="7" s="1"/>
  <c r="X199" i="7"/>
  <c r="AL178" i="7"/>
  <c r="Q624" i="7"/>
  <c r="Q666" i="7"/>
  <c r="Q675" i="7" s="1"/>
  <c r="Q676" i="7" s="1"/>
  <c r="Z199" i="7"/>
  <c r="AM469" i="7"/>
  <c r="AM470" i="7" s="1"/>
  <c r="AL720" i="7"/>
  <c r="AL721" i="7" s="1"/>
  <c r="P535" i="7"/>
  <c r="P536" i="7" s="1"/>
  <c r="V462" i="7"/>
  <c r="V469" i="7" s="1"/>
  <c r="V470" i="7" s="1"/>
  <c r="W272" i="7"/>
  <c r="W273" i="7" s="1"/>
  <c r="AI624" i="7"/>
  <c r="AK624" i="7"/>
  <c r="AK675" i="7" s="1"/>
  <c r="AK676" i="7" s="1"/>
  <c r="R230" i="7"/>
  <c r="R231" i="7" s="1"/>
  <c r="AC347" i="7"/>
  <c r="V230" i="7"/>
  <c r="V231" i="7" s="1"/>
  <c r="AL469" i="7"/>
  <c r="AL470" i="7" s="1"/>
  <c r="W624" i="7"/>
  <c r="W675" i="7" s="1"/>
  <c r="W676" i="7" s="1"/>
  <c r="Q501" i="7"/>
  <c r="Q525" i="7"/>
  <c r="Q535" i="7" s="1"/>
  <c r="Q536" i="7" s="1"/>
  <c r="S162" i="7"/>
  <c r="S229" i="7"/>
  <c r="S272" i="7"/>
  <c r="S273" i="7" s="1"/>
  <c r="S333" i="7"/>
  <c r="S334" i="7" s="1"/>
  <c r="S363" i="7"/>
  <c r="S364" i="7" s="1"/>
  <c r="T177" i="7"/>
  <c r="T178" i="7" s="1"/>
  <c r="T199" i="7" s="1"/>
  <c r="T624" i="7"/>
  <c r="T638" i="7"/>
  <c r="T666" i="7"/>
  <c r="U701" i="7"/>
  <c r="U713" i="7"/>
  <c r="U720" i="7" s="1"/>
  <c r="U721" i="7" s="1"/>
  <c r="U64" i="7"/>
  <c r="U65" i="7" s="1"/>
  <c r="U197" i="7"/>
  <c r="U198" i="7" s="1"/>
  <c r="U218" i="7"/>
  <c r="U230" i="7" s="1"/>
  <c r="U231" i="7" s="1"/>
  <c r="U256" i="7"/>
  <c r="U272" i="7" s="1"/>
  <c r="U273" i="7" s="1"/>
  <c r="U333" i="7"/>
  <c r="U334" i="7" s="1"/>
  <c r="U347" i="7" s="1"/>
  <c r="U638" i="7"/>
  <c r="U666" i="7"/>
  <c r="W701" i="7"/>
  <c r="W720" i="7" s="1"/>
  <c r="W721" i="7" s="1"/>
  <c r="AD121" i="7"/>
  <c r="AD122" i="7" s="1"/>
  <c r="AJ469" i="7"/>
  <c r="AJ470" i="7" s="1"/>
  <c r="AP624" i="7"/>
  <c r="AP675" i="7" s="1"/>
  <c r="AP676" i="7" s="1"/>
  <c r="AP678" i="7" s="1"/>
  <c r="AP752" i="7" s="1"/>
  <c r="AN736" i="7"/>
  <c r="AN737" i="7" s="1"/>
  <c r="AN738" i="7" s="1"/>
  <c r="AQ19" i="7"/>
  <c r="AQ20" i="7" s="1"/>
  <c r="AQ21" i="7" s="1"/>
  <c r="AQ22" i="7" s="1"/>
  <c r="Z535" i="7"/>
  <c r="Z536" i="7" s="1"/>
  <c r="AI347" i="7"/>
  <c r="V347" i="7"/>
  <c r="X347" i="7"/>
  <c r="AB469" i="7"/>
  <c r="AB470" i="7" s="1"/>
  <c r="AB678" i="7" s="1"/>
  <c r="AB752" i="7" s="1"/>
  <c r="P701" i="7"/>
  <c r="P720" i="7" s="1"/>
  <c r="P721" i="7" s="1"/>
  <c r="P230" i="7"/>
  <c r="P231" i="7" s="1"/>
  <c r="P271" i="7"/>
  <c r="P272" i="7" s="1"/>
  <c r="P273" i="7" s="1"/>
  <c r="P424" i="7"/>
  <c r="P462" i="7"/>
  <c r="R701" i="7"/>
  <c r="R720" i="7" s="1"/>
  <c r="R721" i="7" s="1"/>
  <c r="R300" i="7"/>
  <c r="R301" i="7" s="1"/>
  <c r="R347" i="7" s="1"/>
  <c r="U178" i="7"/>
  <c r="U462" i="7"/>
  <c r="U469" i="7" s="1"/>
  <c r="U470" i="7" s="1"/>
  <c r="AA178" i="7"/>
  <c r="AA199" i="7" s="1"/>
  <c r="AP469" i="7"/>
  <c r="AP470" i="7" s="1"/>
  <c r="AQ700" i="7"/>
  <c r="AA675" i="7"/>
  <c r="AA676" i="7" s="1"/>
  <c r="R198" i="7"/>
  <c r="AO469" i="7"/>
  <c r="AO470" i="7" s="1"/>
  <c r="X535" i="7"/>
  <c r="X536" i="7" s="1"/>
  <c r="AL501" i="7"/>
  <c r="AL535" i="7" s="1"/>
  <c r="AL536" i="7" s="1"/>
  <c r="R162" i="7"/>
  <c r="R178" i="7" s="1"/>
  <c r="R199" i="7" s="1"/>
  <c r="R678" i="7" s="1"/>
  <c r="R752" i="7" s="1"/>
  <c r="X121" i="7"/>
  <c r="X122" i="7" s="1"/>
  <c r="AI424" i="7"/>
  <c r="AI462" i="7"/>
  <c r="AJ178" i="7"/>
  <c r="AJ198" i="7"/>
  <c r="AJ229" i="7"/>
  <c r="AJ230" i="7" s="1"/>
  <c r="AJ231" i="7" s="1"/>
  <c r="AJ272" i="7"/>
  <c r="AJ273" i="7" s="1"/>
  <c r="AJ300" i="7"/>
  <c r="AJ301" i="7" s="1"/>
  <c r="AJ347" i="7" s="1"/>
  <c r="AK469" i="7"/>
  <c r="AK470" i="7" s="1"/>
  <c r="AM121" i="7"/>
  <c r="AM122" i="7" s="1"/>
  <c r="AO121" i="7"/>
  <c r="AO122" i="7" s="1"/>
  <c r="AO178" i="7"/>
  <c r="AO230" i="7"/>
  <c r="AO231" i="7" s="1"/>
  <c r="AO347" i="7"/>
  <c r="AQ326" i="7"/>
  <c r="Y177" i="7"/>
  <c r="Y178" i="7" s="1"/>
  <c r="Y199" i="7" s="1"/>
  <c r="X218" i="7"/>
  <c r="X230" i="7" s="1"/>
  <c r="X231" i="7" s="1"/>
  <c r="X462" i="7"/>
  <c r="X469" i="7" s="1"/>
  <c r="X470" i="7" s="1"/>
  <c r="AD387" i="7"/>
  <c r="AD469" i="7" s="1"/>
  <c r="AD470" i="7" s="1"/>
  <c r="AD678" i="7" s="1"/>
  <c r="AD752" i="7" s="1"/>
  <c r="AO638" i="7"/>
  <c r="AO675" i="7" s="1"/>
  <c r="AO676" i="7" s="1"/>
  <c r="AQ638" i="7"/>
  <c r="AQ675" i="7" s="1"/>
  <c r="AQ676" i="7" s="1"/>
  <c r="AQ319" i="7"/>
  <c r="AQ228" i="7"/>
  <c r="AQ229" i="7" s="1"/>
  <c r="AQ150" i="7"/>
  <c r="AQ156" i="7"/>
  <c r="AQ171" i="7"/>
  <c r="AQ192" i="7"/>
  <c r="AL197" i="7"/>
  <c r="AL198" i="7" s="1"/>
  <c r="AL199" i="7" s="1"/>
  <c r="AQ100" i="7"/>
  <c r="AQ101" i="7" s="1"/>
  <c r="AQ102" i="7" s="1"/>
  <c r="AN469" i="7"/>
  <c r="AN470" i="7" s="1"/>
  <c r="AN678" i="7" s="1"/>
  <c r="AA121" i="7"/>
  <c r="AA122" i="7" s="1"/>
  <c r="AI469" i="7"/>
  <c r="AI470" i="7" s="1"/>
  <c r="AI675" i="7"/>
  <c r="AI676" i="7" s="1"/>
  <c r="AI678" i="7" s="1"/>
  <c r="AI752" i="7" s="1"/>
  <c r="AJ199" i="7"/>
  <c r="AQ121" i="7"/>
  <c r="AQ122" i="7" s="1"/>
  <c r="Z678" i="7"/>
  <c r="Z752" i="7" s="1"/>
  <c r="T675" i="7"/>
  <c r="T676" i="7" s="1"/>
  <c r="T678" i="7" s="1"/>
  <c r="T752" i="7" s="1"/>
  <c r="AC678" i="7"/>
  <c r="AC752" i="7" s="1"/>
  <c r="AH678" i="7"/>
  <c r="AH752" i="7" s="1"/>
  <c r="AQ162" i="7"/>
  <c r="AA535" i="7"/>
  <c r="AA536" i="7" s="1"/>
  <c r="AA678" i="7" s="1"/>
  <c r="AA752" i="7" s="1"/>
  <c r="AQ353" i="7"/>
  <c r="AQ355" i="7" s="1"/>
  <c r="AQ356" i="7" s="1"/>
  <c r="AQ363" i="7" s="1"/>
  <c r="AQ364" i="7" s="1"/>
  <c r="AL355" i="7"/>
  <c r="AL356" i="7" s="1"/>
  <c r="AL363" i="7" s="1"/>
  <c r="AL364" i="7" s="1"/>
  <c r="AQ306" i="7"/>
  <c r="AQ310" i="7" s="1"/>
  <c r="AQ333" i="7" s="1"/>
  <c r="AQ334" i="7" s="1"/>
  <c r="AL310" i="7"/>
  <c r="AL333" i="7" s="1"/>
  <c r="AL334" i="7" s="1"/>
  <c r="AQ340" i="7"/>
  <c r="AQ344" i="7" s="1"/>
  <c r="AQ345" i="7" s="1"/>
  <c r="AQ346" i="7" s="1"/>
  <c r="AL344" i="7"/>
  <c r="AL345" i="7" s="1"/>
  <c r="AL346" i="7" s="1"/>
  <c r="AL347" i="7" s="1"/>
  <c r="AQ242" i="7"/>
  <c r="AQ256" i="7" s="1"/>
  <c r="AQ265" i="7"/>
  <c r="AQ266" i="7" s="1"/>
  <c r="AQ271" i="7" s="1"/>
  <c r="AL266" i="7"/>
  <c r="AL271" i="7" s="1"/>
  <c r="AL209" i="7"/>
  <c r="AL218" i="7" s="1"/>
  <c r="AQ208" i="7"/>
  <c r="AQ209" i="7" s="1"/>
  <c r="AQ218" i="7" s="1"/>
  <c r="AQ230" i="7" s="1"/>
  <c r="AQ231" i="7" s="1"/>
  <c r="AQ177" i="7"/>
  <c r="AQ52" i="7"/>
  <c r="AQ62" i="7" s="1"/>
  <c r="AQ63" i="7" s="1"/>
  <c r="AQ64" i="7" s="1"/>
  <c r="AQ65" i="7" s="1"/>
  <c r="AL62" i="7"/>
  <c r="AL63" i="7" s="1"/>
  <c r="AL64" i="7" s="1"/>
  <c r="AL65" i="7" s="1"/>
  <c r="W121" i="7"/>
  <c r="W122" i="7" s="1"/>
  <c r="W678" i="7" s="1"/>
  <c r="Y121" i="7"/>
  <c r="Y122" i="7" s="1"/>
  <c r="Y469" i="7"/>
  <c r="Y470" i="7" s="1"/>
  <c r="Y678" i="7" s="1"/>
  <c r="Y752" i="7" s="1"/>
  <c r="AL228" i="7"/>
  <c r="AL229" i="7" s="1"/>
  <c r="P347" i="7"/>
  <c r="S102" i="7"/>
  <c r="S121" i="7"/>
  <c r="S122" i="7" s="1"/>
  <c r="P102" i="7"/>
  <c r="P121" i="7"/>
  <c r="P122" i="7" s="1"/>
  <c r="AO198" i="7"/>
  <c r="AO199" i="7" s="1"/>
  <c r="AO678" i="7" s="1"/>
  <c r="AO752" i="7" s="1"/>
  <c r="AK347" i="7"/>
  <c r="AJ64" i="7"/>
  <c r="AJ65" i="7" s="1"/>
  <c r="AM199" i="7"/>
  <c r="AM678" i="7" s="1"/>
  <c r="AG199" i="7"/>
  <c r="AG678" i="7" s="1"/>
  <c r="AG752" i="7" s="1"/>
  <c r="AQ195" i="7"/>
  <c r="AQ196" i="7" s="1"/>
  <c r="AQ197" i="7" s="1"/>
  <c r="AQ198" i="7" s="1"/>
  <c r="AQ708" i="7"/>
  <c r="AQ713" i="7" s="1"/>
  <c r="S230" i="7"/>
  <c r="S231" i="7" s="1"/>
  <c r="S347" i="7"/>
  <c r="U121" i="7"/>
  <c r="U122" i="7" s="1"/>
  <c r="U525" i="7"/>
  <c r="U535" i="7" s="1"/>
  <c r="U536" i="7" s="1"/>
  <c r="U675" i="7"/>
  <c r="U676" i="7" s="1"/>
  <c r="V720" i="7"/>
  <c r="V721" i="7" s="1"/>
  <c r="AQ735" i="7"/>
  <c r="AQ736" i="7" s="1"/>
  <c r="AQ737" i="7" s="1"/>
  <c r="AQ738" i="7" s="1"/>
  <c r="AM694" i="7"/>
  <c r="AQ693" i="7"/>
  <c r="AQ694" i="7" s="1"/>
  <c r="AQ701" i="7" s="1"/>
  <c r="AL121" i="7"/>
  <c r="AL122" i="7" s="1"/>
  <c r="AQ133" i="7"/>
  <c r="AQ141" i="7" s="1"/>
  <c r="AN720" i="7"/>
  <c r="AN721" i="7" s="1"/>
  <c r="AL242" i="7"/>
  <c r="AL256" i="7" s="1"/>
  <c r="AM700" i="7"/>
  <c r="AM701" i="7" s="1"/>
  <c r="AM720" i="7" s="1"/>
  <c r="AM721" i="7" s="1"/>
  <c r="P199" i="7"/>
  <c r="P469" i="7"/>
  <c r="P470" i="7" s="1"/>
  <c r="P678" i="7" s="1"/>
  <c r="P752" i="7" s="1"/>
  <c r="Q64" i="7"/>
  <c r="Q65" i="7" s="1"/>
  <c r="Q678" i="7" s="1"/>
  <c r="Q752" i="7" s="1"/>
  <c r="X64" i="7"/>
  <c r="X65" i="7" s="1"/>
  <c r="X678" i="7" s="1"/>
  <c r="X752" i="7" s="1"/>
  <c r="V624" i="7"/>
  <c r="V675" i="7" s="1"/>
  <c r="V676" i="7" s="1"/>
  <c r="S133" i="7"/>
  <c r="S141" i="7" s="1"/>
  <c r="S178" i="7" s="1"/>
  <c r="S199" i="7" s="1"/>
  <c r="AF387" i="7"/>
  <c r="AF469" i="7" s="1"/>
  <c r="AF470" i="7" s="1"/>
  <c r="AF678" i="7" s="1"/>
  <c r="AF752" i="7" s="1"/>
  <c r="AQ387" i="7"/>
  <c r="AQ469" i="7" s="1"/>
  <c r="AQ470" i="7" s="1"/>
  <c r="AQ462" i="7"/>
  <c r="AE469" i="7"/>
  <c r="AE470" i="7" s="1"/>
  <c r="AE678" i="7" s="1"/>
  <c r="AE752" i="7" s="1"/>
  <c r="V678" i="7" l="1"/>
  <c r="V752" i="7" s="1"/>
  <c r="AM752" i="7"/>
  <c r="W752" i="7"/>
  <c r="AJ678" i="7"/>
  <c r="AJ752" i="7" s="1"/>
  <c r="AK678" i="7"/>
  <c r="AK752" i="7" s="1"/>
  <c r="U199" i="7"/>
  <c r="AQ272" i="7"/>
  <c r="AQ273" i="7" s="1"/>
  <c r="S678" i="7"/>
  <c r="S752" i="7" s="1"/>
  <c r="AL272" i="7"/>
  <c r="AL273" i="7" s="1"/>
  <c r="AL678" i="7" s="1"/>
  <c r="AL752" i="7" s="1"/>
  <c r="AQ347" i="7"/>
  <c r="U678" i="7"/>
  <c r="U752" i="7" s="1"/>
  <c r="AQ178" i="7"/>
  <c r="AQ199" i="7" s="1"/>
  <c r="AQ720" i="7"/>
  <c r="AQ721" i="7" s="1"/>
  <c r="AL230" i="7"/>
  <c r="AL231" i="7" s="1"/>
  <c r="AN752" i="7"/>
  <c r="AQ678" i="7" l="1"/>
  <c r="AQ752" i="7" s="1"/>
</calcChain>
</file>

<file path=xl/sharedStrings.xml><?xml version="1.0" encoding="utf-8"?>
<sst xmlns="http://schemas.openxmlformats.org/spreadsheetml/2006/main" count="1693" uniqueCount="945">
  <si>
    <t xml:space="preserve"> </t>
  </si>
  <si>
    <t>ESTRATEGIA</t>
  </si>
  <si>
    <t>PROGRAMA</t>
  </si>
  <si>
    <t>META DE RESULTADO</t>
  </si>
  <si>
    <t>LINEA BASE 2015</t>
  </si>
  <si>
    <t>LINEA ESPERADA 2019</t>
  </si>
  <si>
    <t>SUB PROGRAMA</t>
  </si>
  <si>
    <t>META PRODUCTO</t>
  </si>
  <si>
    <t>LINEA ESPERADA 2017</t>
  </si>
  <si>
    <t xml:space="preserve">CÓDIGO SECTOR </t>
  </si>
  <si>
    <t>CÓDIGO</t>
  </si>
  <si>
    <t xml:space="preserve">NOMBRE DEL PROYECTO </t>
  </si>
  <si>
    <t>TIPO DE META</t>
  </si>
  <si>
    <t>FONDO RENTAS</t>
  </si>
  <si>
    <t xml:space="preserve">SGP APORTES PATRONALES ( Sin situacion de fondos) </t>
  </si>
  <si>
    <t xml:space="preserve">SGP PRESTACION DE SERVCIOS </t>
  </si>
  <si>
    <t xml:space="preserve">FONDO LOCAL DE SALUD  - RENTAS CEDIDAS  </t>
  </si>
  <si>
    <t xml:space="preserve">FONDO LOCAL DE SALUD  - FONDO DE ESTUPEFACIENTES  </t>
  </si>
  <si>
    <t xml:space="preserve">FONDO LOCAL DE SALUD  - LEY 1393  </t>
  </si>
  <si>
    <t>SGP PRESTACION DE SERVICIOS - EDUCACION</t>
  </si>
  <si>
    <t>SGP CANCELACIÓN DE PRESTACIONES SOCIALES -EDUCACIÓN</t>
  </si>
  <si>
    <t>SGP NECESIDADES EDUCATIVAS ESPECIALES-EDUCACION</t>
  </si>
  <si>
    <t>SGP CONECTIVIDAD - EDUCACION</t>
  </si>
  <si>
    <t xml:space="preserve">RECURSO ORDINARIO </t>
  </si>
  <si>
    <t>COLDEPORTES</t>
  </si>
  <si>
    <t>304 -Secretaría Administrativa</t>
  </si>
  <si>
    <t>BUEN GOBIERNO</t>
  </si>
  <si>
    <t>Gestión Territorial</t>
  </si>
  <si>
    <t>Modernización tecnológica y Administrativa</t>
  </si>
  <si>
    <t>Virtualizar ocho (8) trámites de la administración departamental a través de Gobierno en Línea</t>
  </si>
  <si>
    <t>ND</t>
  </si>
  <si>
    <t xml:space="preserve">17. Fortalecimiento institucional </t>
  </si>
  <si>
    <t>201663000-0001</t>
  </si>
  <si>
    <t>Apoyo a la estrategia de Gobierno en linea en el Departamento del Quindio</t>
  </si>
  <si>
    <t>I</t>
  </si>
  <si>
    <t>Formular e  implementar un (1) programa de seguridad y salud en el trabajo, capacitación y bienestar social en  el departamento</t>
  </si>
  <si>
    <t>201663000-0002</t>
  </si>
  <si>
    <t>Formulación e implementación del programa de seguridad y salud en el trabajo, capacitación y bienestar social en el Departamento del Quindio</t>
  </si>
  <si>
    <t>M</t>
  </si>
  <si>
    <t>Consolidar mecanismos de integración regional y municipal</t>
  </si>
  <si>
    <t>Fortalecer el programa de  infraestructura tecnológica de la  Administración Departamental (hadware, aplicativos, redes, y capacitación)</t>
  </si>
  <si>
    <t>201663000-0003</t>
  </si>
  <si>
    <t>Actualización de la infraestructura tecnológica de la Gobernación del Quindío.</t>
  </si>
  <si>
    <t>201663000-0004</t>
  </si>
  <si>
    <t>Apoyo a la sostenibilidad de las tecnologías de la información y comunicación de la Gobernación del Quindío.</t>
  </si>
  <si>
    <t>Adquirir e implementar un (1) software para la sistematización de las historias laborales del Fondo Territorial de Pensiones del departamento</t>
  </si>
  <si>
    <t>201663000-0005</t>
  </si>
  <si>
    <t>Implementación de un programa  de  modernización de la gestión administrativa en el Departamento del Quindio</t>
  </si>
  <si>
    <t>Implementar un programa de actualización y registro de los bienes de propiedad del departamento</t>
  </si>
  <si>
    <t xml:space="preserve">Realizar un (1) estudio de modernización administrativa en el departamento </t>
  </si>
  <si>
    <t>Implementar un (1) programa de modernización de la gestión documental en el departamento</t>
  </si>
  <si>
    <t>305 Secretaría de Planeación</t>
  </si>
  <si>
    <t>Quindío Transparente y Legal</t>
  </si>
  <si>
    <t>Quindío Ejemplar y Legal</t>
  </si>
  <si>
    <t>Elevar el promedio de la participación de la ciudadania en los procesos de elección popular en el cuatrenio</t>
  </si>
  <si>
    <t>54.61</t>
  </si>
  <si>
    <t>Realizar en el Departamento y  los doce (12) municipios  del Quindío  procesos de sensibilización, seguimiento  y evaluación en la aplicabilidad de los componentes   del Índice de Transparencia.</t>
  </si>
  <si>
    <t>201663000-0006</t>
  </si>
  <si>
    <t>Realización procesos de capacitación,  asistencia técnica, seguimiento  y evaluación en la aplicabilidad de los componentes   del Índice de Transparencia en el Departamento del Quindio</t>
  </si>
  <si>
    <t>Veedurías y Rendición de Cuentas</t>
  </si>
  <si>
    <t xml:space="preserve">Realizar  doce (12) procesos de Rendición Publica de Cuentas Departamentales en entes territoriales municipales. </t>
  </si>
  <si>
    <t>201663000-0015</t>
  </si>
  <si>
    <t xml:space="preserve">Realización procesos de Rendición Publica de Cuentas Departamentales enlos  entes territoriales municipales del Departamento del Quindio </t>
  </si>
  <si>
    <t>Poder Ciudadano</t>
  </si>
  <si>
    <t>Quindío Si, a la participación</t>
  </si>
  <si>
    <t xml:space="preserve">Fortalecer  técnica y logísticamente al  Consejo Territorial de Planeación  Departamental  </t>
  </si>
  <si>
    <t xml:space="preserve">16. Desarrollo Comunitario </t>
  </si>
  <si>
    <t>201763000-0007</t>
  </si>
  <si>
    <t>Asistencia al Consejo Territorial de Planeación del Departamento del Quindío.</t>
  </si>
  <si>
    <t xml:space="preserve">Los instrumentos  de planificación como  ruta para el cumplimiento de la gestión pública  </t>
  </si>
  <si>
    <t>Diseñar e implementar el Plan de Ordenamiento del Departamento del Quindio.</t>
  </si>
  <si>
    <t>201663000-0009</t>
  </si>
  <si>
    <t>Diseño e implementación instrumentos de  planificación para el  ordenamiento  territorial, social y económico del  Departamento del Quindio</t>
  </si>
  <si>
    <t>Diseñar e implementar Un (1) Sistema de Información geo referenciado para el ordenamiento social  y económico del territorio rural</t>
  </si>
  <si>
    <t xml:space="preserve">Actualizar y fortalecer  las directrices   del Modelo de Ocupación del Territorio   en el Departamento del Quindío </t>
  </si>
  <si>
    <t xml:space="preserve">Fortalecer el  Sistema de Información Geográfica del Departamento del Quindío  </t>
  </si>
  <si>
    <t>Adoptar dos (2) mecanismo de integracion regional  y  de asociatividad  entre los municipios.</t>
  </si>
  <si>
    <t xml:space="preserve">Reorientar el Observatorio económico a un enfoque humano con variables sociales, economicas y de seguridad humana en el Departamento del Quindío  </t>
  </si>
  <si>
    <t>201663000-0010</t>
  </si>
  <si>
    <t xml:space="preserve">Diseño    e implementación del Observatorio  de Desarrollo Humano en el Departamento del Quindio </t>
  </si>
  <si>
    <t>Diseñar e implementar el tablero de control  para el seguimiento y evaluación del Plan de Desarrollo  y   políticas públicas  Departamentales</t>
  </si>
  <si>
    <t>201663000-0011</t>
  </si>
  <si>
    <t>Diseño  e implementación del Tablero de Control  para el seguimiento y evalución del Plan de Desarrollo y las Políticas Públicas del  Departamento del Quindio</t>
  </si>
  <si>
    <t xml:space="preserve">Diseñar e implementar la  Fábrica de Proyectos de Inversión en el Departamento del Quindío </t>
  </si>
  <si>
    <t>13. Promoción del Desarrollo</t>
  </si>
  <si>
    <t>201663000-0012</t>
  </si>
  <si>
    <t xml:space="preserve"> Implementación Sistema de Cooperación Internacional y  de Gestión de proyectos  del Depratamento del Quindío - " Fabrica de Proyectos</t>
  </si>
  <si>
    <t xml:space="preserve">Actualizar el Sistema Integrado de Gestión Administrativa SIGA del departamento del Quindío </t>
  </si>
  <si>
    <t>201663000-0013</t>
  </si>
  <si>
    <t xml:space="preserve">Actualizar y/o  ajustar el Sistema Integrado de Gestión Administrativa SIGA del Departamento del Quindío </t>
  </si>
  <si>
    <t xml:space="preserve">Implementar el Comité  de Planificación  Departamental   </t>
  </si>
  <si>
    <t>201663000-0014</t>
  </si>
  <si>
    <t>Asistencia  técnica, seguimiento y evaluación  de la gestión  territorial en los  munipicios del Departamento del  Quindío.</t>
  </si>
  <si>
    <t>Implementar en doce (12) municipios del Departamento procesos de capacitación,   asistencia técnica,  seguimiento  y evaluación   de los    Planes  (Básicos y/o esquemas) Ordenamiento   Territorial</t>
  </si>
  <si>
    <t xml:space="preserve">Implementar en doce (12) municipios del Departamento del Quindío  procesos de sensibilización, capacitación, asistencia técnica, seguimiento y evaluación del "Ranking integral de Desempeño"   </t>
  </si>
  <si>
    <t xml:space="preserve">Implementar en doce (12) municipios del Departamento del Quindío  procesos de sensibilización, capacitación,  asistencia técnica, seguimiento  y evaluación  en la aplicabilidad de los instrumentos de planificación </t>
  </si>
  <si>
    <t xml:space="preserve">Implementar en doce (12) municipios del Departamento del Quindío  procesos de  sensibilización, capacitación,  asistencia técnica, seguimiento  y evaluación  en la aplicabilidad  del Sistema  Selección de Beneficiarios de programas Sociales SISBEN </t>
  </si>
  <si>
    <t xml:space="preserve">Implementar en doce (12) municipios del Departamento del Quindío procesos de  sensibilización, capacitación, asistencia técnica, seguimiento  y evaluación  en la aplicabilidad   de las políticas públicas </t>
  </si>
  <si>
    <t xml:space="preserve">Implementar en doce (12) municipios del Departamento del Quindío  procesos  de capacitación,  asistencia técnica, seguimiento  y evaluación  en la aplicabilidad   de la Estratificación Socioeconómica </t>
  </si>
  <si>
    <t xml:space="preserve">Implementar en doce (12) municipios del departamento del Quindío procesos de capacitación  en  la Metodología General Ajustada  MGA </t>
  </si>
  <si>
    <t xml:space="preserve">Realizar procesos  de asistencia técnica, seguimiento y evaluacion  en la incorporación  de  las directrices del  Modelo de Ocupación del Territorio de en los doce (12) Municipios </t>
  </si>
  <si>
    <t>307 Secretaría de Hacienda</t>
  </si>
  <si>
    <t>Gestión Tributaria y Financiera</t>
  </si>
  <si>
    <t>Implementar 4 procesos de fiscalización de las Rentas Departamentales</t>
  </si>
  <si>
    <t>201663000-0016</t>
  </si>
  <si>
    <t xml:space="preserve"> Mejoramiento de la sostenibilidad de los procesos de fiscalización liquidación control y cobranza de los tributos en el Departamento del Quindío</t>
  </si>
  <si>
    <t>Implementar una estrategia de cobro coactivo sobre la cartera morosa de las Rentas Departamentales.</t>
  </si>
  <si>
    <t xml:space="preserve">Ejecutar el programa anti contrabando suscrito con la Federación Nacional de Departamentos.                               </t>
  </si>
  <si>
    <t>Elaborar el diagnóstico del sistema de Información tributario y financiero</t>
  </si>
  <si>
    <t>201663000-0017</t>
  </si>
  <si>
    <t xml:space="preserve">Implementación de un programa de gestión fianciera para la optimización de los procesos en el area de tesorería, presupuesto y contabilidad en el Departamento del Quindio </t>
  </si>
  <si>
    <t xml:space="preserve">Implementar un programa para el cumplimiento de las políticas y prácticas contables para la administración departamental         </t>
  </si>
  <si>
    <t xml:space="preserve">308 Secretaría de Agua e Infraestructura </t>
  </si>
  <si>
    <t>PROSPERIDAD CON EQUIDAD</t>
  </si>
  <si>
    <t>Infraestructura Sostenible para la Paz</t>
  </si>
  <si>
    <t>Mejora de la Infraestructura Vial del Departamento del Quindío</t>
  </si>
  <si>
    <t>Msntener en buen estado las vias del Departamento</t>
  </si>
  <si>
    <t>Mantener, mejorar y/o rehabilitar ciento treinta (130) km de vías del Departamento para la implementación del Plan Vial Departamental.</t>
  </si>
  <si>
    <t xml:space="preserve">9. Transporte </t>
  </si>
  <si>
    <t>201663000-0019</t>
  </si>
  <si>
    <t>Mantener, mejorar, rehabilitar y/o atender las vías y sus emergencias, en cumplimiento del Plan Vial del Departamento del Quindío.</t>
  </si>
  <si>
    <t>Apoyar la atención de emergencias viales en los doce (12) Municipios del Departamento del Quindío.</t>
  </si>
  <si>
    <t>Realizar ocho (8) estudios y/o diseños para el mantenimiento, mejoramiento y/o rehabilitación de la infraestructura vial en el departamento para la implementación del Plan vial departamental</t>
  </si>
  <si>
    <t>Mejora de la Infraestructura  Social del Departamento del Quindío</t>
  </si>
  <si>
    <t xml:space="preserve">Disminuir  el porcentaje de personas en situción de pobreza </t>
  </si>
  <si>
    <t>Mantener, mejorar y/o rehabilitar la Infraestructura de cuarenta y ocho (48) instituciones educativas en el departamento del Quindío.</t>
  </si>
  <si>
    <t xml:space="preserve">15. Equipamiento </t>
  </si>
  <si>
    <t>201663000-0021</t>
  </si>
  <si>
    <t>Construir, mantener, mejorar y/o rehabilitar la infraestructura social del Departamento del Quindio</t>
  </si>
  <si>
    <t>Apoyar la construcción, mejoramiento y/o rehabilitación de cuatro (4) obras de infraestructura de salud del departamento del Quindío</t>
  </si>
  <si>
    <t>Apoyar la construcción, mejoramiento y/o  rehabilitación de la infraestructura de doce (12) escenarios deportivos y/o recreativos en el departamento del Quindío</t>
  </si>
  <si>
    <t>Apoyar la construcción, el mantenimiento, el mejoramiento y/o la rehabilitación de cuatro (4) obras físicas de infraestructura de bienestar social, de seguridad y de justicia del Departamento del Quindío.</t>
  </si>
  <si>
    <t>Apoyar la construcción, el mantenimiento, el mejoramiento y/o la rehabilitación de dos (2) obras físicas de infraestructura  Institucional o de edificios públicos del Departamento del Quindío.</t>
  </si>
  <si>
    <t>Apoyar la construcción y  el mejoramiento de mil (1000) viviendas urbana y rural priorizada en el departamento del Quindío.</t>
  </si>
  <si>
    <t xml:space="preserve">Desarrollar tres (3) ejercicios de presupuesto participativo con la ciudadanía, para la priorización de recursos de infraestructura física en el Departamento </t>
  </si>
  <si>
    <t>i</t>
  </si>
  <si>
    <t>DESARROLLO SOSTENIBLE</t>
  </si>
  <si>
    <t>Quindío territorio vital</t>
  </si>
  <si>
    <t>Manejo integral del agua y saneamiento básico</t>
  </si>
  <si>
    <t xml:space="preserve">Dsiminuir la presión por cargas contaminantes medida por el indice de alteración potencial de la calidad del agua ( IACAL), a categoria moderada </t>
  </si>
  <si>
    <t xml:space="preserve">Muy Alta </t>
  </si>
  <si>
    <t>Moderada</t>
  </si>
  <si>
    <t>Formular y ejecutar veinte (20) proyectos de infraestructura de agua potable y saneamiento básico</t>
  </si>
  <si>
    <t xml:space="preserve">3. Agua Potable y Saneamiento Básico </t>
  </si>
  <si>
    <t>201663000-0022</t>
  </si>
  <si>
    <t>Apoyo en atenciones prioritarias en Agua Potable y/o Saneamiento Básico en el Departamento del Quindio</t>
  </si>
  <si>
    <t>201663000-0023</t>
  </si>
  <si>
    <t>Construción y mejoramiento de la infraestructura de agua potable y saneamiento básico del Departamento del Quindio.</t>
  </si>
  <si>
    <t>Apoyar  veinte (20) proyectos de agua potable y saneamiento básico de acuerdo al plan de acompañamiento social</t>
  </si>
  <si>
    <t>201663000-0024</t>
  </si>
  <si>
    <t>Ejecución del plan de acompañamiento social a los proyectos y obras de infraestructura de agua potable y saneamiento básico en el Departamento del Quindio</t>
  </si>
  <si>
    <t>Actualizar e implementar el plan ambiental para el sector de agua potable y saneamiento básico</t>
  </si>
  <si>
    <t>201663000-0025</t>
  </si>
  <si>
    <t>Actualización e implementación del  Plan Ambiental para el sector de agua potable y saneamiento básico en el Departamento del Quindio</t>
  </si>
  <si>
    <t>Ejecutar tres (3) proyectos para el aseguramiento de la prestación de los servicios públicos de agua potable y saneamiento básico urbano y rural</t>
  </si>
  <si>
    <t>201663000-0026</t>
  </si>
  <si>
    <t>Ejecución del plan de aseguramiento de la prestación de los servicios públicos de agua potable y saneamiento básico urbano y rural en el Departamento del Quindio</t>
  </si>
  <si>
    <t>Formular e implementar dos (2) proyectos para la gestión del riesgo del sector de agua potable y saneamiento básico. </t>
  </si>
  <si>
    <t>201663000-0027</t>
  </si>
  <si>
    <t>Formulación y ejecución de proyectos para la gestión del riesgo del sector de agua potable y saneamiento básico en el Departamento del Quindio.</t>
  </si>
  <si>
    <t>309 Secretaría del Interior</t>
  </si>
  <si>
    <t>SEGURIDAD HUMANA</t>
  </si>
  <si>
    <t xml:space="preserve">Seguridad humana como dinamizador de la vida, dignidad y libertad en el Quindío </t>
  </si>
  <si>
    <t>Seguridad ciudadana  para prevención y control del delito</t>
  </si>
  <si>
    <t xml:space="preserve">Reducrir la tasa de Homicidios en el Departamento del Quindio </t>
  </si>
  <si>
    <t>42.34               *100.000</t>
  </si>
  <si>
    <t>35                          *100.000</t>
  </si>
  <si>
    <t>Apoyar la implementación de seis (6) programas de resocialización  en establecimientos carcelarios  del Departamento (sustento legal 1709 de 2014)</t>
  </si>
  <si>
    <t xml:space="preserve">18. Justicia y seguridad </t>
  </si>
  <si>
    <t>201663000-0028</t>
  </si>
  <si>
    <t xml:space="preserve">Construcción integral de la seguridad humana en el Departamento de Quindio.  </t>
  </si>
  <si>
    <t>Fortalecer 10 programas de prevención y superación del Sistema de responsabilidad penal para adolescentes</t>
  </si>
  <si>
    <t>Apoyar la construcción, refacción o adecuación de  seis (6) estaciones de policía y/o guarniciones militares y/o instituciones carcelarias</t>
  </si>
  <si>
    <t xml:space="preserve">4
</t>
  </si>
  <si>
    <t xml:space="preserve">Reducir los casos  de  hurto a residencias, comercio y personas </t>
  </si>
  <si>
    <t>Dotar cinco (5) organismos de seguridad del departamento con elementos tecnológicos y logísticos que faciliten su operatividad y capacidad de respuesta</t>
  </si>
  <si>
    <t xml:space="preserve">5
</t>
  </si>
  <si>
    <t>Apoyar 3 observatorios locales del delito</t>
  </si>
  <si>
    <t>Convivencia, Justicia  y Cultura de Paz</t>
  </si>
  <si>
    <t>Apoyar la implementación de treinta y seis (36) programas de prevención del delito y mediación de conflictos en comunidades focalizadas del departamento</t>
  </si>
  <si>
    <t xml:space="preserve">18. Justicia y Seguridad </t>
  </si>
  <si>
    <t>201663000-0029</t>
  </si>
  <si>
    <t>Apoyo a la convivencia, justicia y cultura de paz en el Departamento del  Quindio.</t>
  </si>
  <si>
    <t>Atencion integral de Barrios con situacion critica de convivencia en los 12 Municipios  del Departamento</t>
  </si>
  <si>
    <t>Actualizar el código departamental de Policía</t>
  </si>
  <si>
    <t>Actualizar e implementar el Plan Integral de Seguridad y Convivencia Ciudadana (PISCC)</t>
  </si>
  <si>
    <t>Construcción de paz y reconciliación en el Quindío</t>
  </si>
  <si>
    <t>Plan de Acción Territorial para las Víctimas del Conflicto</t>
  </si>
  <si>
    <t xml:space="preserve">Aumentar el porcentaje de cumplimiento de la Ley 1448 del 2011 de atención a victimas </t>
  </si>
  <si>
    <t>71.04</t>
  </si>
  <si>
    <t>88.17</t>
  </si>
  <si>
    <t xml:space="preserve">Apoyar la articulación para la atención integral de las víctimas del conflicto por enfoque diferencial en  los 12 municipios del departamento
</t>
  </si>
  <si>
    <t xml:space="preserve">14. Atención Grupos Vulnerables- Promoción Social </t>
  </si>
  <si>
    <t>201663000-0030</t>
  </si>
  <si>
    <t>Implementación del Plan de Acción Territorial para la prevención, protección, asistencia, atención, reparación integral en el Departamento del Quindio.</t>
  </si>
  <si>
    <t>Apoyar  la atención humanitaria inmediata a la población víctima del conflicto en los 12 municipios</t>
  </si>
  <si>
    <t xml:space="preserve">Fortalecer el Comité departamental de justicia transicional y la mesa de participación efectiva de las víctimas del conflicto </t>
  </si>
  <si>
    <t xml:space="preserve">Apoyar la construcción y la actualización de los Planes de Acción Territorial de victimas PAT municipales y  el PAT departamental </t>
  </si>
  <si>
    <t xml:space="preserve">Diseñar e implementar el sistema de información para la prevención, atención, asistencia y reparación integral a las víctimas del conflicto armado interno </t>
  </si>
  <si>
    <t>Protección y Garantías de no Repetición</t>
  </si>
  <si>
    <t>Implementar el plan integral de prevención a las violaciones de  Derechos Humanos DDHH e infracciones  al Derecho Internacional Humanitario DIH</t>
  </si>
  <si>
    <t>201663000-0032</t>
  </si>
  <si>
    <t>Implementación del Plan Integral de prevención de vulneraciones de los Derechos Humanos DDHH e infracciones  al Derecho Internacional Humanitario DIH en el departamento del Quindio</t>
  </si>
  <si>
    <t xml:space="preserve">Apoyar en los doce (12) municipios la articulación institucional para la prevención a las violaciones DDHH  e infracciones al DIH </t>
  </si>
  <si>
    <t>Actualizar e Implementar el plan lucha contra la trata de personas</t>
  </si>
  <si>
    <t>Preparados para la Paz Territorial</t>
  </si>
  <si>
    <t>Implementar plan de acción de Derechos Humanos articulado interinstitucionalmente, de  protección de los Derechos Humanos DDHH y la Paz en los doce (12) municipios del departamento</t>
  </si>
  <si>
    <t>201663000-0034</t>
  </si>
  <si>
    <t>Construcción de la Paz Territorial en el Departamento del Quindio</t>
  </si>
  <si>
    <t xml:space="preserve">Apoyar y articular en los doce (12) municipios  del departamento las actuaciones institucionales en procura de la garantía de la construcción de paz </t>
  </si>
  <si>
    <t xml:space="preserve">El Quindío Departamento Resiliente </t>
  </si>
  <si>
    <t>Quindío protegiendo el futuro</t>
  </si>
  <si>
    <t xml:space="preserve">Realizar catorce (14) estudios de riesgo y análisis de vulnerabilidad en  los municipios del departamento </t>
  </si>
  <si>
    <t xml:space="preserve">12. Prevención y Atención de Desastres </t>
  </si>
  <si>
    <t>201663000-0036</t>
  </si>
  <si>
    <t xml:space="preserve">Administración del  riesgo mediante el conocimiento, la reducción y el manejo del desastre  en el Departamento del Quindio. </t>
  </si>
  <si>
    <t xml:space="preserve">Apoyar a ciento cincuenta (150) instituciones educativas del departamento en la formulación de Planes Escolares de Gestión del Riesgo (PGERD) </t>
  </si>
  <si>
    <t>Apoyar a los doce (12) municipios del departamento en procesos de educación a las comunidades frente a la prevención y preparación para las emergencias por fenómenos de origen natural y/o antrópico no intencional</t>
  </si>
  <si>
    <t xml:space="preserve">Realizar 10 intervenciones en  áreas vulnerables del departamento </t>
  </si>
  <si>
    <t xml:space="preserve">Fortalecer el comité departamental de gestión del riesgo de desastres </t>
  </si>
  <si>
    <t>Fortalecimiento Institucional para la Gestión del Riesgo de Desastres como una Estrategia de Desarrollo</t>
  </si>
  <si>
    <t>Poner en funcionamiento operativo la sala de crisis del Departamento</t>
  </si>
  <si>
    <t>201663000-0038</t>
  </si>
  <si>
    <t>Apoyo institucional en la gestión del riesgo  en el Departamento del Quindio</t>
  </si>
  <si>
    <t>Fortalecer  la dotación de la bodega estratégica de la Unidad Departamental de la Gestión del Riesgo de Desastres UDEGER</t>
  </si>
  <si>
    <t xml:space="preserve">Elevar el promedio de participación ciudadana en los procesos de leccón popular en el cuatrenio </t>
  </si>
  <si>
    <t>Implementar un (1) programa de fortalecimiento de las veedurías ciudadanas del departamento</t>
  </si>
  <si>
    <t>201663000-0042</t>
  </si>
  <si>
    <t xml:space="preserve">Fortalecimiento de las veedurias ciudadanas en el Departamento del Quindio </t>
  </si>
  <si>
    <t xml:space="preserve">Elevar el promedio de participación ciudadana en los procesos de elección popular en el cuatrenio </t>
  </si>
  <si>
    <t>Desarrollar estrategias tendientes a promover la participación ciudadana en el departamento</t>
  </si>
  <si>
    <t>201663000-0039</t>
  </si>
  <si>
    <t>Construcción de la participación ciudadana y control social en el Departamento del Quindio</t>
  </si>
  <si>
    <t>Creación y puesta en funcionamiento  del Consejo departamental de participación Ciudadana</t>
  </si>
  <si>
    <t>Comunales comprometidos con el Desarrollo</t>
  </si>
  <si>
    <t xml:space="preserve">fortalecer  organismos comunales en los  12 municipios del departamento en el mejoramiento organizacional y participativo </t>
  </si>
  <si>
    <t>201663000-0040</t>
  </si>
  <si>
    <t xml:space="preserve">Desarrollo de los Organismos Comunales en el Departamento del Quindio </t>
  </si>
  <si>
    <t>310 Secretaría de Cultura</t>
  </si>
  <si>
    <t>INCLUSION SOCIAL</t>
  </si>
  <si>
    <t>Cultura, Arte y educación para la Paz</t>
  </si>
  <si>
    <t>Arte para todos</t>
  </si>
  <si>
    <t>19            21                  31                          32</t>
  </si>
  <si>
    <t>8,06% EBS 5,77% EM       
 174,7*100.000                 30.7%                                            24,9%                                                               6 de cada 10</t>
  </si>
  <si>
    <t>5% EBS   4% EM
150*100.000                 27%                                                20%                                                     5 de cada 10</t>
  </si>
  <si>
    <t>Apoyar  treinta (30) proyectos y/o actividades de formación, difusión, circulación, creación e investigación, planeación y de espacios para el disfrute de las artes</t>
  </si>
  <si>
    <t xml:space="preserve">5. Cultura </t>
  </si>
  <si>
    <t>201663000-0045</t>
  </si>
  <si>
    <t xml:space="preserve">Apoyo a seguridad social del creador y gestor cultural del Departamento del Quindio </t>
  </si>
  <si>
    <t xml:space="preserve">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</si>
  <si>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201663000-0046</t>
  </si>
  <si>
    <t>Apoyo al arte y la cultura en todo el Departamento del Quindío</t>
  </si>
  <si>
    <t>Apoyar  ciento veinte (120) proyectos del programa de concertación cultural del departamento</t>
  </si>
  <si>
    <t>Apoyar treinta y seis (36) proyectos mediante estímulos artísticos y culturales</t>
  </si>
  <si>
    <t xml:space="preserve">Emprendimiento Cultural </t>
  </si>
  <si>
    <t>5                     32</t>
  </si>
  <si>
    <t xml:space="preserve">Igualar la tasa de desempleo del departamento al promedio nacional para 2019.                                                                                             Reducir la proporción de jóvenes en el sistema de responsabilidad penal con riesgo alto de reincidencia en las conductas delictivas.                                                                                                                                                                                                                                                                                                                                                                                                                                                                                                                                                                                                                                                                                         </t>
  </si>
  <si>
    <t xml:space="preserve"> 12,9% (Quindío)                  6 de cada 10</t>
  </si>
  <si>
    <t xml:space="preserve">  8,9% (nacional)          5 de cada 10</t>
  </si>
  <si>
    <t>Fortalecer cinco (5) procesos de emprendimiento cultural y de desarrollo de industrias creativas</t>
  </si>
  <si>
    <t>201663000-0047</t>
  </si>
  <si>
    <t xml:space="preserve">Fortalecimiento y promoción del  emprendimiento cultural y las industrias creativas en el Departamento </t>
  </si>
  <si>
    <t>Lectura, escritura y bibliotecas</t>
  </si>
  <si>
    <t xml:space="preserve">19           32        </t>
  </si>
  <si>
    <t xml:space="preserve">Disminuir la proporción de niños que desertan en educación básica secundaria y media                                   Reducir la proporción de jóvenes en el sistema de responsabilidad penal con riesgo alto de reincidencia en las conductas delictivas.                                                                                                                                                                                                                                                                                                                                                                                                                                                                                                                                                                                                                                                                                         </t>
  </si>
  <si>
    <t xml:space="preserve">8,06% EBS 5,77% EM                     6./10          
 </t>
  </si>
  <si>
    <t xml:space="preserve">5% EBS   4% EM                    5./10
 </t>
  </si>
  <si>
    <t>Apoyar  veinte (20) proyectos y/o actividades en investigación, capacitación y difusión de la lectura y escritura para fortalecer la Red Departamental de Bibliotecas</t>
  </si>
  <si>
    <t>201663000-0048</t>
  </si>
  <si>
    <t xml:space="preserve"> Fortalecimiento al  Plan Departamental  de lectura, escritura y bibliotecas en el Departamento del Quindio .</t>
  </si>
  <si>
    <t>Patrimonio, paisaje cultural cafetero, ciudadanía y diversidad cultural</t>
  </si>
  <si>
    <t>Viviendo el patrimonio y el Paisaje Cultural Cafetero</t>
  </si>
  <si>
    <t>6                   19</t>
  </si>
  <si>
    <t xml:space="preserve">   Equiparar el crecimiento del PIB del departamento del Quindío al PIB nacional                                                                                          Disminuir la proporción de niños que desertan en educación básica secundaria y media                                                                                                                                                                                                                                                                                                                                                                                                                                                                                                                                                                                                                                                                                                                           </t>
  </si>
  <si>
    <t xml:space="preserve">3,4% (Quindío) Vs. 4,6% (Nacional)                               8,06% EBS 5,77% EM                    </t>
  </si>
  <si>
    <t xml:space="preserve">En la actualidad este valor equivaldría al 4.6%                                    5% EBS   4% EM                   
 </t>
  </si>
  <si>
    <t xml:space="preserve">Apoyar treinta y dos (32) proyectos y/o actividades en gestión, investigación,  protección, divulgación y salvaguardia del patrimonio y diversidad cultural </t>
  </si>
  <si>
    <t>201663000-0049</t>
  </si>
  <si>
    <t>Apoyo al reconocimiento, apropiación y salvaguardia y difusión del patrimonio cultural en todo el Departamento del Quindío.</t>
  </si>
  <si>
    <t>Comunicación, ciudadanía y Sistema Departamental de Cultura</t>
  </si>
  <si>
    <t>32       22</t>
  </si>
  <si>
    <t xml:space="preserve">Reducir la proporción de jóvenes en el sistema de responsabilidad penal con riesgo alto de reincidencia en las conductas delictivas.                                                                                                                                                                     </t>
  </si>
  <si>
    <t xml:space="preserve">6./10          
 </t>
  </si>
  <si>
    <t xml:space="preserve">5./10
 </t>
  </si>
  <si>
    <t xml:space="preserve">Apoyar diez (10) proyectos y/o actividades orientados a fortalecer la articulación comunicación y cultura </t>
  </si>
  <si>
    <t>201663000-0050</t>
  </si>
  <si>
    <t>Fortalecimiento de la comunicación, la ciudadanía  y el sistema departamental de cultura  en el Quindio.</t>
  </si>
  <si>
    <t>Apoyar  dieciséis (16) actividades y/o proyectos  para el afianzamiento del Sistema Departamental de Cultura</t>
  </si>
  <si>
    <t xml:space="preserve">311 Secretaría de Turismo, Industria y Comercio </t>
  </si>
  <si>
    <t>Quindío rural, inteligente, competitivo y empresarial</t>
  </si>
  <si>
    <t>Quindío Prospero y productivo</t>
  </si>
  <si>
    <t>Igualar la tasa de desempleo del departamento al promedio nacional para el 2019</t>
  </si>
  <si>
    <t xml:space="preserve">Crear (1) y fortalecer (3) rutas competitivas </t>
  </si>
  <si>
    <t xml:space="preserve">13. Promoción del Desarrollo </t>
  </si>
  <si>
    <t>201663000-0051</t>
  </si>
  <si>
    <t>Apoyo al mejoramiento de la competitividad a iniciativas  productivas en el  Departamento del Quindío</t>
  </si>
  <si>
    <t xml:space="preserve">Equiparar el crecimiento del PIB del departamento  del Quindio al PIB Nacional </t>
  </si>
  <si>
    <t xml:space="preserve">3.4 </t>
  </si>
  <si>
    <t>4.6</t>
  </si>
  <si>
    <t>Conformar e implementar (3) tres clúster priorizados en el Plan de Competitividad</t>
  </si>
  <si>
    <t xml:space="preserve">Diseño, formulación y puesta en marcha del Centro  para el desarrollo y el  fortalecimiento de la investigación, tecnología,  Ciencia e Innovación .    </t>
  </si>
  <si>
    <t>201663000-0052</t>
  </si>
  <si>
    <t xml:space="preserve"> Fortalecimiento de  la   competitividad  a través de la  gestión de la innovación  y la tecnocología en el Departamento del Quindio</t>
  </si>
  <si>
    <t xml:space="preserve">Apoyar la formulación del proyecto: Red de conocimiento de agro negocios del departamento </t>
  </si>
  <si>
    <t xml:space="preserve">Diseñar y fortalecer un proyecto de I+D+I </t>
  </si>
  <si>
    <t>Hacia el Emprendimiento, Empresarismo, asociatividad y generación de empleo en el Departamento del Quindío</t>
  </si>
  <si>
    <t>Apoyar a doce (12) unidades de emprendimiento para jóvenes emprendedores.</t>
  </si>
  <si>
    <t>201663000-0053</t>
  </si>
  <si>
    <t xml:space="preserve"> Apoyo al emprendimiento, empresarismo, asociatividad y generación de empleo en el departamento del Quindío.</t>
  </si>
  <si>
    <t xml:space="preserve">Equiarar el crecimiento del PIB del departamento  del Quindio al PIB Nacional </t>
  </si>
  <si>
    <t xml:space="preserve">Diseñar un ecosistema Regional de Emprendimiento y Asociatividad                                                                                     </t>
  </si>
  <si>
    <t xml:space="preserve">Disminuir el Procentajes de personas en situción de pobreza </t>
  </si>
  <si>
    <t>31.7 0</t>
  </si>
  <si>
    <t>Apoyar   doce (12) Unidades de emprendimiento de grupos poblacionales con enfoque diferencial.</t>
  </si>
  <si>
    <t>Implementar un programa de gesiton financiera para el desarrollo de emprendimiento, empresarismo y asociatividad</t>
  </si>
  <si>
    <t>Quindío Sin Fronteras</t>
  </si>
  <si>
    <t xml:space="preserve">Igualar la tasa de desempleo del departamento al promedio nacional para el 2019 </t>
  </si>
  <si>
    <t>12.9</t>
  </si>
  <si>
    <t>8.9</t>
  </si>
  <si>
    <t>Fortalecer  doce (12) empresas en procesos internos y externos para la apertura a mercados regionales, nacionales e internacionales</t>
  </si>
  <si>
    <t>201663000-0056</t>
  </si>
  <si>
    <t xml:space="preserve">Fortalecimiento del sector empresarial  hacia mercados globales en el Departamento del Quindio .   </t>
  </si>
  <si>
    <t>Constituir e implementar una agencia de inversión empresarial</t>
  </si>
  <si>
    <t>27.</t>
  </si>
  <si>
    <t xml:space="preserve">Diseñar la  plataforma de servicios logísticos nacionales e internacionales tendiente a lograr del departamento un centro de articulación de occidente. </t>
  </si>
  <si>
    <t>Quindío Potencia Turística de Naturaleza y Diversión</t>
  </si>
  <si>
    <t xml:space="preserve">Fortalecimiento de la oferta de productos y atractivos turísticos </t>
  </si>
  <si>
    <t>5                   8</t>
  </si>
  <si>
    <t>12.9                                 665</t>
  </si>
  <si>
    <t>8.9                                798</t>
  </si>
  <si>
    <t>Diseñar, crear y/o fortalecer 15 Productos turísticos para ser ofertados</t>
  </si>
  <si>
    <t>201663000-0059</t>
  </si>
  <si>
    <t>Fortalecimiento de la oferta de prestadores de servicos, productos y atractivos turísticos en el Departamento del Quindío.</t>
  </si>
  <si>
    <t xml:space="preserve">Elaborar e implementar  un Plan de Calidad Turística del Destino </t>
  </si>
  <si>
    <t>Mejoramiento de la competitividad del Quindío como destino turístico</t>
  </si>
  <si>
    <t>Gestionar y ejecutar (3) proyectos para mejorar la competitividad del Quindío como destino turístico</t>
  </si>
  <si>
    <t>201663000-0060</t>
  </si>
  <si>
    <t>Apoyo a la competitividad  como destino turístico en el Departamento del Quindío.</t>
  </si>
  <si>
    <t>Promoción nacional e internacional del departamento como destino turístico</t>
  </si>
  <si>
    <t>Construcción del Plan de Mercadeo Turístico</t>
  </si>
  <si>
    <t>201663000-0062</t>
  </si>
  <si>
    <t>Apoyo a la promoción nacional e internacional como destino  turísmo del Departamento del Quindío.</t>
  </si>
  <si>
    <t>312 Secretaría de Agricultura, Desarrollo Rural y Medio Ambiente</t>
  </si>
  <si>
    <t>Generación de entornos favorables y sostenibilidad ambiental</t>
  </si>
  <si>
    <t>Evitar que 15 mil toneladas de material recuperable llegue a los rellenos sanitarios en el departamento</t>
  </si>
  <si>
    <t xml:space="preserve">Implementar un (1)  Sistema de Gestión Ambiental Departamental SIGAD </t>
  </si>
  <si>
    <t xml:space="preserve">10. Ambiental </t>
  </si>
  <si>
    <t>201663000-0064</t>
  </si>
  <si>
    <t>Generación de entornos favorables y sostenibilidad ambiental para el Departamento del Quindío</t>
  </si>
  <si>
    <t>Mantener la oferta hídrica promedio anual  de las Unidades de Manejo de Cuenca (UMC) del departamento del Quindío</t>
  </si>
  <si>
    <t>43,29 m3/s</t>
  </si>
  <si>
    <t xml:space="preserve">Apoyar cuatro (4) planes de manejo de áreas protegidas del departamento </t>
  </si>
  <si>
    <t xml:space="preserve">Apoyar el Plan Departamental  para la Gestión Integral de la Biodiversidad y sus Servicios Ecosistémicos PDGIB 2013-2024  </t>
  </si>
  <si>
    <t>Disminuir la presión por cargas contaminantes, medida por el Índice de Alteración Potencial de la Calidad del Agua (IACAL), a categoría “moderada”</t>
  </si>
  <si>
    <t>Muy Alta</t>
  </si>
  <si>
    <t xml:space="preserve">Desarrollar en (5) cinco de los sectores productivos del departamento, actividades de producción más limpia y Buenas  Prácticas Ambientales (BPA) </t>
  </si>
  <si>
    <t xml:space="preserve">Apoyar a los doce (12) municipios en las acciones de control y vigilancia de la explotación minera en coordinación con la autoridad ambiental </t>
  </si>
  <si>
    <t>Caracterizar los servicios ecosistémicos en seis  (6) cuencas de abastecimiento de los acueductos municipales con sus correspondientes acciones de mejoramiento</t>
  </si>
  <si>
    <t xml:space="preserve">  10.  Ambiental </t>
  </si>
  <si>
    <t>201663000-0067</t>
  </si>
  <si>
    <t>Gestón integral de cuencas hirdográficas en el Departamento del Quindío</t>
  </si>
  <si>
    <t xml:space="preserve">Crear e implementar el Fondo del Agua del departamento del Quindío  </t>
  </si>
  <si>
    <t>Bienes y servicios ambientales para las nuevas generaciones</t>
  </si>
  <si>
    <t xml:space="preserve">2                                             4 </t>
  </si>
  <si>
    <t>Mantener la oferta hídrica promedio anual  de las Unidades de Manejo de Cuenca (UMC) del departamento del Quindío.                                                                                                                                                                             Aumentar a 3000 hectareas el area recuperada  rehabilitada o restaurada  en el Departamento de acuerdo a las areas determinadas para tal efecto en el Plan Nacional de restauración.</t>
  </si>
  <si>
    <t xml:space="preserve">43,29 m3/s                      2.730 Hectareas </t>
  </si>
  <si>
    <t>43,29 m3/s                                      3.000 Hectareas</t>
  </si>
  <si>
    <t xml:space="preserve">Conservar y restaurar seis (6) áreas de importancia estratégica para el recurso hídrico del departamento </t>
  </si>
  <si>
    <t>201663000-0068</t>
  </si>
  <si>
    <t>Aplicación de mecanismos de protección ambiental en el Departamento del Quindío.</t>
  </si>
  <si>
    <t>Conservar para la sostenibilidad ambiental dos (2) cuencas de los municipios con declaratoria de Paisaje Cultural Cafetero PCC</t>
  </si>
  <si>
    <t>201663000-0069</t>
  </si>
  <si>
    <t>Fortalecimiento  y potencialización de los servicios ecosistemicos en el Departamento del Quindío</t>
  </si>
  <si>
    <t xml:space="preserve">Promover la creación y adopción  en los doce (12) municipios del departamento, de herramientas para el estímulo de incentivos a la conservación </t>
  </si>
  <si>
    <t>Restaurar con obras de bioingeniería veinte (20) Ha en áreas o zonas críticas de riesgo.</t>
  </si>
  <si>
    <t>Aumentar a 3000 hectareas el area recuperada  rehabilitada o restaurada  en el Departamento de acuerdo a las areas determinadas para tal efecto en el Plan Nacional de restauración.</t>
  </si>
  <si>
    <t xml:space="preserve">2730 (4.08%) </t>
  </si>
  <si>
    <t>3000 (4.48%)</t>
  </si>
  <si>
    <t>Desarrollar treinta y un (31) estrategias de educación ambiental  en los espacios participativos, comunitarios y educativos del departamento</t>
  </si>
  <si>
    <t>Capacitar a doscientos cincuenta (250)   jóvenes,  mujeres, población vulnerable y con enfoque diferencial como líderes ambientales en el departamento.</t>
  </si>
  <si>
    <t>Innovación para una caficultura sostenible en el departamento del Quindío</t>
  </si>
  <si>
    <t>5                  6                   7</t>
  </si>
  <si>
    <t xml:space="preserve">Igualar la tasa de desempleo del departamento al promedio nacional para el 2019                                                                                                                                                                                                                                                                         Equiparar el crecimiento del PIB del departamento  del Quindio al PIB Nacional .                                                                                                                                                                                                                                                                                            Disminuir el Procentajes de personas en situción de pobreza                                                                                                                                                       </t>
  </si>
  <si>
    <t>12.9                                     3.4                                               31.70</t>
  </si>
  <si>
    <t xml:space="preserve">8.9                                   4.6                            27                     </t>
  </si>
  <si>
    <t>Capacitar a cuatrocientos (400) caficultores del departamento en producción limpia y sostenible con producción de café con taza limpia, catación, tostión y barismo</t>
  </si>
  <si>
    <t>201663000-0072</t>
  </si>
  <si>
    <t>Fortalecimiento e innovación empresarial  de la caficultura en el Departamento del Quindio</t>
  </si>
  <si>
    <t>Crear (6) seis grupos multiplicadores de conocimiento en emprendimiento y calidad del café  para jóvenes y mujeres rurales, campesinas y cafeteras</t>
  </si>
  <si>
    <t>Crear (1) portafolio de café origen Quindío a través de la valoración de 6000 predios</t>
  </si>
  <si>
    <t>Formalizar (1) un convenio interinstitucional para la inserción de los cafés de origen Quindío en los mercados nacionales e internacionales</t>
  </si>
  <si>
    <t>Centros Agroindustriales Regionales para la Paz - CARPAZ</t>
  </si>
  <si>
    <t>Crear e implementar seis (6) núcleos de asistencia técnica y transferencia de tecnología en el sector agropecuario</t>
  </si>
  <si>
    <t>201663000-0176</t>
  </si>
  <si>
    <t>Creacion e implementacion de los centros agroindustriales para  la paz CAPAZ en el Deparamento del Quindio</t>
  </si>
  <si>
    <t>Apoyar cinco (5) sectores productivos agropecuarios del departamento en métodos de mercadeo que propicien innovación en los aspectos comerciales de los productos del Quindío</t>
  </si>
  <si>
    <t>Crear  seis (6) centros logísticos  para la transformación agroindustrial - CARPAZ</t>
  </si>
  <si>
    <t>Capacitar seis (6) unidades agro empresariales de jóvenes y mujeres rurales</t>
  </si>
  <si>
    <t>Crear e implementar el Fondo de Financiamiento de Desarrollo Rural - FIDER</t>
  </si>
  <si>
    <t>Creacion e implementacion del Fondo de Finaanciamiento de Desarrollo Rural FIDER</t>
  </si>
  <si>
    <t>Reactivar un instrumento de prevención por eventos naturales para productos agrícolas.</t>
  </si>
  <si>
    <t>201663000-0175</t>
  </si>
  <si>
    <t>Implementacion de un instrumento para la Prevención de eventos naturales productos agricolas en e Departamento del Quindio</t>
  </si>
  <si>
    <t>Emprendimiento y empleo rural</t>
  </si>
  <si>
    <t xml:space="preserve">Igualar la tasa de desempleo del departamento al promedio nacional para el 2019      </t>
  </si>
  <si>
    <t>Apoyar la formalización de empresas en cuatro (4)  sectores productivos agropecuarios del Departamento</t>
  </si>
  <si>
    <t>201663000-0075</t>
  </si>
  <si>
    <t xml:space="preserve">Fomento al emprendimiento y  al empleo rural en el Departamento del Quindío  </t>
  </si>
  <si>
    <t xml:space="preserve">Equiparar el crecimiento del PIB del departamento  del Quindio al PIB Nacional .                                                                                                                                                                                                                                   </t>
  </si>
  <si>
    <t>Generar un apalancamiento a 100  iniciativas productivas rurales</t>
  </si>
  <si>
    <t xml:space="preserve">      Disminuir el Procentajes de personas en situción de pobreza         </t>
  </si>
  <si>
    <t xml:space="preserve">Capacitar mil doscientos (1200)  jóvenes y mujeres rurales en actividades agrícolas y no agrícolas </t>
  </si>
  <si>
    <t>Beneficiar a  dos mil cuatrocientas  (2400) mujeres rurales campesinas, personas en condición de vulnerabilidad y con enfoque diferencial en formación para el trabajo y el desarrollo humano</t>
  </si>
  <si>
    <t>Impulso a la competitividad productiva y empresarial del sector Rural</t>
  </si>
  <si>
    <t>Apoyar (5) cinco sectores productivos del Departamento en ruedas de negocio</t>
  </si>
  <si>
    <t>201663000-0078</t>
  </si>
  <si>
    <t>Fortalecimiento a la competitividad productiva y empresarial del sector rural en el Departamento del Quindio</t>
  </si>
  <si>
    <t>Realizar (3) tres eventos  de capacitación para acceder a mercados internacionales</t>
  </si>
  <si>
    <t>Diseñar e implementar (1) un instrumento de planificación e información rural para la comercialización de productos transables</t>
  </si>
  <si>
    <t>.</t>
  </si>
  <si>
    <t xml:space="preserve"> INCLUSION SOCIAL</t>
  </si>
  <si>
    <t>Soberanía, seguridad alimentaria y nutricional</t>
  </si>
  <si>
    <t>Fomento a la Agricultura Familiar Campesina, agricultura urbana y mercados campesinos para la soberanía y  Seguridad alimentaria</t>
  </si>
  <si>
    <t>Reducir la proporción de los alimentos importados (frutas y verduras) de otros departamentos</t>
  </si>
  <si>
    <t>Diseñar e implementar un (1) programa de agricultura familiar campesina</t>
  </si>
  <si>
    <t xml:space="preserve">8. Agropecuario </t>
  </si>
  <si>
    <t>201663000-0079</t>
  </si>
  <si>
    <t>Fomento a la agricultura familiar , urbana y  mercados campesinos para la soberanía y  Seguridad alimentaria en el Departamento del Quindio.</t>
  </si>
  <si>
    <t>Apoyar la conformación de cuatro (4) alianzas para contratos de compra anticipada de productos de la agricultura familiar en el departamento del Quindío</t>
  </si>
  <si>
    <t>Sembrar quinientas (500) Ha de productos de la canasta básica familiar para aumentar la disponibilidad de alimentos</t>
  </si>
  <si>
    <t>Mejorar el estado nutricional de 1795 niños menor de 5 años y de 1531 niños de 6 a 18 años  en riesgo de desnutrición en el departamento</t>
  </si>
  <si>
    <t>Beneficiar a 2400 familias urbanas y periurbanas con parcelas de agricultura familiar para autoconsumo y comercio de excedentes</t>
  </si>
  <si>
    <t>313 Oficina Privada</t>
  </si>
  <si>
    <t xml:space="preserve">Elevar el promedio de participación de la ciudadania en los procesos de elección  popular en el cuatrenio </t>
  </si>
  <si>
    <t xml:space="preserve">Realizar 40 eventos  de sensibilización en transparencia , participación, buen gobierno y valores éticos y morales  </t>
  </si>
  <si>
    <t xml:space="preserve">17. Fortalecimiento Institucional </t>
  </si>
  <si>
    <t>201663000-0082</t>
  </si>
  <si>
    <t>Desarrollar y fortalecer la cultura de la transparencia, participación, buen gobierno  y valores éticos y morales en el Departamento del Quindio</t>
  </si>
  <si>
    <t xml:space="preserve">Elevar el promedio de participación de la ciudadania en los procesos de lecció  popular en el cuatrenio </t>
  </si>
  <si>
    <t>Implementar una (1) sala de transparencia "Urna de Cristal" en el Departamento</t>
  </si>
  <si>
    <t>201663000-0083</t>
  </si>
  <si>
    <t>Implementacion de una (1) sala de transparencia "Urna de Cristal" en el Departamento del Quindio</t>
  </si>
  <si>
    <t xml:space="preserve">Desarrollar e implementar una (1) estrategía de comunicaciones </t>
  </si>
  <si>
    <t>201663000-0081</t>
  </si>
  <si>
    <t xml:space="preserve">Implementación de  la estrategia de comunicaciones para  la divulgación de  los programas, proyectos,  actividades y servicios del Departamento del Quindío </t>
  </si>
  <si>
    <t>314 Secretaría de Educación - 1404 Inversión</t>
  </si>
  <si>
    <t>Cobertura Educativa</t>
  </si>
  <si>
    <t>Acceso y Permanencia</t>
  </si>
  <si>
    <t>Aumentar la cobertura neta en la educación secundaria en el departamento del Quindio</t>
  </si>
  <si>
    <t>Implementar un (1) plan, programa y/o proyecto para el acceso de niños, niñas y jóvenes en las instituciones educativas</t>
  </si>
  <si>
    <t xml:space="preserve">1. Educación </t>
  </si>
  <si>
    <t>201663000-0084</t>
  </si>
  <si>
    <t xml:space="preserve"> Fortalecimiento de las estrategias para el acceso,  permanencia y seguridad  de los niños, niñas y jóvenes en el  sistema  educativo del Departamento del Quindio. </t>
  </si>
  <si>
    <t xml:space="preserve">Disminuir la proporción de niños que desertan en educación básica secundaria y media </t>
  </si>
  <si>
    <t xml:space="preserve">      8.06  EBS                                            5.77 EM </t>
  </si>
  <si>
    <t xml:space="preserve">     5  EBS                                                        4 EM</t>
  </si>
  <si>
    <t>Implementar el Programa de Alimentación Escolar (PAE) en el departamento del Quindío</t>
  </si>
  <si>
    <t>Declarar al Departamento  libre de analfabetismo</t>
  </si>
  <si>
    <t>Implementar el programa de transporte escolar en el departamento del Quindío</t>
  </si>
  <si>
    <t>Educación inclusiva con acceso y permanencia para poblaciones vulnerables - diferenciales</t>
  </si>
  <si>
    <t>Atender cuatro mil quinientos (4.500)  personas de la población adulta del departamento (jóvenes y adultos, madres cabeza de hogar)</t>
  </si>
  <si>
    <t>201663000-0086</t>
  </si>
  <si>
    <t>Implementación de estrategias de inclusión para garantizar la atención educativa a población vulnerable en el  Departamento del  Quindío.</t>
  </si>
  <si>
    <t>Diseñar e implementar una estrategia que permita disminuir la tasa de analfabetismo en los municipios del Departamento del Quindío</t>
  </si>
  <si>
    <t xml:space="preserve">                                            8.06   EBS                                5.77 EM </t>
  </si>
  <si>
    <t xml:space="preserve">                                    5 EBS                        4 EM</t>
  </si>
  <si>
    <t>Atender cuatrocientos noventa (490) personas de la población étnica (Afro descendientes e indígenas)  en el sistema educativo en los diferentes niveles.</t>
  </si>
  <si>
    <t xml:space="preserve">Aumentar la cobertura de adultos mayores atendidos </t>
  </si>
  <si>
    <t xml:space="preserve">Atender dos mil quinientos setenta estudiantes (2570) en condición de población  victima del conflicto, residentes en el departamento del Quindío </t>
  </si>
  <si>
    <t>Atender  cuatrocientos cincuenta y cinco (455)  menores y/o adultos  que se encuentran en riesgo social    en conflicto con la ley penal,  iletrados, habitantes de frontera y/o menores  trabajadores.</t>
  </si>
  <si>
    <t>Diseñar e implementar un plan para la caracterización y atención de la población en condiciones especiales y excepcionales del departamento</t>
  </si>
  <si>
    <t xml:space="preserve">14                                        15                                19 </t>
  </si>
  <si>
    <t xml:space="preserve">Declarar al Departamento  libre de analfabetismo                                                                                                                                                                                                                                                                                                                                                     Aumentar la cobertura neta en la educación secundaria en el departamento del Quindio.                                                                                                                                                                                                                                                        Disminuir la proporción de niños que desertan en educación básica secundaria y media.                                                                                                      </t>
  </si>
  <si>
    <t xml:space="preserve">6.20                                               73.23                                                       8.06 EBS                                          5.77 EM         </t>
  </si>
  <si>
    <t xml:space="preserve">3                                                                                             78                                                                    5 EBS                                                                            4 EM </t>
  </si>
  <si>
    <t>Sostener dos mil doscientos treinta y dos (2.232) docentes, directivos docentes y administrativos viabilizados por el ministerio de educación nacional vinculados a la secretaria de educación departamental</t>
  </si>
  <si>
    <t>201663000-0087</t>
  </si>
  <si>
    <t>Aplicación funcionamiento y prestación del servicio educativo de las instituciones educativas</t>
  </si>
  <si>
    <t>Calidad Educativa</t>
  </si>
  <si>
    <t>Calidad Educativa para la Paz</t>
  </si>
  <si>
    <t xml:space="preserve">Mejorar el  índice sintético de calidad educativa (ISCE) en el nivel de básica primaria,  por encima del promedio nacional, en treinta  y seis  (36)  Instituciones Educativas oficiales </t>
  </si>
  <si>
    <t>201663000-0089</t>
  </si>
  <si>
    <t xml:space="preserve">
Implementación de  estrategias para el mejoramiento continuo del indice sintetico de calidad educativa en los niveles de básica primaria, básica secundaria y nivel de media en el Departamento del Quindio 
</t>
  </si>
  <si>
    <t>Capacitar a mil doscientos (1.200) docentes en estrategias para el mejoramiento del ISCE en el Departamento del Quindío</t>
  </si>
  <si>
    <t xml:space="preserve"> Duplicar el número de instituciones educativas oficiales del departamento con el índice sintetico de calidad educativa (ISCE) en el nivel de básica primaria, secundaria y media por encima del promedio nacional</t>
  </si>
  <si>
    <t>Beneficiar a ochenta (80) docentes  con becas de posgrado</t>
  </si>
  <si>
    <t xml:space="preserve">Apoyar quince (15) instituciones educativas participando en el programa todo a aprender </t>
  </si>
  <si>
    <t xml:space="preserve">Disminuir las Instituciones de Educación que fueron calificadas en el nivel C por resultados obtenidos en pruebas saber 11 </t>
  </si>
  <si>
    <t>Brindar acompañamiento a doscientos treinta (230) docentes con  tutores PTA</t>
  </si>
  <si>
    <t>Beneficiar a 4.700  estudiantes con el  Programas Todos  a Aprender</t>
  </si>
  <si>
    <t xml:space="preserve">Mejorar el  índice sintético de calidad educativa (ISCE) en el nivel de básica secundaria,  por encima del promedio nacional, en cuarenta  y un  (41)  Instituciones Educativas oficiales </t>
  </si>
  <si>
    <t xml:space="preserve">Mejorar el  índice sintético de calidad educativa (ISCE) en el nivel de media,  por encima del promedio nacional, en cuarenta  (40)  Instituciones Educativas oficiales </t>
  </si>
  <si>
    <t>Educación, Ambientes Escolares y Cultura para la Paz</t>
  </si>
  <si>
    <t xml:space="preserve">Fortalecer cincuenta y cuatro (54) comités de convivencia escolar de las instituciones educativas </t>
  </si>
  <si>
    <t>201663000-0090</t>
  </si>
  <si>
    <t>Mejoramiento de ambientes escolares y  fortalecimiento de modelos educativos articuladores de la ciencia, los lenguajes, las artes y el deporte en el Departamento del Quindio</t>
  </si>
  <si>
    <t>Diseñar y ejecutar treinta (30)  proyectos educativos institucionales resignificados en el contexto de la paz y la jornada única</t>
  </si>
  <si>
    <t xml:space="preserve">Diseñar e implementar la estrategia "escuela de padres" en treinta (30) instituciones educativas  </t>
  </si>
  <si>
    <t>Conformar y dotar   grupos culturales y artísticos en treinta (30)  instituciones educativas con  protagonismo en cada uno de los municipios</t>
  </si>
  <si>
    <t>Implementar el proyecto PRAE en treinta y seis (36)  instituciones educativas del departamento</t>
  </si>
  <si>
    <t xml:space="preserve">        8.06   EBS                                5.77 EM </t>
  </si>
  <si>
    <t xml:space="preserve">     5 EBS                                                                       4 EM</t>
  </si>
  <si>
    <t>Realizar ocho (8) eventos académicos, investigativos y culturales</t>
  </si>
  <si>
    <t xml:space="preserve">Implementar el  programa de  jornada única con el acceso y permanencia de veinte mil (20.000) estudiantes </t>
  </si>
  <si>
    <t xml:space="preserve">Mantener, adecuar y/o construir la infraestructura ciento treinta (130) sedes de las instituciones educativas  </t>
  </si>
  <si>
    <t xml:space="preserve">Dotar cincuenta y cuatro (54) instituciones educativas con material didáctico, mobiliario escolar y/o infraestructura tecnológica  </t>
  </si>
  <si>
    <t xml:space="preserve">Implementar la jornada complementaria y/o única que articule arte, deporte y cultura, en seis municipios declarados en el Sistema de Alertas Tempranas de la Defensoria del Pueblo </t>
  </si>
  <si>
    <t>Plan Departamental del Lectura y Escritura</t>
  </si>
  <si>
    <t xml:space="preserve">Implementar el programa "pásate a la biblioteca"  en treinta y seis (36)  instituciones educativas </t>
  </si>
  <si>
    <t>201663000-0091</t>
  </si>
  <si>
    <t>Implementación de  estrategias educativas en  lectura y escritura en las instituciones educativas en el Departamento del Quindío.</t>
  </si>
  <si>
    <t xml:space="preserve">Dotar ciento cuarenta (140) sedes educativas con la colección semilla </t>
  </si>
  <si>
    <t xml:space="preserve">   8.06   EBS                                5.77 EM </t>
  </si>
  <si>
    <t xml:space="preserve">       5   EBS                                                          4 EM</t>
  </si>
  <si>
    <t>Apoyar los  procesos de capacitación  de quinientos (500) docentes del departamento</t>
  </si>
  <si>
    <t xml:space="preserve">Realizar seis (6)  festivales o encuentros de literatura y escritura el departamento </t>
  </si>
  <si>
    <t>Funcionamiento de las Instituciones Educativas</t>
  </si>
  <si>
    <t xml:space="preserve">6.20                        73.23                                   8.06 EBS                  5.77 EM         </t>
  </si>
  <si>
    <t xml:space="preserve">3                                      78                              5 EBS                                       4 EM </t>
  </si>
  <si>
    <t xml:space="preserve">Contar con cincuenta y dos (52) instituciones educativas con  mayor eficiencia en la gestión de sus procesos y proyectos  ante la entidad  territorial y la Secretaria de Educación Departamental.
</t>
  </si>
  <si>
    <t>201663000-0093</t>
  </si>
  <si>
    <t>Mejoramiento de estrategias que permitan una mayor eficiencia en la gestion de procesos y proyectos de las instituciones educativas del Departamento del Quindio.</t>
  </si>
  <si>
    <t>Pertinencia e Innovación</t>
  </si>
  <si>
    <t>Quindío Bilingüe</t>
  </si>
  <si>
    <t>Apoyar cincuenta y cinco (55) docentes licenciados en lenguas modernas formados en ingles con  dominio B2</t>
  </si>
  <si>
    <t>201663000-0094</t>
  </si>
  <si>
    <t>Implementación de estrategias para el mejoramiento de las competencias en lengua extranjera en estudiantes y docentes de las instituciones educativas del Departamento del Quindío</t>
  </si>
  <si>
    <t xml:space="preserve"> Duplicar el número de instituciones educativas oficiales del departamento con el índice sintetico de calidad educativa (ISCE) en el nivel de básica primaria, secundaria y media por encima del promedio nacional.         </t>
  </si>
  <si>
    <t>Cualificar la formación de ciento cincuenta (150) docentes de preescolar y básica primaria en inglés con dominio A2 y B1 y metodología para la enseñanza</t>
  </si>
  <si>
    <t>Iniciar el proceso de bilinguismo  en niños  entre pre-escolar - quinto grado de primaria de colegios públicos en seis (6) municipios</t>
  </si>
  <si>
    <t>Dotar cincuenta y cuatro (54) instituciones educativas con herramientas audiovisuales para la enseñanza del ingles</t>
  </si>
  <si>
    <t>Realizar siete (7)  concursos  para evaluar las competencias comunicativas en ingles de los estudiantes</t>
  </si>
  <si>
    <t>Fortalecimiento de la Media Técnica</t>
  </si>
  <si>
    <t>Desarrollar doce (12) talleres para docentes en el uso de las TICs</t>
  </si>
  <si>
    <t>201663000-0095</t>
  </si>
  <si>
    <t xml:space="preserve">Fortalecimiento de los niveles de educación  básica y media para la articulación con la educación terciaria en el Departamento del Quindio </t>
  </si>
  <si>
    <t xml:space="preserve">Disminuir las Instituciones de Educación que fueron calificadas en el nivel C por resultados obtenidos en pruebas saber 11 .    </t>
  </si>
  <si>
    <t>Fortalecer cincuenta (50)   instituciones educativas en competencias básicas</t>
  </si>
  <si>
    <t xml:space="preserve"> Duplicar los programas en la educación superior acreditados en alta calidad.   </t>
  </si>
  <si>
    <t>Fortalecer cuarenta y siete (47) instituciones educativas con el programa de articulación con la educación superior y ETDH</t>
  </si>
  <si>
    <t xml:space="preserve">Disminuir la proporción de estudiantes que desertan en educación superior  </t>
  </si>
  <si>
    <t>8.8                                                                    DE CADA 100</t>
  </si>
  <si>
    <t>7                                                                   DE CADA 100</t>
  </si>
  <si>
    <t xml:space="preserve">Implementar un Programa de Alimentación Escolar Universitario PAEU para estudiantes universitarios </t>
  </si>
  <si>
    <t>Implementar el programa de acceso y permanencia de la educación técnica, tecnologica y superior en el departamento del Quindío</t>
  </si>
  <si>
    <t>Eficiencia educativa</t>
  </si>
  <si>
    <t>Eficiencia y modernización administrativa</t>
  </si>
  <si>
    <t>Fortalecer, hacer seguimiento y auditar cuatro (4)  procesos certificados con que cuenta la Secretaria de Educación Departamental</t>
  </si>
  <si>
    <t>201663000-0096</t>
  </si>
  <si>
    <t xml:space="preserve">Fortalecimiento de los niveles de eficiencia administrativa en la Secretaría de Educación Departamental del Quindío </t>
  </si>
  <si>
    <t>Crear e implementar  en cincuenta y dos (52) instituciones educativas procesos presupuestales y financieros integrados</t>
  </si>
  <si>
    <t>Otros proyectos de conectividad</t>
  </si>
  <si>
    <t>15           16                 17</t>
  </si>
  <si>
    <t xml:space="preserve">Aumentar la cobertura neta en educacion secundaria en el Departamento del Quindio                                                                                                                                                                                                                                                      Duplicar el número de instituciones educativas oficiales del departamento con el índice sintetico de calidad educativa (ISCE) en el nivel de básica primaria, secundaria y media por encima del promedio nacional.                                                                                                                                                    Disminuir las Instituciones de Educación que fueron calificadas en el nivel C por resultados obtenidos en pruebas saber 11 .  </t>
  </si>
  <si>
    <t>73.23%                                                                 45                                                              63.27%</t>
  </si>
  <si>
    <t>78%                                                                  90                                                            50%</t>
  </si>
  <si>
    <t>Implementar y/o mejorar el sistema de conectividad en 200 sedes educativas oficiales en el departamento.</t>
  </si>
  <si>
    <t>201663000-0097</t>
  </si>
  <si>
    <t xml:space="preserve">Fortalecimiento de las herramientas tecnológicas en las Instituciones Educativas del Departamento del Quindío </t>
  </si>
  <si>
    <t>Realizar el pago oportuno al 100% de los funcionarios de la planta de  administrativos, docentes y directivos docentes del sector central</t>
  </si>
  <si>
    <t>201663000-0098</t>
  </si>
  <si>
    <t>Funcionamiento y Prestación de Servicios del Sector Educativo del nivel Central  en el Departamento del Quindio</t>
  </si>
  <si>
    <t>Eficiencia administrativa y docente en la  gestión del bienestar laboral</t>
  </si>
  <si>
    <t>Realizar el reconocimiento a sesenta (60) docentes, directivos docentes y/o personal administrativo</t>
  </si>
  <si>
    <t>201663000-0100</t>
  </si>
  <si>
    <t>Mejoramiento  de la gestión admnistrativa y docente para la eficiencia del bienestar laboral   del Departamento del Quindio</t>
  </si>
  <si>
    <t>Realizar (ocho) 8 eventos y actividades culturales y recreativas, desarrolladas para los funcionarios del servicio educativo del departamento del Quindío</t>
  </si>
  <si>
    <t>Atención Integral a la Primera Infancia</t>
  </si>
  <si>
    <t xml:space="preserve">Educación Inicial Integral </t>
  </si>
  <si>
    <t>24                                                 25                                                 29                                    30                                         33</t>
  </si>
  <si>
    <t>Disminuir o mantener la proporción de niños menores de 5 años en riesgo de desnutrición moderada o severa aguda.                                                                                                                                                                                        Reducir la mortalidad de niños menores de 5 años por ERA.                                                                                                                                                                                                                                                                                                                Disminuir o mantener mortalidad en menores de 1 año.                                                                                                                                                                                                                                                                                                                                                                    Disminuir o mantener la mortalidad en menores de 5 años.                                                                                                                                                                                                                                                                                                                     Sostener la tasa de mortalidad materna por causas directas</t>
  </si>
  <si>
    <t xml:space="preserve">2.1/100                    13/100.000                                    8.8/1000                 11.34/1000                 0                      </t>
  </si>
  <si>
    <t xml:space="preserve"> 2.1/100                                         10/100.000                           8.8/1000                               11.34/1000                                 0</t>
  </si>
  <si>
    <t>Implementar  un (1)  programa de educación integral  a la primera infancia</t>
  </si>
  <si>
    <t>201663000-0101</t>
  </si>
  <si>
    <t xml:space="preserve">Implementación del modelo de atención integral de la educación inicial en el Departamento del  Quindio. </t>
  </si>
  <si>
    <t>316 Secretaría de Familia</t>
  </si>
  <si>
    <t>Niños y Niñas en entornos Protectores-semillas infantiles-</t>
  </si>
  <si>
    <t>Implementar  un modelo intersectorial  de atención  integral  y entornos protectores (hogar,  educativo, salud, espacio público e institucionales)   implementado.</t>
  </si>
  <si>
    <t xml:space="preserve">14. Atención a grupos vulnerables - Promoción Social </t>
  </si>
  <si>
    <t>201663000-0102</t>
  </si>
  <si>
    <t>Implementación de un modelo de atención integral a niños y niñas en entornos protectores en el Departamento del Quindìo</t>
  </si>
  <si>
    <t>Apoyar la creación y/o implementación de Rutas integrales de Atención a la primera infancia.</t>
  </si>
  <si>
    <t>Promoción y  Protección  de la Familia</t>
  </si>
  <si>
    <t xml:space="preserve">Familias para la Construcción  del Quindío como  territorio de paz. </t>
  </si>
  <si>
    <t>174.7/100.000</t>
  </si>
  <si>
    <t>150/100.000</t>
  </si>
  <si>
    <t xml:space="preserve">Formular  e implementar  la política pública departamental de familias para la construcción  del Quindío como  territorio de paz. </t>
  </si>
  <si>
    <t>201663000-0103</t>
  </si>
  <si>
    <t>Formulación e implementación de  la politica pública  de la familia en el departamento del Quindio</t>
  </si>
  <si>
    <t xml:space="preserve">Quindío departamento de derechos  de niñas, niños y adolescentes </t>
  </si>
  <si>
    <t>22                31          32</t>
  </si>
  <si>
    <t>Disminuir incidencia de violencia intrafamiliar.                                                                                                                                                                                                                                                                                                                                               Disminuir la incidencia de embarazo en adolescentes                                                                                                                                                                                                                                                                                                                                                 Reducir la proporción de jóvenes en el sistema de responsabilidad penal con riesgo alto de reiincidencia en las conductas delicitivas</t>
  </si>
  <si>
    <t>174,7 x 100 mil habitantes.      24.90.                        6 de cada 10</t>
  </si>
  <si>
    <t>150 x 1000 habitantes.    20%     5 de cada 10</t>
  </si>
  <si>
    <t>Implementar la política pública de primera infancia, infancia y adolescencia</t>
  </si>
  <si>
    <t>201663000-0109</t>
  </si>
  <si>
    <t>Implementación de la  política de primera infancia, infancia y adolescencia en el Departamento del Quindio</t>
  </si>
  <si>
    <t>Implementar  una estrategia de prevención y atención de embarazos y segundos embarazos a temprana edad.</t>
  </si>
  <si>
    <t xml:space="preserve">Implementar una  estrategia  de prevención y atención de la erradicación del abuso, explotación sexual comercial, trabajo infantil y peores formas de trabajo, y actividades delictivas. </t>
  </si>
  <si>
    <t xml:space="preserve"> "Sí para ti" atención integral a adolescentes y jóvenes </t>
  </si>
  <si>
    <t>Disminuir incidencia de violencia intrafamiliar</t>
  </si>
  <si>
    <t>174,7 x 100 mil habitantes</t>
  </si>
  <si>
    <t>150 x 1000 habitantes</t>
  </si>
  <si>
    <t>Revisar, ajustar e implementar la política pública de juventud del departamento</t>
  </si>
  <si>
    <t>201663000-0110</t>
  </si>
  <si>
    <t>Desarrollo de acciones encaminadas a la atención integral  de los adolescentes y jóvenes del Departamento del Quindio</t>
  </si>
  <si>
    <t xml:space="preserve"> Disminuir la incidencia de embarazo en adolescentes</t>
  </si>
  <si>
    <t>Implementar  dos (2) estrategias de prevención para adolescentes y jóvenes en riesgo social y/o vinculados a la Ley de responsabilidad  penal</t>
  </si>
  <si>
    <t>6 de cada 10</t>
  </si>
  <si>
    <t xml:space="preserve">5 de cada 10 </t>
  </si>
  <si>
    <t>Desarrollar e implementar una estrategia de prevención del consumo de sustancias psico activas  (SPA)  dirigida a adolescentes y jóvenes del departamento.</t>
  </si>
  <si>
    <t xml:space="preserve">Capacidad sin limites. </t>
  </si>
  <si>
    <t xml:space="preserve"> Aumentar el % de personas discapacitadas atendidas</t>
  </si>
  <si>
    <t>Revisar, ajustar  e implementar   la política pública departamental de discapacidad  "Capacidad sin limites",</t>
  </si>
  <si>
    <t>201663000-0114</t>
  </si>
  <si>
    <t>Actualización e implementación  de   la política pública departamental de discapacidad  "Capacidad sin limites" en el Quindio.</t>
  </si>
  <si>
    <t>Genero, Poblaciones vulnerables y con enfoque diferencial</t>
  </si>
  <si>
    <t>Prevención y Atención a la población en estado de vulnerabilidad  extrema y migrantes.</t>
  </si>
  <si>
    <t>Diseñar e implementar una estrategia  para la atención de la población en situación de vulnerabilidad extrema del departamento. (habitantes de calle, trabajo sexual,    reincidencia delictiva, drogadicción, bandas delincuenciales, entre otras)</t>
  </si>
  <si>
    <t>201663000-0117</t>
  </si>
  <si>
    <t xml:space="preserve">Diseño e implementación  de una estrategia para la atención de la  población  en vulnerabiliada extrema  en el Departamento del Quindio  </t>
  </si>
  <si>
    <t>implementar  un  programa  departamental para la atención y acompañamiento a la población migrante  y de repatriación .</t>
  </si>
  <si>
    <t>201663000-0118</t>
  </si>
  <si>
    <t>Implementación del programa  para la atención y acompañamiento  del ciudadano migrante  y de repatración en el Departamento del Quindio.</t>
  </si>
  <si>
    <t xml:space="preserve">Pervivencia de los pueblos indígenas en el marco de la Paz </t>
  </si>
  <si>
    <t>Apoyar el plan de vida para el resguardo indígena Dachi Agore Drua del municipio de Calarcá</t>
  </si>
  <si>
    <t>201663000-0121</t>
  </si>
  <si>
    <t>Fortalecimiento resguardo  indígena DACHI AGORE DRUA del municipio de Calarcá del Departamento del Quindío.</t>
  </si>
  <si>
    <t>Apoyar   y fortalecer  la elaboración y puesta en marcha  de  planes de vida de los pueblos indígenas asentados en el Departamento del Quindío.</t>
  </si>
  <si>
    <t>201663000-0122</t>
  </si>
  <si>
    <t xml:space="preserve">Apoyo  a la elaboración y puesta marcha de Planes de Vida  de los cabildos indigenas en el departamento del Quindio  </t>
  </si>
  <si>
    <t xml:space="preserve">Población afro descendiente por el camino de la paz </t>
  </si>
  <si>
    <t xml:space="preserve">Elevar el promedio de la participación de la ciudadanía en los procesos de elección popular en el cuatrienio </t>
  </si>
  <si>
    <t>54,61%</t>
  </si>
  <si>
    <t xml:space="preserve">Implementar  un programa  articulado interinstitucional para la atención integral con enfoque diferencial  a la población afro descendiente del Departamento del Quindío en sus diferentes formas organizativas </t>
  </si>
  <si>
    <t>201663000-0124</t>
  </si>
  <si>
    <t xml:space="preserve">Implementación de un  programa de atención integral a la población  afrodescendiente en el Departamento del Quindio </t>
  </si>
  <si>
    <t>Sí a la diversidad sexual e identidad de género y su familia.</t>
  </si>
  <si>
    <t>21   22</t>
  </si>
  <si>
    <t>30.7%                                          174,7/1000</t>
  </si>
  <si>
    <t>27%                            150/1000</t>
  </si>
  <si>
    <t>Formular  la política pública departamental de diversidad sexual e identidad de género</t>
  </si>
  <si>
    <t>201663000-0125</t>
  </si>
  <si>
    <t>Fomulación e implementación de la politca pública  de diversidad sexual en el Departamento del Quindio</t>
  </si>
  <si>
    <t>Mujeres constructoras de Familia y de paz.</t>
  </si>
  <si>
    <t>30.7%</t>
  </si>
  <si>
    <t>Revisar, ajustar  e  implementar  la política publica de equidad de género para la  mujer del departamento</t>
  </si>
  <si>
    <t>201663000-0128</t>
  </si>
  <si>
    <t>Implementación de la polìtica pùblica de equidad de género para la mujer en el Departamento del Quindìo</t>
  </si>
  <si>
    <t>Atención integral al Adulto Mayor</t>
  </si>
  <si>
    <t xml:space="preserve">Quindío para todas las edades </t>
  </si>
  <si>
    <t>Aumentar la cobertura de adultos mayores atendidos</t>
  </si>
  <si>
    <t>23 mil adultos mayores atendidos</t>
  </si>
  <si>
    <t>24 mil adultos mayores atendidos</t>
  </si>
  <si>
    <t>Revisar, ajustar  e implementar  la política pública departamental "Un Quindío para todas las edades 2010-2020"</t>
  </si>
  <si>
    <t>201663000-0129</t>
  </si>
  <si>
    <t xml:space="preserve">Apoyo y bienestar integral a las personas mayores del Departamento del Quindio </t>
  </si>
  <si>
    <t>Crear el cabildo de adulto mayor del Departamento y apoyar la creación en once municipios del Quindío</t>
  </si>
  <si>
    <t xml:space="preserve">Apoyar 12 centros de bienestar del departamento </t>
  </si>
  <si>
    <t xml:space="preserve">Apoyar 14 centros vida del departamento </t>
  </si>
  <si>
    <t>317 Secretaría de Representación Judicial</t>
  </si>
  <si>
    <t xml:space="preserve"> Elevar el promedio de la participación de la ciudadanía en los procesos de elección popular en el cuatrienio </t>
  </si>
  <si>
    <t>Establecer y socializar veinte (20)  políticas desde la cultura de la legalidad y  la prevención de daño antijurídico en los municipios del departamento</t>
  </si>
  <si>
    <t>201663000-0131</t>
  </si>
  <si>
    <t>Formulación adopción e implementación de políticas de prevención del daño antijurídico en el Departamento del Quindío</t>
  </si>
  <si>
    <t>318 Secretaría de Salud - 1801- Régimen Subsidiado - 1802 Prestación de Servicios -1803 Salud Pública - 1804 Otros Gastos en Salud</t>
  </si>
  <si>
    <t xml:space="preserve">Fortalecimiento a la vigilancia en  la seguridad alimentaria y nutricional del Quindío. </t>
  </si>
  <si>
    <t>Implementar una estrategia que determine de forma oportuna el  número de brotes de enfermedades transmitidas por alimentos (ETA) con agente etiológico identificado en alimentos de mayor consumo.</t>
  </si>
  <si>
    <t xml:space="preserve">2. Salud </t>
  </si>
  <si>
    <t>201663000-0132</t>
  </si>
  <si>
    <t>Aprovechamiento biológico y consumo de  alimentos idóneos  en el Departamento del Quindio</t>
  </si>
  <si>
    <t xml:space="preserve"> Disminuir o mantener la proporción de niños menores de 5 años en riesgo de desnutrición moderada o severa aguda</t>
  </si>
  <si>
    <t>2,1 de cada 100</t>
  </si>
  <si>
    <t xml:space="preserve">Ejecutar el plan decenal de lactancia materna </t>
  </si>
  <si>
    <t>Fortalecer la atención integral  en seis (6) poblaciones vulnerables (etnias)  en menores de cinco años con casos de desnutrición</t>
  </si>
  <si>
    <t>Salud Pública para un Quindío saludable y posible</t>
  </si>
  <si>
    <t>Salud ambiental</t>
  </si>
  <si>
    <t>Formular, aprobar y divulgar  la Política Integral de Salud Ambiental (PISA)</t>
  </si>
  <si>
    <t>201663000-0133</t>
  </si>
  <si>
    <t>Control Salud Ambiental Departamento del Quindío.</t>
  </si>
  <si>
    <t xml:space="preserve">Generar los mapas de riesgo y vigilancia de la calidad de agua para consumo humano en  los doce (12) municipios del departamento </t>
  </si>
  <si>
    <t>Sexualidad, derechos sexuales y reproductivos</t>
  </si>
  <si>
    <t xml:space="preserve"> Disminuir incidencia de violencia intrafamiliar</t>
  </si>
  <si>
    <t>150 x 100 mil  habitantes</t>
  </si>
  <si>
    <t>Lograr que ocho (8) municipios del departamento operen el sistema de vigilancia en salud pública de la violencia intrafamiliar.</t>
  </si>
  <si>
    <t>201663000-0134</t>
  </si>
  <si>
    <t>Fortalecimiento de acciones de intervención inherentes a los derechos sexuales y reproductivos  en el Departamento del Quindio.</t>
  </si>
  <si>
    <t>Desarrollar acciones articuladas intersectorialmente en los doce (12) municipios del departamento, con enfoque de derechos en colectivos LGTBI, jóvenes, mujeres gestantes adolescentes.</t>
  </si>
  <si>
    <t>Sostener la tasa de Mortalidad Materna por causas directas.</t>
  </si>
  <si>
    <t>Vincular cuatro mil ochocientos (4.800) mujeres gestantes al programa de control prenatal antes de la semana 12 de edad gestacional.</t>
  </si>
  <si>
    <t>Canalizar acciones de promoción de la salud en el desarrollo de la política Nacional de sexualidad, derechos sexuales y reproductivos</t>
  </si>
  <si>
    <t>Convivencia social y salud mental</t>
  </si>
  <si>
    <t>Ajustar e implementar  la política de salud mental en los 12 municipios del Departamento, conforme a los lineamientos y desarrollos técnicos definidos por el Ministerio de Salud y Protección Social.</t>
  </si>
  <si>
    <t>201663000-0135</t>
  </si>
  <si>
    <t>Fortalecimiento, promoción de la salud y prevención primaria en salud mental en el Departamento del Quindío.</t>
  </si>
  <si>
    <t>Adoptar  e implementar en los doce (12) municipios el plan departamental de la reducción del consumo de sustancias psicoactivas SPA conforme a lineamientos y desarrollos técnicos entorno a la demanda.</t>
  </si>
  <si>
    <t>Estilos de vida saludable y condiciones no-transmisibles</t>
  </si>
  <si>
    <t>Aumentar la utilización de escenarios deportivos como coliseos y canchas de fútbol</t>
  </si>
  <si>
    <t>Implementar la estrategia  denominada "Cuatro por cuatro" para la promoción de la alimentación saludable</t>
  </si>
  <si>
    <t>201663000-0138</t>
  </si>
  <si>
    <t xml:space="preserve">Control y vigilancia en las acciones de condiciones no transmisibles y promoción de estilos de vida saludable en el Quindio  </t>
  </si>
  <si>
    <t>PTS</t>
  </si>
  <si>
    <t>Implementar una estrategia de ambiente libres de humo de tabaco en los municipios del Quindío</t>
  </si>
  <si>
    <t>Implementar una estrategia de ambientes libres de humo de tabaco en los  municipios.</t>
  </si>
  <si>
    <t>Implementar una estrategia para mantener la edad de inicio de consumo de tabaco en los adolescentes escolarizados.</t>
  </si>
  <si>
    <t>Vida saludable y enfermedades transmisibles</t>
  </si>
  <si>
    <t>Incidencia de  afectados  por Enfermedad Diarreica Aguda –EDA-</t>
  </si>
  <si>
    <t>76, 1 x 1000 habitantes</t>
  </si>
  <si>
    <t>60 X 1000 habitantes</t>
  </si>
  <si>
    <t xml:space="preserve">Diseñar y desarrollar planes y/o programas en los doce (12) entes territoriales municipales de promoción y prevención de las enfermedades transmitidas por agua, suelo y alimentos </t>
  </si>
  <si>
    <t>201663000-0139</t>
  </si>
  <si>
    <t>Fortalecimiento de las acciones de la prevención y protección en la población infantil en el Departamento del Quindío</t>
  </si>
  <si>
    <t>Disminuir o mantener mortalidad en menores de 5 años</t>
  </si>
  <si>
    <t>11,34*1000</t>
  </si>
  <si>
    <t>Implementar una estrategia que permita garantizar el adecuado funcionamiento de la red de frío para el almacenamiento  de los biológicos del Programa ampliado de inmunización (PAI).</t>
  </si>
  <si>
    <t>Disminuir por debajo del 10% la Letalidad por dengue.</t>
  </si>
  <si>
    <t>&lt;10</t>
  </si>
  <si>
    <t>Implementar  la estrategia de gestión integral-enfermedades de transmisión vectorial (EGI ETV) en los 5 municipios hiperendémicos para enfermedades de transmisión vectorial</t>
  </si>
  <si>
    <t>201663000-0141</t>
  </si>
  <si>
    <t xml:space="preserve">Fortalecimiento de estrategia de gestión integral, vectores, cambio climático y zoonosis en el Departamento  del Quindio </t>
  </si>
  <si>
    <t>Alcanzar coberturas útiles de vacunación para rabia en animales (perros y gatos)</t>
  </si>
  <si>
    <t>60.1%</t>
  </si>
  <si>
    <t xml:space="preserve">Implementar la estrategia  para ampliar coberturas útiles de vacunación antirrábica en animales (perros y gatos). </t>
  </si>
  <si>
    <t>Incrementar  la proporción de personas curadas de tuberculosis pulmonar en un 5 %</t>
  </si>
  <si>
    <t>Implementar el plan estratégico hacia el fin de la tuberculosis</t>
  </si>
  <si>
    <t>201663000-0142</t>
  </si>
  <si>
    <t xml:space="preserve">Fortalecimiento de la inclusión social para la disminución de riesgos de contraer enfermedades transmisibles  en el Departamento del Quindio </t>
  </si>
  <si>
    <t>Salud publica en emergencias y desastres</t>
  </si>
  <si>
    <t>Realizar catorce (14) simulacros de atención a emergencias en la Red Pública Hospitalaria</t>
  </si>
  <si>
    <t>201663000-0143</t>
  </si>
  <si>
    <t>Prevención en emergencias y desastres de eventos relacionados con la salud pública en el Departamento del  Quindio</t>
  </si>
  <si>
    <t>Mejorar el índice de seguridad hospitalaria en once (11) empresas sociales del estado (ESE) del departamento del nivel  I y II.</t>
  </si>
  <si>
    <t>Salud en el entorno laboral</t>
  </si>
  <si>
    <t>Mantener la tasa de accidentalidad en el trabajo</t>
  </si>
  <si>
    <t>1.5</t>
  </si>
  <si>
    <t>1.7</t>
  </si>
  <si>
    <t>Fomentar en 8 municipios un programa de cultura preventiva en el trabajo formal e informal y entornos laborales saludables.</t>
  </si>
  <si>
    <t>201663000-0145</t>
  </si>
  <si>
    <t xml:space="preserve"> Incrementar el % IPS con seguimiento por parte del departamento</t>
  </si>
  <si>
    <t>Implementación en las 14 empresas sociales del estado (ESE) departamentales y de primer nivel, el Sistema de Gestión de la Seguridad y Salud en el Trabajo</t>
  </si>
  <si>
    <t>Fortalecimiento de la autoridad sanitaria</t>
  </si>
  <si>
    <t>Consolidación y desarrollo del sistema de vigilancia en salud públicaintegrado al sistema de vigilancia de control sanitario e inspección vigilancia y control de S.G.S.S.S.</t>
  </si>
  <si>
    <t>Consolidar y desarrollar en los 12 municipios del departamento el Sistema de Vigilancia en salud pública (SVSP), integrado al sistema de vigilancia y control sanitario e inspección vigilancia y control de (S.G.S.S.S).</t>
  </si>
  <si>
    <t>201663000-0146</t>
  </si>
  <si>
    <t xml:space="preserve">Fortalecimiento de la autoridad sanitaria en el Departamento del Quindio </t>
  </si>
  <si>
    <t>Implementar  una estrategia oportuna de atención a sujetos de atención,  objetos de procesos de  inspección, vigilancia y control sanitario</t>
  </si>
  <si>
    <t>Promoción social y gestión diferencial de poblaciones vulnerables.</t>
  </si>
  <si>
    <t xml:space="preserve">Implementar  5  programas de participación social en salud, orientados a promover los derechos de las poblaciones vulnerables y diferenciales, acorde a las políticas públicas </t>
  </si>
  <si>
    <t>201663000-0148</t>
  </si>
  <si>
    <t>Implementación de programas de promoción social en poblaciones  especiales en el Departamento del Quindío.</t>
  </si>
  <si>
    <t>Implementar el  Programa de atención psicosocial y salud integral a víctimas del conflicto armado.</t>
  </si>
  <si>
    <t>24            25            26        29          30</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</si>
  <si>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t>
  </si>
  <si>
    <t>2,1 de cada 100              13 x 100 mil habitantes            76, 1 x 1000 habitantes                8,8 x 1000 nacidos             11,34 x 1000</t>
  </si>
  <si>
    <t>2,1 de cada 100     10 x 100 mil habitantes          60 X 1000 habitantes            8,8 x 1000 nacidos                11,34 x 1000</t>
  </si>
  <si>
    <t>Fortalecimiento de  la estrategia AIEPI en los 12 municipios del Departamento</t>
  </si>
  <si>
    <t>Fortalecer en los doce (12) municipios del departamento los  comités municipales de discapacidad</t>
  </si>
  <si>
    <t>Plan de intervenciones colectivas en el modelo de APS</t>
  </si>
  <si>
    <t>24            25            26        29                      30                  28</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</si>
  <si>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Incrementar el % IPS con seguimiento por parte del departamento</t>
  </si>
  <si>
    <t>2,1 de cada 100              13 x 100 mil habitantes            76, 1 x 1000 habitantes                8,8 x 1000 nacidos             11,34 x 1000                     50%</t>
  </si>
  <si>
    <t>2,1 de cada 100     10 x 100 mil habitantes                                60 X 1000 habitantes            8,8 x 1000 nacidos                        11,34 x 1000         100%</t>
  </si>
  <si>
    <t>Evaluar en  once (11)   empresas sociales del estado (ESE)  Municipales la implementación del Plan de intervenciones colectivas (PIC).</t>
  </si>
  <si>
    <t>201663000-0150</t>
  </si>
  <si>
    <t xml:space="preserve">Asistencia atención a las personas y prioridades en salud pública en el  Departamento del Quindío- Plan de Intervenciones Colectivas PIC. </t>
  </si>
  <si>
    <t>Auditoria a 8  planes de mejoramiento instaurados con la red pública ejecutora del Plan de Intervenciones Colectivas.</t>
  </si>
  <si>
    <t>Vigilancia en salud publica y del laboratorio departamental.</t>
  </si>
  <si>
    <t xml:space="preserve">Incidencia de  afectados  por Enfermedad Diarreica Aguda –EDA-                                                                                                                                               </t>
  </si>
  <si>
    <t xml:space="preserve"> 60 X 1000 habitantes     </t>
  </si>
  <si>
    <t xml:space="preserve">Realizar  la vigilancia sanitaria a 300 establecimientos de consumo (Aguas, Alimentos y Bebidas Alcohólicas) </t>
  </si>
  <si>
    <t>201663000-0151</t>
  </si>
  <si>
    <t xml:space="preserve">Fortalecimiento de las actividades de vigilancia y control del laboratorio de salud pública en el Departamento del Quindio </t>
  </si>
  <si>
    <t>24            25            26        29          30     PTS</t>
  </si>
  <si>
    <t xml:space="preserve">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Mantener el número de UPGD que integra el sistema de vigilancia en salud pública                                                                                                                                                                          </t>
  </si>
  <si>
    <t>2,1 de cada 100              13 x 100 mil habitantes            76, 1 x 1000 habitantes                8,8 x 1000 nacidos             11,34 x 1000                 83%</t>
  </si>
  <si>
    <t>2,1 de cada 100     10 x 100 mil habitantes   60 X 1000 habitantes            8,8 x 1000 nacidos        11,34 x 1000          83%</t>
  </si>
  <si>
    <t>Crear diez (10) y fortalecer noventa (90) Comités de Vigilancia 
Epidemiológica  Comunitaria 
(COVECOM) municipales.</t>
  </si>
  <si>
    <t>201663000-0152</t>
  </si>
  <si>
    <t>Fortalecimiento del sistema de vigilancia en salud pública en el Departamento del Quindío.</t>
  </si>
  <si>
    <t>Sostener 83 Unidades Primarias Generadoras de Datos (UPGD) que integran el sistema de Vigilancia en Salud Publica.</t>
  </si>
  <si>
    <t>Universalidad  del aseguramiento en salud para un bien común</t>
  </si>
  <si>
    <t>Garantizar  la promoción de la afiliación al sistema de seguridad social</t>
  </si>
  <si>
    <t>Incrementar cobertura de afiliación al sistema general de seguridad social en salud</t>
  </si>
  <si>
    <t>Fortalecer en los 12 municipios del departamento  los procesos de identificación de la población no sisbenizada y no afiliada.</t>
  </si>
  <si>
    <t>201663000-0153</t>
  </si>
  <si>
    <t>Subsidio afiliación al régimen subsidiado del Sistema General de Seguridad Social en Salud en el Departamento del Quindío.</t>
  </si>
  <si>
    <t xml:space="preserve">Garantizar la cofinanciación para el régimen subsidiado en el departamento del Quindío </t>
  </si>
  <si>
    <t>Cofinanciar la continuidad del  régimen subsidiado en salud en los 12 municipios del departamento, de conformidad con la directrices del Ministerio de Salud y Protección Social.</t>
  </si>
  <si>
    <t>Asistencia técnica  a los actores del sistema en el proceso de aseguramiento de la población</t>
  </si>
  <si>
    <t>Brindar asistencia técnica a 12 Municipios del departamento,  en los procesos del régimen subsidiado</t>
  </si>
  <si>
    <t>Inclusión social en la prestación y desarrollo de servicios de salud</t>
  </si>
  <si>
    <t>Mejoramiento del Sistema de Calidad  de los Servicios y la Atención de los Usuarios</t>
  </si>
  <si>
    <t>Implementar la estrategia de atención primaria en salud,  fortaleciendo los procesos de inspección , vigilancia y control en el acceso de los afiliados  a la red de servicios de salud.</t>
  </si>
  <si>
    <t>201663000-0154</t>
  </si>
  <si>
    <t>Prestación de Servicios a la Población no Afiliada al Sistema General de Seguridad Social en Salud  y en los no POS  a la Población Afiliada al Régimen Subsidiado.</t>
  </si>
  <si>
    <t>Mantener la contratación con la red pública y privada (15)  para la atención de la población no afiliada.</t>
  </si>
  <si>
    <t>Realizar asistencia técnica en la construcción y ejecución del plan bienal de inversiones, a catorce (14) Empresas sociales del estado (ESE) del departamento.</t>
  </si>
  <si>
    <t>Fortalecimiento de la  gestión de la entidad territorial municipal</t>
  </si>
  <si>
    <t>Incrementar la asistencia técnica de los municipios relacionada con la capacidad de gestión en salud.</t>
  </si>
  <si>
    <t>Realizar asistencia Técnica  en los 12 municipios, en la capacidad de gestión en salud</t>
  </si>
  <si>
    <t>201663000-0155</t>
  </si>
  <si>
    <t xml:space="preserve">Asistencia técnica para el fortalecimiento de la gestión de las entidades territoriales del Departamento del Quindio </t>
  </si>
  <si>
    <t>Garantizar red de servicios en eventos de emergencias</t>
  </si>
  <si>
    <t>Incrementar el % IPS con seguimiento por parte del departamento</t>
  </si>
  <si>
    <t xml:space="preserve">Ajustar los 14 planes de emergencia de las instituciones prestadoras de salud de todo el Departamento.  
</t>
  </si>
  <si>
    <t>201663000-0156</t>
  </si>
  <si>
    <t>Servicio de salud en alerta en el Departamento del Quindío</t>
  </si>
  <si>
    <t>Ajustar un (1) Plan de Emergencias en Salud Departamental.</t>
  </si>
  <si>
    <t>201663000-0157</t>
  </si>
  <si>
    <t xml:space="preserve">Fortalecimiento de la red de urgencias y emergencias en el Departamento del Quindio </t>
  </si>
  <si>
    <t>Garantizar el Sistema Obligatorio de Garantía de Calidad SOGC en las IPS del departamento</t>
  </si>
  <si>
    <t>Verificar el sistema de evaluación de los Plan de auditoria para el mejoramiento de la calidad (PAMEC)  de siete (7) instituciones prestadoras de salud (IPS) hospitalarias  en el departamento del Quindío.</t>
  </si>
  <si>
    <t>201663000-0158</t>
  </si>
  <si>
    <t>Apoyo al proceso del sistema obligatorio de garantía de calidad a los prestadores de salud en el Departamento del Quindio.</t>
  </si>
  <si>
    <t>Realizar visitas de verificación de los requisitos de habilitación a 150 prestadores de servicios de salud.</t>
  </si>
  <si>
    <t>Fortalecimiento financiero de la red de servicios publica</t>
  </si>
  <si>
    <t>Evaluar semestralmente los indicadores de monitoreo del sistema de catorce (14) ESE´s del nivel I, II y III</t>
  </si>
  <si>
    <t>201663000-0159</t>
  </si>
  <si>
    <t>Fortalecimiento de la red de prestación de servicios pública  del Departamento del Quindío</t>
  </si>
  <si>
    <t>Apoyar 2 programas  de saneamiento fiscal y financiero a las IPS categorizadas en riesgo por el Ministerio de Salud</t>
  </si>
  <si>
    <t>Gestión Posible</t>
  </si>
  <si>
    <t>Apoyo y Fortalecimiento Institucional</t>
  </si>
  <si>
    <t>Evaluar la totalidad de municipios certificados</t>
  </si>
  <si>
    <t>Evaluar los municipios de Armenia y Calarcá que se encuentran  certificados en salud</t>
  </si>
  <si>
    <t>201663000-0160</t>
  </si>
  <si>
    <t>Apoyo Operativo a la inversión social en salud en el Departamento del Quindio</t>
  </si>
  <si>
    <t>Lograr que los procesos misionales y estratégicos de la Secretaría de Salud, que así lo requieran cuente con el apoyo y gestión de la Dirección Estratégica.</t>
  </si>
  <si>
    <t>apoyar y gestionar  3 procesos administrativos y misionales por parte de la Dirección estratégica.</t>
  </si>
  <si>
    <t>Mejorar el % de ejecución presupuestal</t>
  </si>
  <si>
    <t>Seguimiento trimestral a la ejecución presupuestal de los recursos del Sector Salud</t>
  </si>
  <si>
    <t>319 Indeportes Quindío</t>
  </si>
  <si>
    <t>Apoyo al deporte asociado</t>
  </si>
  <si>
    <t>Ligas deportivas del departamento del Quindío</t>
  </si>
  <si>
    <t xml:space="preserve"> Aumentar la utilización de escenarios deportivos como coliseos y canchas de fútbol</t>
  </si>
  <si>
    <t xml:space="preserve">Apoyar  y fortalecer veintitrés (23) ligas deportivas   </t>
  </si>
  <si>
    <t xml:space="preserve">4. Deporte </t>
  </si>
  <si>
    <t>201663000-0161</t>
  </si>
  <si>
    <t>Apoyo al deporte asociado en el Departamento del Quindio</t>
  </si>
  <si>
    <t xml:space="preserve">Apoyo a eventos deportivos </t>
  </si>
  <si>
    <t>Apoyar trece (13)  ligas en   los eventos deportivos de carácter federado  nacional y departamental.</t>
  </si>
  <si>
    <t xml:space="preserve">Juegos intercolegiados </t>
  </si>
  <si>
    <t>Desarrollar cuatro (4) juegos Intercolegiados  en sus diferentes fases.</t>
  </si>
  <si>
    <t>201663000-0162</t>
  </si>
  <si>
    <t>Apoyo a los juegos intercolegiados en el Deparrtamento del Quindìo</t>
  </si>
  <si>
    <t>Deporte formativo, deporte social comunitario y juegos  tradicionales.</t>
  </si>
  <si>
    <t>Asesorar  los doce (12) municipios del departamento del Quindío asesorados mediante   solicitudes de carácter técnico, administrativo y financiero para   las escuelas deportivas,  según los requerimientos.</t>
  </si>
  <si>
    <t>201663000-0163</t>
  </si>
  <si>
    <t>Apoyo al Deporte formativo, deporte social comunitario y juegos  tradicionales en el Departamento del Quindío</t>
  </si>
  <si>
    <t>Desarrollar  4 eventos de deporte social y comunitario.</t>
  </si>
  <si>
    <t>Apoyar  técnicamente un 1  evento de  Juegos Comunales en la fase Departamental</t>
  </si>
  <si>
    <t>Si Recreación y actividad física para ti</t>
  </si>
  <si>
    <t xml:space="preserve"> Recreación,  para el Bien Común</t>
  </si>
  <si>
    <t>Apoyar de forma articulada el desarrollo del programa (1) "Campamentos Juveniles"</t>
  </si>
  <si>
    <t>201663000-0164</t>
  </si>
  <si>
    <t xml:space="preserve"> Apoyo a la Recreación,  para el Bien Común en el Departamento del Quindío</t>
  </si>
  <si>
    <t>Apoyar de forma articulada el programa nuevo comienzo "Otro Motivo para Vivir" (1).</t>
  </si>
  <si>
    <t>Crear y desarrollar una estrategia para articular la actividad recreativa social comunitaria desde la primera infancia hasta las personas mayores.</t>
  </si>
  <si>
    <t>Actividad física, hábitos y estilos de vida saludables</t>
  </si>
  <si>
    <t xml:space="preserve">implementar un (1) programa que permita ejecutar proyectos  de actividad física para la promoción de hábitos y estilos de vida saludables </t>
  </si>
  <si>
    <t>201663000-0165</t>
  </si>
  <si>
    <t>Deporte, recreación, actividad fisica en los municipios del departamento del Quindío</t>
  </si>
  <si>
    <t>Implementación y apoyo a los proyectos deportivos, recreativos y de actividad fisica en los municipios del Departamento del Quindío</t>
  </si>
  <si>
    <t>Apoyar doce (12) municipios en proyectos deportivos, recreactivos y de actividad fisica</t>
  </si>
  <si>
    <t>201663000-0166</t>
  </si>
  <si>
    <t>Apoyo a proyectos deportivos, recreativos y de actividad fisica, en el Departamento del Quindìo</t>
  </si>
  <si>
    <t>320 Promotora de Vivienda</t>
  </si>
  <si>
    <t>Disminuir el porcentaje de personas en situación de pobreza</t>
  </si>
  <si>
    <t>9. Transporte</t>
  </si>
  <si>
    <t>201663000-0171</t>
  </si>
  <si>
    <t xml:space="preserve">Apoyo en la formulación y ejecucion de proyectos de vivienda, infraestructura y equipamientos colectivos y comunitarios en el Departamento del Quindio </t>
  </si>
  <si>
    <t xml:space="preserve">321 Instituto Departamental de Transito </t>
  </si>
  <si>
    <t xml:space="preserve"> SEGURIDAD HUMANA</t>
  </si>
  <si>
    <t>Fortalecimiento de la seguridad vial Departamental</t>
  </si>
  <si>
    <t xml:space="preserve"> Reducir lesiones fatales en accidente de tránsito</t>
  </si>
  <si>
    <t>95 x 100 mil</t>
  </si>
  <si>
    <t>80 x 100 mil</t>
  </si>
  <si>
    <t>Implementar un programa para disminuir la accidentalidad en las vías del departamento</t>
  </si>
  <si>
    <t>201663000-0172</t>
  </si>
  <si>
    <t>Fortalecimiento de la seguridad vial  en el Departamento del Quindío</t>
  </si>
  <si>
    <t xml:space="preserve">Formular e implementar el Plan de Seguridad Vial del Departamento </t>
  </si>
  <si>
    <t xml:space="preserve">Apoyar la implementación del programa: Ciclorutas en el departamento del Quindío </t>
  </si>
  <si>
    <t>201663000-0177</t>
  </si>
  <si>
    <t>Consolidación y desarrollo del Sistema de inspección vigilancia y control a los establecimientos farmacéuticos del departamento.</t>
  </si>
  <si>
    <t xml:space="preserve">Consolidar y desarrollar  el sistema de inspección vigilancia y control (SIVC)  en 150 establecimientos farmacéuticos del departamento. </t>
  </si>
  <si>
    <t>Apoyo a la actividad fisica, salud y productividad en el Deptp del Quindio</t>
  </si>
  <si>
    <t>Funcionamiento y prestación de servicios del sector educativo del nivel central 1400-1401</t>
  </si>
  <si>
    <t>Funcionamiento y prestación del servicio educativo de las instituciones educativas 1402-1403</t>
  </si>
  <si>
    <t>NACIÓN  - COFINANCIACIÓN</t>
  </si>
  <si>
    <t>SGP SALUD PUBLICA (61-98)</t>
  </si>
  <si>
    <t>Adquirir  un (1) bien inmueble para adelantar acciones de cara al servicio de la comunidad</t>
  </si>
  <si>
    <t>MONOPOLIO 51% DESTINACION ESPECIFICA  (35-091)</t>
  </si>
  <si>
    <t>EXTRACCION MATERIAL DE RIO MINAS Y OTROS (134)</t>
  </si>
  <si>
    <t>FONDO DE EDUCACION,  PAE, CONVENIO MEN  (25-80-81-137)</t>
  </si>
  <si>
    <t xml:space="preserve">CODIGO:  </t>
  </si>
  <si>
    <t xml:space="preserve">VERSIÓN: </t>
  </si>
  <si>
    <t xml:space="preserve">FECHA: </t>
  </si>
  <si>
    <t>PÁGINA:</t>
  </si>
  <si>
    <r>
      <t xml:space="preserve"> </t>
    </r>
    <r>
      <rPr>
        <sz val="7"/>
        <rFont val="Times New Roman"/>
        <family val="1"/>
      </rPr>
      <t xml:space="preserve"> </t>
    </r>
    <r>
      <rPr>
        <sz val="10"/>
        <rFont val="Arial"/>
        <family val="2"/>
      </rPr>
      <t>Reducir la proporción de jóvenes en el sistema de responsabilidad penal con riesgo alto de reincidencia en las conductas delictivas</t>
    </r>
  </si>
  <si>
    <r>
      <t xml:space="preserve"> </t>
    </r>
    <r>
      <rPr>
        <sz val="7"/>
        <rFont val="Times New Roman"/>
        <family val="1"/>
      </rPr>
      <t xml:space="preserve"> </t>
    </r>
    <r>
      <rPr>
        <sz val="10"/>
        <rFont val="Arial"/>
        <family val="2"/>
      </rPr>
      <t>Disminuir el porcentaje de mujeres amenazadas por sus compañeros sentimentales                                                                                             Disminuir incidencia de violencia intrafamiliar</t>
    </r>
  </si>
  <si>
    <r>
      <t xml:space="preserve"> </t>
    </r>
    <r>
      <rPr>
        <sz val="7"/>
        <rFont val="Times New Roman"/>
        <family val="1"/>
      </rPr>
      <t xml:space="preserve"> </t>
    </r>
    <r>
      <rPr>
        <sz val="10"/>
        <rFont val="Arial"/>
        <family val="2"/>
      </rPr>
      <t>Disminuir el porcentaje de mujeres amenazadas por sus compañeros sentimentales</t>
    </r>
  </si>
  <si>
    <r>
      <rPr>
        <sz val="7"/>
        <rFont val="Times New Roman"/>
        <family val="1"/>
      </rPr>
      <t xml:space="preserve"> </t>
    </r>
    <r>
      <rPr>
        <sz val="10"/>
        <rFont val="Arial"/>
        <family val="2"/>
      </rPr>
      <t>Disminuir la incidencia de embarazo en adolescentes</t>
    </r>
  </si>
  <si>
    <r>
      <rPr>
        <sz val="7"/>
        <rFont val="Times New Roman"/>
        <family val="1"/>
      </rPr>
      <t xml:space="preserve"> </t>
    </r>
    <r>
      <rPr>
        <sz val="10"/>
        <rFont val="Arial"/>
        <family val="2"/>
      </rPr>
      <t>Incrementar el % IPS con seguimiento por parte del departamento</t>
    </r>
  </si>
  <si>
    <r>
      <rPr>
        <sz val="7"/>
        <rFont val="Times New Roman"/>
        <family val="1"/>
      </rPr>
      <t xml:space="preserve"> </t>
    </r>
    <r>
      <rPr>
        <sz val="10"/>
        <rFont val="Arial"/>
        <family val="2"/>
      </rPr>
      <t>Aumentar el porcentaje de cumplimiento de la Ley 1448 del 2011 de atención a víctimas</t>
    </r>
  </si>
  <si>
    <r>
      <rPr>
        <sz val="7"/>
        <rFont val="Times New Roman"/>
        <family val="1"/>
      </rPr>
      <t xml:space="preserve">  </t>
    </r>
    <r>
      <rPr>
        <sz val="10"/>
        <rFont val="Arial"/>
        <family val="2"/>
      </rPr>
      <t>Aumentar el % de personas discapacitadas atendidas</t>
    </r>
  </si>
  <si>
    <t>NUEVO IVA DE LICORES CEDIDO 30% DEPORTE
CIGARRILLOS NALES Y EXTRANJEROS (DEPORTE)</t>
  </si>
  <si>
    <t>Implementación de un fondo de apoyo Departamental para el acceso y la permanencia de la educacion tecnica, tecnologica y superior en el Departamento del Quindio.</t>
  </si>
  <si>
    <t>7                                                                  DE CADA 100</t>
  </si>
  <si>
    <t>Atender en los doce  (12) municipios del Departamento, los eventos de emergencia y urgencia, y el sistema de refertencia y contrareferencia de la población no afiliada</t>
  </si>
  <si>
    <t>37 
38</t>
  </si>
  <si>
    <t>37
 38</t>
  </si>
  <si>
    <t>24
25
29
30 
33</t>
  </si>
  <si>
    <t xml:space="preserve">8.9
4.6
27                     </t>
  </si>
  <si>
    <t>Apoyar la construcción, el mantenimiento, el mejoramiento y/o la rehabilitación de la infraestructura de doce (12) equipamientos públicos y colectivos del Departamento del Quindío.</t>
  </si>
  <si>
    <t>Diseñay ejecutar una politica Departamental de uso racional de resiudos solidos y uso eficiente de energia</t>
  </si>
  <si>
    <t>Adoptar e implementar el modelo de Atención primaria en Salud Mental (APS) en todos los municipios Quindianos</t>
  </si>
  <si>
    <t>Formular e implementar la política pública departamental de libertad religiosa en desarrollo del artículo 244 de la ley 1753 "Por medio de la cual se expide el Plan Nacional de Desarrollo 2014-2018 TODOS POR UN NUEVO PAÍS"</t>
  </si>
  <si>
    <t xml:space="preserve">Fortalecer el programa de sostenibilidad de las  Tecnologias de la Información y las Comunicaciones de la Gobernación del Quindio </t>
  </si>
  <si>
    <t>TOTAL ADMINISTRACIÓN CENTRAL:</t>
  </si>
  <si>
    <t xml:space="preserve">GRAN TOTAL </t>
  </si>
  <si>
    <t>1795 1531</t>
  </si>
  <si>
    <t>RECURSOS DEL CRÉDITO</t>
  </si>
  <si>
    <t>ESTAMPILLA PRO - CULTURA
(33-34-39-41-83)</t>
  </si>
  <si>
    <t>ESTAMPILLA PRO - ADULTO MAYOR
(6-84)</t>
  </si>
  <si>
    <t>ESTAMPILLA PRO - DESARROLLO
(4-82)</t>
  </si>
  <si>
    <t xml:space="preserve">CONTRIBUCION ESPECIAL           
(FONDO DE SEGURIDAD 5%) </t>
  </si>
  <si>
    <t>SOBRETASA AL ACPM
(23-89)</t>
  </si>
  <si>
    <t>SGP APORTES PATRONALES -EDUCACION 09</t>
  </si>
  <si>
    <t>SGP AGUA POTABLE SSF
(27-90)</t>
  </si>
  <si>
    <t>FORTALECIMIENTO DE LA SEGURIDAD VIAL DEPARTAMENTAL</t>
  </si>
  <si>
    <t>Implementacion Plataforma Tecnologica para la Recoleccion Actualizada y Analisis de Datos de Siniestralidad Vial, Mapa de Siniestralidad e Insumos linea Base Plan Seguridad Vial Quindio</t>
  </si>
  <si>
    <t>Construcion Cancha Sintetica y Adecuacion del Polideportivo en el Sector de Naranjal, Quimbaya Quindio</t>
  </si>
  <si>
    <t xml:space="preserve">TOTAL DICIEMBRE-2017 </t>
  </si>
  <si>
    <t xml:space="preserve">F-PLA-42   </t>
  </si>
  <si>
    <t>O1</t>
  </si>
  <si>
    <t>Agosto 1 de 2016</t>
  </si>
  <si>
    <t xml:space="preserve"> 1 de 1</t>
  </si>
  <si>
    <t xml:space="preserve">PLAN OPERATIVO ANUAL DE INVERSIONES   -POAI- DICIEMBRE 31 DE 2017
</t>
  </si>
  <si>
    <t xml:space="preserve">Elevar el promedio de la participación de la ciudadania en los procesos de elección popular en el cuatrenio                                                Consolidar mecanismos de integración regional y municipal                                   </t>
  </si>
  <si>
    <t>Elevar el promedio de la participación de la ciudadania en los procesos de elección popular en el cuatrenio                                      Consolidar mecanismos de integración regional y municipal</t>
  </si>
  <si>
    <t xml:space="preserve">Igualar la tasa de desempleo del Departamento al promedio nacional para el 2019                                                                                                                                                                                                                                                                     Aumentar el 20%, en pesos constantes, el valor de “hoteles, restaurantes, bares y similares” en el PIB.  </t>
  </si>
  <si>
    <t>  Disminuir incidencia de violencia intrafamiliar</t>
  </si>
  <si>
    <t>Prevención vigilancia y control de eventos de origen laboral en el Departamento del Quindío.</t>
  </si>
  <si>
    <t>Apoyar  a veinte  (20) deportistas en nivel de talento, de proyección y de altos logros con el programa de incentivos económicos a deportistas.</t>
  </si>
  <si>
    <t>OTROS (IVA TELEFONIA MÓVIL 47 - 93)
(IMPUESTO REGISTRO -  52-94
JUEGOS NOVEDOSOS - COLJUEGOS Y OTRAS FUENTES)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</si>
</sst>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1" formatCode="_(* #,##0_);_(* \(#,##0\);_(* &quot;-&quot;_);_(@_)"/>
    <numFmt numFmtId="44" formatCode="_(&quot;$&quot;\ * #,##0.00_);_(&quot;$&quot;\ * \(#,##0.00\);_(&quot;$&quot;\ *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 #,##0.00\ &quot;€&quot;_-;\-* #,##0.00\ &quot;€&quot;_-;_-* &quot;-&quot;??\ &quot;€&quot;_-;_-@_-"/>
    <numFmt numFmtId="169" formatCode="_-* #,##0.00\ _€_-;\-* #,##0.00\ _€_-;_-* &quot;-&quot;??\ _€_-;_-@_-"/>
    <numFmt numFmtId="170" formatCode="_(* #,##0_);_(* \(#,##0\);_(* &quot;-&quot;??_);_(@_)"/>
    <numFmt numFmtId="171" formatCode="#,##0.00_);\-#,##0.00"/>
    <numFmt numFmtId="172" formatCode="_-* #,##0_-;\-* #,##0_-;_-* &quot;-&quot;??_-;_-@_-"/>
    <numFmt numFmtId="173" formatCode="_-[$$-240A]* #,##0.00_-;\-[$$-240A]* #,##0.00_-;_-[$$-240A]* &quot;-&quot;??_-;_-@_-"/>
    <numFmt numFmtId="174" formatCode="_ [$€-2]\ * #,##0.00_ ;_ [$€-2]\ * \-#,##0.00_ ;_ [$€-2]\ * &quot;-&quot;??_ "/>
    <numFmt numFmtId="175" formatCode="_ &quot;$&quot;\ * #,##0.00_ ;_ &quot;$&quot;\ * \-#,##0.00_ ;_ &quot;$&quot;\ * &quot;-&quot;??_ ;_ @_ "/>
    <numFmt numFmtId="176" formatCode="#."/>
    <numFmt numFmtId="177" formatCode="_ * #,##0.00_ ;_ * \-#,##0.00_ ;_ * &quot;-&quot;??_ ;_ @_ "/>
    <numFmt numFmtId="178" formatCode="_-[$€-2]* #,##0.00_-;\-[$€-2]* #,##0.00_-;_-[$€-2]* &quot;-&quot;??_-"/>
    <numFmt numFmtId="179" formatCode="_(* #.##0.00_);_(* \(#.##0.00\);_(* &quot;-&quot;??_);_(@_)"/>
    <numFmt numFmtId="180" formatCode="_-* #,##0.00\ _P_t_a_-;\-* #,##0.00\ _P_t_a_-;_-* &quot;-&quot;??\ _P_t_a_-;_-@_-"/>
    <numFmt numFmtId="181" formatCode="&quot;$&quot;\ #,##0;&quot;$&quot;\ \-#,##0"/>
    <numFmt numFmtId="182" formatCode="#,##0.000"/>
    <numFmt numFmtId="183" formatCode="#,##0_);\-#,##0"/>
    <numFmt numFmtId="184" formatCode="_(* #,##0.0_);_(* \(#,##0.0\);_(* &quot;-&quot;??_);_(@_)"/>
    <numFmt numFmtId="185" formatCode="_-* #,##0.0_-;\-* #,##0.0_-;_-* &quot;-&quot;??_-;_-@_-"/>
    <numFmt numFmtId="186" formatCode="_(* #,##0.000_);_(* \(#,##0.000\);_(* &quot;-&quot;??_);_(@_)"/>
  </numFmts>
  <fonts count="48" x14ac:knownFonts="1">
    <font>
      <sz val="11"/>
      <color theme="1"/>
      <name val="Calibri"/>
      <family val="2"/>
      <scheme val="minor"/>
    </font>
    <font>
      <sz val="11"/>
      <color theme="1"/>
      <name val="Calibri"/>
      <family val="2"/>
      <scheme val="minor"/>
    </font>
    <font>
      <sz val="11"/>
      <color indexed="8"/>
      <name val="Calibri"/>
      <family val="2"/>
    </font>
    <font>
      <b/>
      <sz val="11"/>
      <name val="Arial"/>
      <family val="2"/>
    </font>
    <font>
      <b/>
      <sz val="12"/>
      <name val="Arial"/>
      <family val="2"/>
    </font>
    <font>
      <sz val="11"/>
      <name val="Arial"/>
      <family val="2"/>
    </font>
    <font>
      <sz val="11"/>
      <name val="Calibri"/>
      <family val="2"/>
      <scheme val="minor"/>
    </font>
    <font>
      <sz val="12"/>
      <name val="Arial"/>
      <family val="2"/>
    </font>
    <font>
      <sz val="10"/>
      <name val="Arial"/>
      <family val="2"/>
    </font>
    <font>
      <b/>
      <sz val="16"/>
      <name val="Arial"/>
      <family val="2"/>
    </font>
    <font>
      <sz val="11"/>
      <name val="Calibri"/>
      <family val="2"/>
    </font>
    <font>
      <b/>
      <sz val="9"/>
      <name val="Arial"/>
      <family val="2"/>
    </font>
    <font>
      <b/>
      <sz val="10"/>
      <name val="Arial"/>
      <family val="2"/>
    </font>
    <font>
      <b/>
      <sz val="11"/>
      <name val="Calibri"/>
      <family val="2"/>
    </font>
    <font>
      <sz val="7"/>
      <name val="Times New Roman"/>
      <family val="1"/>
    </font>
    <font>
      <sz val="10"/>
      <name val="Arial"/>
      <family val="1"/>
    </font>
    <font>
      <b/>
      <sz val="18"/>
      <name val="Arial"/>
      <family val="2"/>
    </font>
    <font>
      <sz val="11"/>
      <name val="Arial Narrow"/>
      <family val="2"/>
    </font>
    <font>
      <sz val="9"/>
      <name val="Arial Narrow"/>
      <family val="2"/>
    </font>
    <font>
      <sz val="14"/>
      <name val="Calibri"/>
      <family val="2"/>
    </font>
    <font>
      <b/>
      <sz val="11"/>
      <name val="Calibri"/>
      <family val="2"/>
      <scheme val="minor"/>
    </font>
    <font>
      <sz val="11"/>
      <color rgb="FF000000"/>
      <name val="Calibri"/>
      <family val="2"/>
    </font>
    <font>
      <sz val="1"/>
      <color indexed="16"/>
      <name val="Courier"/>
      <family val="3"/>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10"/>
      <name val="Calibri"/>
      <family val="2"/>
    </font>
    <font>
      <b/>
      <sz val="11"/>
      <color indexed="9"/>
      <name val="Calibri"/>
      <family val="2"/>
    </font>
    <font>
      <sz val="11"/>
      <color indexed="10"/>
      <name val="Calibri"/>
      <family val="2"/>
    </font>
    <font>
      <sz val="11"/>
      <color indexed="52"/>
      <name val="Calibri"/>
      <family val="2"/>
    </font>
    <font>
      <b/>
      <sz val="11"/>
      <color indexed="6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19"/>
      <name val="Calibri"/>
      <family val="2"/>
    </font>
    <font>
      <sz val="11"/>
      <color indexed="60"/>
      <name val="Calibri"/>
      <family val="2"/>
    </font>
    <font>
      <b/>
      <sz val="11"/>
      <color indexed="63"/>
      <name val="Calibri"/>
      <family val="2"/>
    </font>
    <font>
      <b/>
      <sz val="18"/>
      <color indexed="56"/>
      <name val="Cambria"/>
      <family val="2"/>
    </font>
    <font>
      <b/>
      <sz val="15"/>
      <color indexed="62"/>
      <name val="Calibri"/>
      <family val="2"/>
    </font>
    <font>
      <b/>
      <sz val="13"/>
      <color indexed="62"/>
      <name val="Calibri"/>
      <family val="2"/>
    </font>
    <font>
      <b/>
      <sz val="18"/>
      <color indexed="62"/>
      <name val="Cambria"/>
      <family val="2"/>
    </font>
    <font>
      <b/>
      <sz val="11"/>
      <color indexed="8"/>
      <name val="Calibri"/>
      <family val="2"/>
    </font>
    <font>
      <sz val="10"/>
      <name val="Arial Narrow"/>
      <family val="2"/>
    </font>
    <font>
      <b/>
      <sz val="8"/>
      <name val="Arial"/>
      <family val="2"/>
    </font>
    <font>
      <sz val="12"/>
      <name val="Calibri"/>
      <family val="2"/>
      <scheme val="minor"/>
    </font>
  </fonts>
  <fills count="42">
    <fill>
      <patternFill patternType="none"/>
    </fill>
    <fill>
      <patternFill patternType="gray125"/>
    </fill>
    <fill>
      <patternFill patternType="solid">
        <fgColor theme="0"/>
        <bgColor indexed="64"/>
      </patternFill>
    </fill>
    <fill>
      <patternFill patternType="solid">
        <fgColor indexed="49"/>
        <bgColor indexed="64"/>
      </patternFill>
    </fill>
    <fill>
      <patternFill patternType="solid">
        <fgColor indexed="46"/>
        <bgColor indexed="64"/>
      </patternFill>
    </fill>
    <fill>
      <patternFill patternType="solid">
        <fgColor rgb="FF00B0F0"/>
        <bgColor indexed="64"/>
      </patternFill>
    </fill>
    <fill>
      <patternFill patternType="solid">
        <fgColor theme="9" tint="0.39997558519241921"/>
        <bgColor indexed="64"/>
      </patternFill>
    </fill>
    <fill>
      <patternFill patternType="solid">
        <fgColor indexed="47"/>
        <bgColor indexed="64"/>
      </patternFill>
    </fill>
    <fill>
      <patternFill patternType="solid">
        <fgColor indexed="29"/>
        <bgColor indexed="64"/>
      </patternFill>
    </fill>
    <fill>
      <patternFill patternType="solid">
        <fgColor theme="5" tint="0.39997558519241921"/>
        <bgColor indexed="64"/>
      </patternFill>
    </fill>
    <fill>
      <patternFill patternType="solid">
        <fgColor indexed="9"/>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indexed="31"/>
        <bgColor indexed="64"/>
      </patternFill>
    </fill>
    <fill>
      <patternFill patternType="solid">
        <fgColor theme="2"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theme="4" tint="0.79998168889431442"/>
        <bgColor indexed="64"/>
      </patternFill>
    </fill>
  </fills>
  <borders count="223">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style="thin">
        <color indexed="64"/>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right style="thin">
        <color auto="1"/>
      </right>
      <top style="thin">
        <color indexed="64"/>
      </top>
      <bottom/>
      <diagonal/>
    </border>
    <border>
      <left/>
      <right/>
      <top style="thin">
        <color indexed="64"/>
      </top>
      <bottom/>
      <diagonal/>
    </border>
  </borders>
  <cellStyleXfs count="1363">
    <xf numFmtId="0" fontId="0" fillId="0" borderId="0"/>
    <xf numFmtId="167"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8" fillId="0" borderId="0"/>
    <xf numFmtId="174" fontId="1" fillId="0" borderId="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74" fontId="1" fillId="0" borderId="0"/>
    <xf numFmtId="0" fontId="2" fillId="24" borderId="120" applyNumberFormat="0" applyFont="0" applyAlignment="0" applyProtection="0"/>
    <xf numFmtId="0" fontId="44" fillId="0" borderId="138" applyNumberFormat="0" applyFill="0" applyAlignment="0" applyProtection="0"/>
    <xf numFmtId="44" fontId="2" fillId="0" borderId="0" applyFont="0" applyFill="0" applyBorder="0" applyAlignment="0" applyProtection="0"/>
    <xf numFmtId="41" fontId="2" fillId="0" borderId="0" applyFont="0" applyFill="0" applyBorder="0" applyAlignment="0" applyProtection="0"/>
    <xf numFmtId="175" fontId="21" fillId="0" borderId="0"/>
    <xf numFmtId="43" fontId="2" fillId="0" borderId="0" applyFont="0" applyFill="0" applyBorder="0" applyAlignment="0" applyProtection="0"/>
    <xf numFmtId="0" fontId="44" fillId="0" borderId="158" applyNumberFormat="0" applyFill="0" applyAlignment="0" applyProtection="0"/>
    <xf numFmtId="168" fontId="2" fillId="0" borderId="0" applyFont="0" applyFill="0" applyBorder="0" applyAlignment="0" applyProtection="0"/>
    <xf numFmtId="9" fontId="2" fillId="0" borderId="0" applyFont="0" applyFill="0" applyBorder="0" applyAlignment="0" applyProtection="0"/>
    <xf numFmtId="0" fontId="8" fillId="0" borderId="0"/>
    <xf numFmtId="43" fontId="1" fillId="0" borderId="0" applyFont="0" applyFill="0" applyBorder="0" applyAlignment="0" applyProtection="0"/>
    <xf numFmtId="0" fontId="26" fillId="36" borderId="54" applyNumberFormat="0" applyAlignment="0" applyProtection="0"/>
    <xf numFmtId="0" fontId="27" fillId="37" borderId="134" applyNumberFormat="0" applyAlignment="0" applyProtection="0"/>
    <xf numFmtId="0" fontId="33" fillId="21" borderId="79" applyNumberFormat="0" applyAlignment="0" applyProtection="0"/>
    <xf numFmtId="176" fontId="22" fillId="0" borderId="0">
      <protection locked="0"/>
    </xf>
    <xf numFmtId="0" fontId="2" fillId="16"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16" borderId="0" applyNumberFormat="0" applyBorder="0" applyAlignment="0" applyProtection="0"/>
    <xf numFmtId="0" fontId="2" fillId="23" borderId="0" applyNumberFormat="0" applyBorder="0" applyAlignment="0" applyProtection="0"/>
    <xf numFmtId="0" fontId="2" fillId="17" borderId="0" applyNumberFormat="0" applyBorder="0" applyAlignment="0" applyProtection="0"/>
    <xf numFmtId="0" fontId="2" fillId="24"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5"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3" fillId="28" borderId="0" applyNumberFormat="0" applyBorder="0" applyAlignment="0" applyProtection="0"/>
    <xf numFmtId="0" fontId="23" fillId="23"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3" fillId="20"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5" borderId="0" applyNumberFormat="0" applyBorder="0" applyAlignment="0" applyProtection="0"/>
    <xf numFmtId="0" fontId="23" fillId="17" borderId="0" applyNumberFormat="0" applyBorder="0" applyAlignment="0" applyProtection="0"/>
    <xf numFmtId="0" fontId="23" fillId="29" borderId="0" applyNumberFormat="0" applyBorder="0" applyAlignment="0" applyProtection="0"/>
    <xf numFmtId="0" fontId="23" fillId="20" borderId="0" applyNumberFormat="0" applyBorder="0" applyAlignment="0" applyProtection="0"/>
    <xf numFmtId="0" fontId="23" fillId="30" borderId="0" applyNumberFormat="0" applyBorder="0" applyAlignment="0" applyProtection="0"/>
    <xf numFmtId="0" fontId="23" fillId="23" borderId="0" applyNumberFormat="0" applyBorder="0" applyAlignment="0" applyProtection="0"/>
    <xf numFmtId="0" fontId="23" fillId="31" borderId="0" applyNumberFormat="0" applyBorder="0" applyAlignment="0" applyProtection="0"/>
    <xf numFmtId="0" fontId="23" fillId="33" borderId="0" applyNumberFormat="0" applyBorder="0" applyAlignment="0" applyProtection="0"/>
    <xf numFmtId="0" fontId="23" fillId="34" borderId="0" applyNumberFormat="0" applyBorder="0" applyAlignment="0" applyProtection="0"/>
    <xf numFmtId="0" fontId="23" fillId="35"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2" borderId="0" applyNumberFormat="0" applyBorder="0" applyAlignment="0" applyProtection="0"/>
    <xf numFmtId="0" fontId="24" fillId="17" borderId="0" applyNumberFormat="0" applyBorder="0" applyAlignment="0" applyProtection="0"/>
    <xf numFmtId="0" fontId="25" fillId="20" borderId="0" applyNumberFormat="0" applyBorder="0" applyAlignment="0" applyProtection="0"/>
    <xf numFmtId="0" fontId="25" fillId="18" borderId="0" applyNumberFormat="0" applyBorder="0" applyAlignment="0" applyProtection="0"/>
    <xf numFmtId="0" fontId="26" fillId="36" borderId="20" applyNumberFormat="0" applyAlignment="0" applyProtection="0"/>
    <xf numFmtId="0" fontId="27" fillId="37" borderId="20" applyNumberFormat="0" applyAlignment="0" applyProtection="0"/>
    <xf numFmtId="0" fontId="26" fillId="36" borderId="20" applyNumberFormat="0" applyAlignment="0" applyProtection="0"/>
    <xf numFmtId="0" fontId="28" fillId="38" borderId="21" applyNumberFormat="0" applyAlignment="0" applyProtection="0"/>
    <xf numFmtId="0" fontId="28" fillId="38" borderId="21" applyNumberFormat="0" applyAlignment="0" applyProtection="0"/>
    <xf numFmtId="0" fontId="29" fillId="0" borderId="22" applyNumberFormat="0" applyFill="0" applyAlignment="0" applyProtection="0"/>
    <xf numFmtId="0" fontId="30" fillId="0" borderId="23" applyNumberFormat="0" applyFill="0" applyAlignment="0" applyProtection="0"/>
    <xf numFmtId="0" fontId="28" fillId="38" borderId="21"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23" fillId="39" borderId="0" applyNumberFormat="0" applyBorder="0" applyAlignment="0" applyProtection="0"/>
    <xf numFmtId="0" fontId="23" fillId="33" borderId="0" applyNumberFormat="0" applyBorder="0" applyAlignment="0" applyProtection="0"/>
    <xf numFmtId="0" fontId="23" fillId="32" borderId="0" applyNumberFormat="0" applyBorder="0" applyAlignment="0" applyProtection="0"/>
    <xf numFmtId="0" fontId="23" fillId="34" borderId="0" applyNumberFormat="0" applyBorder="0" applyAlignment="0" applyProtection="0"/>
    <xf numFmtId="0" fontId="23" fillId="26" borderId="0" applyNumberFormat="0" applyBorder="0" applyAlignment="0" applyProtection="0"/>
    <xf numFmtId="0" fontId="23" fillId="35" borderId="0" applyNumberFormat="0" applyBorder="0" applyAlignment="0" applyProtection="0"/>
    <xf numFmtId="0" fontId="23" fillId="40"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3" fillId="32" borderId="0" applyNumberFormat="0" applyBorder="0" applyAlignment="0" applyProtection="0"/>
    <xf numFmtId="0" fontId="33" fillId="27" borderId="20" applyNumberFormat="0" applyAlignment="0" applyProtection="0"/>
    <xf numFmtId="0" fontId="33" fillId="21" borderId="20" applyNumberFormat="0" applyAlignment="0" applyProtection="0"/>
    <xf numFmtId="177" fontId="8" fillId="0" borderId="0" applyFont="0" applyFill="0" applyBorder="0" applyAlignment="0" applyProtection="0"/>
    <xf numFmtId="177"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17" fillId="0" borderId="0" applyFont="0" applyFill="0" applyBorder="0" applyAlignment="0" applyProtection="0"/>
    <xf numFmtId="178" fontId="8" fillId="0" borderId="0" applyFont="0" applyFill="0" applyBorder="0" applyAlignment="0" applyProtection="0"/>
    <xf numFmtId="174" fontId="17" fillId="0" borderId="0" applyFont="0" applyFill="0" applyBorder="0" applyAlignment="0" applyProtection="0"/>
    <xf numFmtId="0" fontId="34" fillId="0" borderId="0" applyNumberFormat="0" applyFill="0" applyBorder="0" applyAlignment="0" applyProtection="0"/>
    <xf numFmtId="0" fontId="25" fillId="18" borderId="0" applyNumberFormat="0" applyBorder="0" applyAlignment="0" applyProtection="0"/>
    <xf numFmtId="0" fontId="35" fillId="0" borderId="24" applyNumberFormat="0" applyFill="0" applyAlignment="0" applyProtection="0"/>
    <xf numFmtId="0" fontId="36" fillId="0" borderId="25" applyNumberFormat="0" applyFill="0" applyAlignment="0" applyProtection="0"/>
    <xf numFmtId="0" fontId="32" fillId="0" borderId="26" applyNumberFormat="0" applyFill="0" applyAlignment="0" applyProtection="0"/>
    <xf numFmtId="0" fontId="32" fillId="0" borderId="0" applyNumberFormat="0" applyFill="0" applyBorder="0" applyAlignment="0" applyProtection="0"/>
    <xf numFmtId="0" fontId="24" fillId="19" borderId="0" applyNumberFormat="0" applyBorder="0" applyAlignment="0" applyProtection="0"/>
    <xf numFmtId="0" fontId="24" fillId="17" borderId="0" applyNumberFormat="0" applyBorder="0" applyAlignment="0" applyProtection="0"/>
    <xf numFmtId="0" fontId="33" fillId="21" borderId="20" applyNumberFormat="0" applyAlignment="0" applyProtection="0"/>
    <xf numFmtId="0" fontId="30" fillId="0" borderId="23" applyNumberFormat="0" applyFill="0" applyAlignment="0" applyProtection="0"/>
    <xf numFmtId="169" fontId="2" fillId="0" borderId="0" applyFont="0" applyFill="0" applyBorder="0" applyAlignment="0" applyProtection="0"/>
    <xf numFmtId="43" fontId="1" fillId="0" borderId="0" applyFont="0" applyFill="0" applyBorder="0" applyAlignment="0" applyProtection="0"/>
    <xf numFmtId="177" fontId="8"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79"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77"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1" fillId="0" borderId="0" applyFont="0" applyFill="0" applyBorder="0" applyAlignment="0" applyProtection="0"/>
    <xf numFmtId="177" fontId="8" fillId="0" borderId="0" applyFont="0" applyFill="0" applyBorder="0" applyAlignment="0" applyProtection="0"/>
    <xf numFmtId="169" fontId="2" fillId="0" borderId="0" applyFont="0" applyFill="0" applyBorder="0" applyAlignment="0" applyProtection="0"/>
    <xf numFmtId="180" fontId="8"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7" fontId="8" fillId="0" borderId="0" applyFont="0" applyFill="0" applyBorder="0" applyAlignment="0" applyProtection="0"/>
    <xf numFmtId="169" fontId="2" fillId="0" borderId="0" applyFont="0" applyFill="0" applyBorder="0" applyAlignment="0" applyProtection="0"/>
    <xf numFmtId="16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43"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44" fontId="2" fillId="0" borderId="0" applyFont="0" applyFill="0" applyBorder="0" applyAlignment="0" applyProtection="0"/>
    <xf numFmtId="175" fontId="8" fillId="0" borderId="0" applyFont="0" applyFill="0" applyBorder="0" applyAlignment="0" applyProtection="0"/>
    <xf numFmtId="0" fontId="37" fillId="27" borderId="0" applyNumberFormat="0" applyBorder="0" applyAlignment="0" applyProtection="0"/>
    <xf numFmtId="0" fontId="38" fillId="27" borderId="0" applyNumberFormat="0" applyBorder="0" applyAlignment="0" applyProtection="0"/>
    <xf numFmtId="0" fontId="8" fillId="0" borderId="0"/>
    <xf numFmtId="0" fontId="2" fillId="0" borderId="0"/>
    <xf numFmtId="0" fontId="8" fillId="0" borderId="0"/>
    <xf numFmtId="0" fontId="8" fillId="0" borderId="0"/>
    <xf numFmtId="0" fontId="8" fillId="0" borderId="0"/>
    <xf numFmtId="0" fontId="1" fillId="0" borderId="0"/>
    <xf numFmtId="0" fontId="8" fillId="0" borderId="0"/>
    <xf numFmtId="0" fontId="2" fillId="0" borderId="0"/>
    <xf numFmtId="177"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7" fontId="8" fillId="0" borderId="0" applyFont="0" applyFill="0" applyBorder="0" applyAlignment="0" applyProtection="0"/>
    <xf numFmtId="177" fontId="8" fillId="0" borderId="0" applyFont="0" applyFill="0" applyBorder="0" applyAlignment="0" applyProtection="0"/>
    <xf numFmtId="181" fontId="8" fillId="0" borderId="0" applyFont="0" applyFill="0" applyBorder="0" applyAlignment="0" applyProtection="0"/>
    <xf numFmtId="0" fontId="1" fillId="0" borderId="0"/>
    <xf numFmtId="0" fontId="1" fillId="0" borderId="0"/>
    <xf numFmtId="0" fontId="1" fillId="0" borderId="0"/>
    <xf numFmtId="0" fontId="1" fillId="0" borderId="0"/>
    <xf numFmtId="0" fontId="8" fillId="24" borderId="27" applyNumberFormat="0" applyFont="0" applyAlignment="0" applyProtection="0"/>
    <xf numFmtId="0" fontId="8" fillId="24" borderId="27" applyNumberFormat="0" applyFont="0" applyAlignment="0" applyProtection="0"/>
    <xf numFmtId="0" fontId="2" fillId="24" borderId="27" applyNumberFormat="0" applyFont="0" applyAlignment="0" applyProtection="0"/>
    <xf numFmtId="0" fontId="39" fillId="36" borderId="28" applyNumberFormat="0" applyAlignment="0" applyProtection="0"/>
    <xf numFmtId="9" fontId="8"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39" fillId="37" borderId="28" applyNumberFormat="0" applyAlignment="0" applyProtection="0"/>
    <xf numFmtId="0" fontId="39" fillId="36" borderId="28" applyNumberForma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40" fillId="0" borderId="0" applyNumberFormat="0" applyFill="0" applyBorder="0" applyAlignment="0" applyProtection="0"/>
    <xf numFmtId="0" fontId="41" fillId="0" borderId="29" applyNumberFormat="0" applyFill="0" applyAlignment="0" applyProtection="0"/>
    <xf numFmtId="0" fontId="42" fillId="0" borderId="30" applyNumberFormat="0" applyFill="0" applyAlignment="0" applyProtection="0"/>
    <xf numFmtId="0" fontId="36" fillId="0" borderId="25" applyNumberFormat="0" applyFill="0" applyAlignment="0" applyProtection="0"/>
    <xf numFmtId="0" fontId="31" fillId="0" borderId="31" applyNumberFormat="0" applyFill="0" applyAlignment="0" applyProtection="0"/>
    <xf numFmtId="0" fontId="32" fillId="0" borderId="26" applyNumberFormat="0" applyFill="0" applyAlignment="0" applyProtection="0"/>
    <xf numFmtId="0" fontId="43" fillId="0" borderId="0" applyNumberFormat="0" applyFill="0" applyBorder="0" applyAlignment="0" applyProtection="0"/>
    <xf numFmtId="0" fontId="40" fillId="0" borderId="0" applyNumberFormat="0" applyFill="0" applyBorder="0" applyAlignment="0" applyProtection="0"/>
    <xf numFmtId="0" fontId="44" fillId="0" borderId="32" applyNumberFormat="0" applyFill="0" applyAlignment="0" applyProtection="0"/>
    <xf numFmtId="0" fontId="44" fillId="0" borderId="33" applyNumberFormat="0" applyFill="0" applyAlignment="0" applyProtection="0"/>
    <xf numFmtId="0" fontId="29" fillId="0" borderId="0" applyNumberFormat="0" applyFill="0" applyBorder="0" applyAlignment="0" applyProtection="0"/>
    <xf numFmtId="0" fontId="1" fillId="0" borderId="0"/>
    <xf numFmtId="164" fontId="8" fillId="0" borderId="0" applyFont="0" applyFill="0" applyBorder="0" applyAlignment="0" applyProtection="0"/>
    <xf numFmtId="0" fontId="8" fillId="0" borderId="0"/>
    <xf numFmtId="177" fontId="8" fillId="0" borderId="0" applyFont="0" applyFill="0" applyBorder="0" applyAlignment="0" applyProtection="0"/>
    <xf numFmtId="177"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4" fontId="1" fillId="0" borderId="0"/>
    <xf numFmtId="174" fontId="8" fillId="0" borderId="0"/>
    <xf numFmtId="174" fontId="2" fillId="0" borderId="0"/>
    <xf numFmtId="174" fontId="8" fillId="0" borderId="0"/>
    <xf numFmtId="174" fontId="8" fillId="0" borderId="0"/>
    <xf numFmtId="174" fontId="8" fillId="0" borderId="0"/>
    <xf numFmtId="174" fontId="8" fillId="0" borderId="0"/>
    <xf numFmtId="174" fontId="8" fillId="0" borderId="0"/>
    <xf numFmtId="174" fontId="45"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167" fontId="2" fillId="0" borderId="0" applyFont="0" applyFill="0" applyBorder="0" applyAlignment="0" applyProtection="0"/>
    <xf numFmtId="164" fontId="8"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74" fontId="1" fillId="0" borderId="0"/>
    <xf numFmtId="164"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8" fillId="24" borderId="130" applyNumberFormat="0" applyFont="0" applyAlignment="0" applyProtection="0"/>
    <xf numFmtId="0" fontId="8" fillId="24" borderId="45" applyNumberFormat="0" applyFont="0" applyAlignment="0" applyProtection="0"/>
    <xf numFmtId="0" fontId="39" fillId="36" borderId="56" applyNumberFormat="0" applyAlignment="0" applyProtection="0"/>
    <xf numFmtId="0" fontId="39" fillId="36" borderId="76" applyNumberFormat="0" applyAlignment="0" applyProtection="0"/>
    <xf numFmtId="0" fontId="2" fillId="24" borderId="45" applyNumberFormat="0" applyFont="0" applyAlignment="0" applyProtection="0"/>
    <xf numFmtId="0" fontId="27" fillId="37" borderId="49" applyNumberFormat="0" applyAlignment="0" applyProtection="0"/>
    <xf numFmtId="43" fontId="1" fillId="0" borderId="0" applyFont="0" applyFill="0" applyBorder="0" applyAlignment="0" applyProtection="0"/>
    <xf numFmtId="0" fontId="27" fillId="37" borderId="74" applyNumberFormat="0" applyAlignment="0" applyProtection="0"/>
    <xf numFmtId="0" fontId="44" fillId="0" borderId="68" applyNumberFormat="0" applyFill="0" applyAlignment="0" applyProtection="0"/>
    <xf numFmtId="0" fontId="44" fillId="0" borderId="73" applyNumberFormat="0" applyFill="0" applyAlignment="0" applyProtection="0"/>
    <xf numFmtId="0" fontId="33" fillId="21" borderId="204" applyNumberFormat="0" applyAlignment="0" applyProtection="0"/>
    <xf numFmtId="0" fontId="33" fillId="27" borderId="54" applyNumberFormat="0" applyAlignment="0" applyProtection="0"/>
    <xf numFmtId="0" fontId="8" fillId="24" borderId="65" applyNumberFormat="0" applyFont="0" applyAlignment="0" applyProtection="0"/>
    <xf numFmtId="0" fontId="2" fillId="24" borderId="65" applyNumberFormat="0" applyFont="0" applyAlignment="0" applyProtection="0"/>
    <xf numFmtId="0" fontId="39" fillId="37" borderId="176" applyNumberFormat="0" applyAlignment="0" applyProtection="0"/>
    <xf numFmtId="0" fontId="39" fillId="36" borderId="71" applyNumberFormat="0" applyAlignment="0" applyProtection="0"/>
    <xf numFmtId="0" fontId="39" fillId="36" borderId="166" applyNumberFormat="0" applyAlignment="0" applyProtection="0"/>
    <xf numFmtId="0" fontId="39" fillId="36" borderId="136" applyNumberFormat="0" applyAlignment="0" applyProtection="0"/>
    <xf numFmtId="0" fontId="2" fillId="24" borderId="95" applyNumberFormat="0" applyFont="0" applyAlignment="0" applyProtection="0"/>
    <xf numFmtId="0" fontId="44" fillId="0" borderId="198" applyNumberFormat="0" applyFill="0" applyAlignment="0" applyProtection="0"/>
    <xf numFmtId="0" fontId="26" fillId="36" borderId="114" applyNumberFormat="0" applyAlignment="0" applyProtection="0"/>
    <xf numFmtId="0" fontId="39" fillId="36" borderId="136" applyNumberFormat="0" applyAlignment="0" applyProtection="0"/>
    <xf numFmtId="0" fontId="39" fillId="37" borderId="91" applyNumberFormat="0" applyAlignment="0" applyProtection="0"/>
    <xf numFmtId="0" fontId="33" fillId="27" borderId="49" applyNumberFormat="0" applyAlignment="0" applyProtection="0"/>
    <xf numFmtId="0" fontId="33" fillId="21" borderId="99" applyNumberFormat="0" applyAlignment="0" applyProtection="0"/>
    <xf numFmtId="0" fontId="33" fillId="27" borderId="114" applyNumberFormat="0" applyAlignment="0" applyProtection="0"/>
    <xf numFmtId="0" fontId="2" fillId="24" borderId="105" applyNumberFormat="0" applyFont="0" applyAlignment="0" applyProtection="0"/>
    <xf numFmtId="0" fontId="44" fillId="0" borderId="43" applyNumberFormat="0" applyFill="0" applyAlignment="0" applyProtection="0"/>
    <xf numFmtId="0" fontId="44" fillId="0" borderId="42" applyNumberFormat="0" applyFill="0" applyAlignment="0" applyProtection="0"/>
    <xf numFmtId="0" fontId="27" fillId="37" borderId="124" applyNumberFormat="0" applyAlignment="0" applyProtection="0"/>
    <xf numFmtId="43" fontId="1" fillId="0" borderId="0" applyFont="0" applyFill="0" applyBorder="0" applyAlignment="0" applyProtection="0"/>
    <xf numFmtId="0" fontId="33" fillId="27" borderId="64" applyNumberFormat="0" applyAlignment="0" applyProtection="0"/>
    <xf numFmtId="0" fontId="8" fillId="24" borderId="155" applyNumberFormat="0" applyFont="0" applyAlignment="0" applyProtection="0"/>
    <xf numFmtId="0" fontId="26" fillId="36" borderId="64" applyNumberFormat="0" applyAlignment="0" applyProtection="0"/>
    <xf numFmtId="0" fontId="8" fillId="24" borderId="85" applyNumberFormat="0" applyFont="0" applyAlignment="0" applyProtection="0"/>
    <xf numFmtId="0" fontId="44" fillId="0" borderId="67" applyNumberFormat="0" applyFill="0" applyAlignment="0" applyProtection="0"/>
    <xf numFmtId="0" fontId="8" fillId="24" borderId="95" applyNumberFormat="0" applyFont="0" applyAlignment="0" applyProtection="0"/>
    <xf numFmtId="43" fontId="1" fillId="0" borderId="0" applyFont="0" applyFill="0" applyBorder="0" applyAlignment="0" applyProtection="0"/>
    <xf numFmtId="0" fontId="39" fillId="36" borderId="41" applyNumberFormat="0" applyAlignment="0" applyProtection="0"/>
    <xf numFmtId="0" fontId="39" fillId="37" borderId="41" applyNumberFormat="0" applyAlignment="0" applyProtection="0"/>
    <xf numFmtId="0" fontId="8" fillId="24" borderId="145" applyNumberFormat="0" applyFont="0" applyAlignment="0" applyProtection="0"/>
    <xf numFmtId="0" fontId="39" fillId="37" borderId="211" applyNumberFormat="0" applyAlignment="0" applyProtection="0"/>
    <xf numFmtId="0" fontId="2" fillId="24" borderId="90" applyNumberFormat="0" applyFont="0" applyAlignment="0" applyProtection="0"/>
    <xf numFmtId="0" fontId="26" fillId="36" borderId="94" applyNumberFormat="0" applyAlignment="0" applyProtection="0"/>
    <xf numFmtId="0" fontId="39" fillId="36" borderId="41" applyNumberFormat="0" applyAlignment="0" applyProtection="0"/>
    <xf numFmtId="0" fontId="2" fillId="24" borderId="40" applyNumberFormat="0" applyFont="0" applyAlignment="0" applyProtection="0"/>
    <xf numFmtId="0" fontId="8" fillId="24" borderId="40" applyNumberFormat="0" applyFont="0" applyAlignment="0" applyProtection="0"/>
    <xf numFmtId="0" fontId="8" fillId="24" borderId="40" applyNumberFormat="0" applyFont="0" applyAlignment="0" applyProtection="0"/>
    <xf numFmtId="0" fontId="39" fillId="36" borderId="61" applyNumberFormat="0" applyAlignment="0" applyProtection="0"/>
    <xf numFmtId="0" fontId="2" fillId="24" borderId="60" applyNumberFormat="0" applyFont="0" applyAlignment="0" applyProtection="0"/>
    <xf numFmtId="0" fontId="8" fillId="24" borderId="60" applyNumberFormat="0" applyFont="0" applyAlignment="0" applyProtection="0"/>
    <xf numFmtId="0" fontId="8" fillId="24" borderId="60" applyNumberFormat="0" applyFont="0" applyAlignment="0" applyProtection="0"/>
    <xf numFmtId="0" fontId="39" fillId="36" borderId="166" applyNumberFormat="0" applyAlignment="0" applyProtection="0"/>
    <xf numFmtId="0" fontId="33" fillId="27" borderId="159" applyNumberFormat="0" applyAlignment="0" applyProtection="0"/>
    <xf numFmtId="0" fontId="44" fillId="0" borderId="53" applyNumberFormat="0" applyFill="0" applyAlignment="0" applyProtection="0"/>
    <xf numFmtId="0" fontId="44" fillId="0" borderId="52" applyNumberFormat="0" applyFill="0" applyAlignment="0" applyProtection="0"/>
    <xf numFmtId="0" fontId="33" fillId="27" borderId="144" applyNumberFormat="0" applyAlignment="0" applyProtection="0"/>
    <xf numFmtId="0" fontId="39" fillId="36" borderId="51" applyNumberFormat="0" applyAlignment="0" applyProtection="0"/>
    <xf numFmtId="0" fontId="39" fillId="37" borderId="51" applyNumberFormat="0" applyAlignment="0" applyProtection="0"/>
    <xf numFmtId="0" fontId="39" fillId="37" borderId="111" applyNumberFormat="0" applyAlignment="0" applyProtection="0"/>
    <xf numFmtId="0" fontId="39" fillId="36" borderId="51" applyNumberFormat="0" applyAlignment="0" applyProtection="0"/>
    <xf numFmtId="0" fontId="8" fillId="24" borderId="50" applyNumberFormat="0" applyFont="0" applyAlignment="0" applyProtection="0"/>
    <xf numFmtId="0" fontId="39" fillId="37" borderId="186" applyNumberFormat="0" applyAlignment="0" applyProtection="0"/>
    <xf numFmtId="0" fontId="39" fillId="36" borderId="141" applyNumberFormat="0" applyAlignment="0" applyProtection="0"/>
    <xf numFmtId="0" fontId="26" fillId="36" borderId="34" applyNumberFormat="0" applyAlignment="0" applyProtection="0"/>
    <xf numFmtId="0" fontId="27" fillId="37" borderId="34" applyNumberFormat="0" applyAlignment="0" applyProtection="0"/>
    <xf numFmtId="0" fontId="26" fillId="36" borderId="34" applyNumberFormat="0" applyAlignment="0" applyProtection="0"/>
    <xf numFmtId="0" fontId="33" fillId="21" borderId="164" applyNumberFormat="0" applyAlignment="0" applyProtection="0"/>
    <xf numFmtId="0" fontId="44" fillId="0" borderId="212" applyNumberFormat="0" applyFill="0" applyAlignment="0" applyProtection="0"/>
    <xf numFmtId="0" fontId="39" fillId="36" borderId="131" applyNumberFormat="0" applyAlignment="0" applyProtection="0"/>
    <xf numFmtId="0" fontId="39" fillId="37" borderId="96" applyNumberFormat="0" applyAlignment="0" applyProtection="0"/>
    <xf numFmtId="0" fontId="8" fillId="24" borderId="135" applyNumberFormat="0" applyFont="0" applyAlignment="0" applyProtection="0"/>
    <xf numFmtId="0" fontId="33" fillId="21" borderId="104" applyNumberFormat="0" applyAlignment="0" applyProtection="0"/>
    <xf numFmtId="0" fontId="39" fillId="36" borderId="81" applyNumberFormat="0" applyAlignment="0" applyProtection="0"/>
    <xf numFmtId="0" fontId="27" fillId="37" borderId="44" applyNumberFormat="0" applyAlignment="0" applyProtection="0"/>
    <xf numFmtId="0" fontId="26" fillId="36" borderId="44" applyNumberFormat="0" applyAlignment="0" applyProtection="0"/>
    <xf numFmtId="0" fontId="33" fillId="21" borderId="139" applyNumberFormat="0" applyAlignment="0" applyProtection="0"/>
    <xf numFmtId="0" fontId="39" fillId="36" borderId="131" applyNumberFormat="0" applyAlignment="0" applyProtection="0"/>
    <xf numFmtId="0" fontId="8" fillId="24" borderId="85" applyNumberFormat="0" applyFont="0" applyAlignment="0" applyProtection="0"/>
    <xf numFmtId="0" fontId="39" fillId="37" borderId="71" applyNumberFormat="0" applyAlignment="0" applyProtection="0"/>
    <xf numFmtId="0" fontId="33" fillId="27" borderId="34" applyNumberFormat="0" applyAlignment="0" applyProtection="0"/>
    <xf numFmtId="0" fontId="33" fillId="21" borderId="34" applyNumberFormat="0" applyAlignment="0" applyProtection="0"/>
    <xf numFmtId="0" fontId="8" fillId="24" borderId="70" applyNumberFormat="0" applyFont="0" applyAlignment="0" applyProtection="0"/>
    <xf numFmtId="0" fontId="8" fillId="24" borderId="70" applyNumberFormat="0" applyFont="0" applyAlignment="0" applyProtection="0"/>
    <xf numFmtId="0" fontId="44" fillId="0" borderId="162" applyNumberFormat="0" applyFill="0" applyAlignment="0" applyProtection="0"/>
    <xf numFmtId="0" fontId="44" fillId="0" borderId="83" applyNumberFormat="0" applyFill="0" applyAlignment="0" applyProtection="0"/>
    <xf numFmtId="0" fontId="27" fillId="37" borderId="89" applyNumberFormat="0" applyAlignment="0" applyProtection="0"/>
    <xf numFmtId="0" fontId="44" fillId="0" borderId="108" applyNumberFormat="0" applyFill="0" applyAlignment="0" applyProtection="0"/>
    <xf numFmtId="0" fontId="27" fillId="37" borderId="54" applyNumberFormat="0" applyAlignment="0" applyProtection="0"/>
    <xf numFmtId="0" fontId="33" fillId="21" borderId="44" applyNumberFormat="0" applyAlignment="0" applyProtection="0"/>
    <xf numFmtId="0" fontId="39" fillId="36" borderId="116" applyNumberFormat="0" applyAlignment="0" applyProtection="0"/>
    <xf numFmtId="0" fontId="39" fillId="37" borderId="161" applyNumberFormat="0" applyAlignment="0" applyProtection="0"/>
    <xf numFmtId="0" fontId="8" fillId="24" borderId="80" applyNumberFormat="0" applyFont="0" applyAlignment="0" applyProtection="0"/>
    <xf numFmtId="0" fontId="8" fillId="24" borderId="180" applyNumberFormat="0" applyFont="0" applyAlignment="0" applyProtection="0"/>
    <xf numFmtId="43" fontId="1" fillId="0" borderId="0" applyFont="0" applyFill="0" applyBorder="0" applyAlignment="0" applyProtection="0"/>
    <xf numFmtId="0" fontId="27" fillId="37" borderId="169" applyNumberFormat="0" applyAlignment="0" applyProtection="0"/>
    <xf numFmtId="0" fontId="33" fillId="21" borderId="34" applyNumberFormat="0" applyAlignment="0" applyProtection="0"/>
    <xf numFmtId="0" fontId="33" fillId="27" borderId="129" applyNumberFormat="0" applyAlignment="0" applyProtection="0"/>
    <xf numFmtId="0" fontId="39" fillId="36" borderId="111" applyNumberFormat="0" applyAlignment="0" applyProtection="0"/>
    <xf numFmtId="0" fontId="27" fillId="37" borderId="84" applyNumberFormat="0" applyAlignment="0" applyProtection="0"/>
    <xf numFmtId="0" fontId="2" fillId="24" borderId="155" applyNumberFormat="0" applyFont="0" applyAlignment="0" applyProtection="0"/>
    <xf numFmtId="43" fontId="1" fillId="0" borderId="0" applyFont="0" applyFill="0" applyBorder="0" applyAlignment="0" applyProtection="0"/>
    <xf numFmtId="0" fontId="39" fillId="37" borderId="121" applyNumberFormat="0" applyAlignment="0" applyProtection="0"/>
    <xf numFmtId="0" fontId="33" fillId="21" borderId="39" applyNumberFormat="0" applyAlignment="0" applyProtection="0"/>
    <xf numFmtId="0" fontId="33" fillId="21" borderId="59" applyNumberFormat="0" applyAlignment="0" applyProtection="0"/>
    <xf numFmtId="0" fontId="2" fillId="24" borderId="135" applyNumberFormat="0" applyFont="0" applyAlignment="0" applyProtection="0"/>
    <xf numFmtId="0" fontId="33" fillId="21" borderId="149" applyNumberFormat="0" applyAlignment="0" applyProtection="0"/>
    <xf numFmtId="0" fontId="33" fillId="27" borderId="59" applyNumberFormat="0" applyAlignment="0" applyProtection="0"/>
    <xf numFmtId="0" fontId="33" fillId="21" borderId="49" applyNumberFormat="0" applyAlignment="0" applyProtection="0"/>
    <xf numFmtId="0" fontId="33" fillId="27" borderId="184" applyNumberFormat="0" applyAlignment="0" applyProtection="0"/>
    <xf numFmtId="43" fontId="1" fillId="0" borderId="0" applyFont="0" applyFill="0" applyBorder="0" applyAlignment="0" applyProtection="0"/>
    <xf numFmtId="0" fontId="26" fillId="36" borderId="79" applyNumberFormat="0" applyAlignment="0" applyProtection="0"/>
    <xf numFmtId="0" fontId="27" fillId="37" borderId="79" applyNumberFormat="0" applyAlignment="0" applyProtection="0"/>
    <xf numFmtId="0" fontId="33" fillId="21" borderId="39" applyNumberFormat="0" applyAlignment="0" applyProtection="0"/>
    <xf numFmtId="0" fontId="33" fillId="27" borderId="39" applyNumberFormat="0" applyAlignment="0" applyProtection="0"/>
    <xf numFmtId="0" fontId="33" fillId="21" borderId="119" applyNumberFormat="0" applyAlignment="0" applyProtection="0"/>
    <xf numFmtId="0" fontId="8" fillId="24" borderId="95" applyNumberFormat="0" applyFont="0" applyAlignment="0" applyProtection="0"/>
    <xf numFmtId="43" fontId="1" fillId="0" borderId="0" applyFont="0" applyFill="0" applyBorder="0" applyAlignment="0" applyProtection="0"/>
    <xf numFmtId="0" fontId="26" fillId="36" borderId="69" applyNumberFormat="0" applyAlignment="0" applyProtection="0"/>
    <xf numFmtId="0" fontId="2" fillId="24" borderId="110" applyNumberFormat="0" applyFont="0" applyAlignment="0" applyProtection="0"/>
    <xf numFmtId="0" fontId="44" fillId="0" borderId="167" applyNumberFormat="0" applyFill="0" applyAlignment="0" applyProtection="0"/>
    <xf numFmtId="0" fontId="39" fillId="36" borderId="171" applyNumberFormat="0" applyAlignment="0" applyProtection="0"/>
    <xf numFmtId="0" fontId="26" fillId="36" borderId="59" applyNumberFormat="0" applyAlignment="0" applyProtection="0"/>
    <xf numFmtId="0" fontId="26" fillId="36" borderId="49" applyNumberFormat="0" applyAlignment="0" applyProtection="0"/>
    <xf numFmtId="0" fontId="26" fillId="36" borderId="59" applyNumberFormat="0" applyAlignment="0" applyProtection="0"/>
    <xf numFmtId="0" fontId="39" fillId="36" borderId="86" applyNumberFormat="0" applyAlignment="0" applyProtection="0"/>
    <xf numFmtId="0" fontId="39" fillId="36" borderId="161" applyNumberFormat="0" applyAlignment="0" applyProtection="0"/>
    <xf numFmtId="0" fontId="39" fillId="36" borderId="76" applyNumberFormat="0" applyAlignment="0" applyProtection="0"/>
    <xf numFmtId="0" fontId="8" fillId="24" borderId="110" applyNumberFormat="0" applyFont="0" applyAlignment="0" applyProtection="0"/>
    <xf numFmtId="0" fontId="8" fillId="24" borderId="65" applyNumberFormat="0" applyFont="0" applyAlignment="0" applyProtection="0"/>
    <xf numFmtId="0" fontId="26" fillId="36" borderId="39" applyNumberFormat="0" applyAlignment="0" applyProtection="0"/>
    <xf numFmtId="0" fontId="27" fillId="37" borderId="39" applyNumberFormat="0" applyAlignment="0" applyProtection="0"/>
    <xf numFmtId="0" fontId="39" fillId="36" borderId="66" applyNumberFormat="0" applyAlignment="0" applyProtection="0"/>
    <xf numFmtId="0" fontId="27" fillId="37" borderId="99" applyNumberFormat="0" applyAlignment="0" applyProtection="0"/>
    <xf numFmtId="0" fontId="33" fillId="21" borderId="79" applyNumberFormat="0" applyAlignment="0" applyProtection="0"/>
    <xf numFmtId="0" fontId="33" fillId="27" borderId="194" applyNumberFormat="0" applyAlignment="0" applyProtection="0"/>
    <xf numFmtId="0" fontId="44" fillId="0" borderId="87" applyNumberFormat="0" applyFill="0" applyAlignment="0" applyProtection="0"/>
    <xf numFmtId="0" fontId="44" fillId="0" borderId="88" applyNumberFormat="0" applyFill="0" applyAlignment="0" applyProtection="0"/>
    <xf numFmtId="0" fontId="44" fillId="0" borderId="77" applyNumberFormat="0" applyFill="0" applyAlignment="0" applyProtection="0"/>
    <xf numFmtId="0" fontId="27" fillId="37" borderId="159" applyNumberFormat="0" applyAlignment="0" applyProtection="0"/>
    <xf numFmtId="0" fontId="44" fillId="0" borderId="58" applyNumberFormat="0" applyFill="0" applyAlignment="0" applyProtection="0"/>
    <xf numFmtId="0" fontId="8" fillId="24" borderId="45" applyNumberFormat="0" applyFont="0" applyAlignment="0" applyProtection="0"/>
    <xf numFmtId="0" fontId="39" fillId="36" borderId="46" applyNumberFormat="0" applyAlignment="0" applyProtection="0"/>
    <xf numFmtId="0" fontId="39" fillId="37" borderId="151" applyNumberFormat="0" applyAlignment="0" applyProtection="0"/>
    <xf numFmtId="0" fontId="39" fillId="37" borderId="46" applyNumberFormat="0" applyAlignment="0" applyProtection="0"/>
    <xf numFmtId="0" fontId="39" fillId="36" borderId="46" applyNumberFormat="0" applyAlignment="0" applyProtection="0"/>
    <xf numFmtId="43" fontId="1" fillId="0" borderId="0" applyFont="0" applyFill="0" applyBorder="0" applyAlignment="0" applyProtection="0"/>
    <xf numFmtId="0" fontId="26" fillId="36" borderId="54" applyNumberFormat="0" applyAlignment="0" applyProtection="0"/>
    <xf numFmtId="0" fontId="44" fillId="0" borderId="113" applyNumberFormat="0" applyFill="0" applyAlignment="0" applyProtection="0"/>
    <xf numFmtId="0" fontId="39" fillId="36" borderId="71" applyNumberFormat="0" applyAlignment="0" applyProtection="0"/>
    <xf numFmtId="0" fontId="39" fillId="36" borderId="126" applyNumberFormat="0" applyAlignment="0" applyProtection="0"/>
    <xf numFmtId="0" fontId="8" fillId="24" borderId="160" applyNumberFormat="0" applyFont="0" applyAlignment="0" applyProtection="0"/>
    <xf numFmtId="43" fontId="1" fillId="0" borderId="0" applyFont="0" applyFill="0" applyBorder="0" applyAlignment="0" applyProtection="0"/>
    <xf numFmtId="0" fontId="26" fillId="36" borderId="99" applyNumberFormat="0" applyAlignment="0" applyProtection="0"/>
    <xf numFmtId="0" fontId="8" fillId="24" borderId="155" applyNumberFormat="0" applyFont="0" applyAlignment="0" applyProtection="0"/>
    <xf numFmtId="0" fontId="44" fillId="0" borderId="47" applyNumberFormat="0" applyFill="0" applyAlignment="0" applyProtection="0"/>
    <xf numFmtId="0" fontId="44" fillId="0" borderId="48" applyNumberFormat="0" applyFill="0" applyAlignment="0" applyProtection="0"/>
    <xf numFmtId="0" fontId="33" fillId="27" borderId="79" applyNumberFormat="0" applyAlignment="0" applyProtection="0"/>
    <xf numFmtId="0" fontId="39" fillId="36" borderId="66"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44" fillId="0" borderId="93" applyNumberFormat="0" applyFill="0" applyAlignment="0" applyProtection="0"/>
    <xf numFmtId="0" fontId="8" fillId="24" borderId="35" applyNumberFormat="0" applyFont="0" applyAlignment="0" applyProtection="0"/>
    <xf numFmtId="0" fontId="8" fillId="24" borderId="35" applyNumberFormat="0" applyFont="0" applyAlignment="0" applyProtection="0"/>
    <xf numFmtId="0" fontId="2" fillId="24" borderId="35" applyNumberFormat="0" applyFont="0" applyAlignment="0" applyProtection="0"/>
    <xf numFmtId="0" fontId="39" fillId="36" borderId="36" applyNumberFormat="0" applyAlignment="0" applyProtection="0"/>
    <xf numFmtId="0" fontId="2" fillId="24" borderId="55" applyNumberFormat="0" applyFont="0" applyAlignment="0" applyProtection="0"/>
    <xf numFmtId="0" fontId="44" fillId="0" borderId="82" applyNumberFormat="0" applyFill="0" applyAlignment="0" applyProtection="0"/>
    <xf numFmtId="0" fontId="44" fillId="0" borderId="137" applyNumberFormat="0" applyFill="0" applyAlignment="0" applyProtection="0"/>
    <xf numFmtId="0" fontId="33" fillId="21" borderId="94" applyNumberFormat="0" applyAlignment="0" applyProtection="0"/>
    <xf numFmtId="0" fontId="39" fillId="37" borderId="36" applyNumberFormat="0" applyAlignment="0" applyProtection="0"/>
    <xf numFmtId="0" fontId="39" fillId="36" borderId="36" applyNumberFormat="0" applyAlignment="0" applyProtection="0"/>
    <xf numFmtId="43" fontId="1" fillId="0" borderId="0" applyFont="0" applyFill="0" applyBorder="0" applyAlignment="0" applyProtection="0"/>
    <xf numFmtId="0" fontId="2" fillId="24" borderId="50" applyNumberFormat="0" applyFont="0" applyAlignment="0" applyProtection="0"/>
    <xf numFmtId="0" fontId="44" fillId="0" borderId="63" applyNumberFormat="0" applyFill="0" applyAlignment="0" applyProtection="0"/>
    <xf numFmtId="0" fontId="27" fillId="37" borderId="94" applyNumberFormat="0" applyAlignment="0" applyProtection="0"/>
    <xf numFmtId="0" fontId="8" fillId="24" borderId="50" applyNumberFormat="0" applyFont="0" applyAlignment="0" applyProtection="0"/>
    <xf numFmtId="0" fontId="44" fillId="0" borderId="72" applyNumberFormat="0" applyFill="0" applyAlignment="0" applyProtection="0"/>
    <xf numFmtId="0" fontId="8" fillId="24" borderId="105" applyNumberFormat="0" applyFont="0" applyAlignment="0" applyProtection="0"/>
    <xf numFmtId="0" fontId="27" fillId="37" borderId="154" applyNumberFormat="0" applyAlignment="0" applyProtection="0"/>
    <xf numFmtId="0" fontId="26" fillId="36" borderId="74" applyNumberFormat="0" applyAlignment="0" applyProtection="0"/>
    <xf numFmtId="0" fontId="44" fillId="0" borderId="37" applyNumberFormat="0" applyFill="0" applyAlignment="0" applyProtection="0"/>
    <xf numFmtId="0" fontId="44" fillId="0" borderId="38" applyNumberFormat="0" applyFill="0" applyAlignment="0" applyProtection="0"/>
    <xf numFmtId="0" fontId="8" fillId="24" borderId="75" applyNumberFormat="0" applyFont="0" applyAlignment="0" applyProtection="0"/>
    <xf numFmtId="0" fontId="39" fillId="37" borderId="66" applyNumberFormat="0" applyAlignment="0" applyProtection="0"/>
    <xf numFmtId="0" fontId="8" fillId="24" borderId="55" applyNumberFormat="0" applyFont="0" applyAlignment="0" applyProtection="0"/>
    <xf numFmtId="0" fontId="33" fillId="27" borderId="44" applyNumberFormat="0" applyAlignment="0" applyProtection="0"/>
    <xf numFmtId="0" fontId="39" fillId="36" borderId="106" applyNumberFormat="0" applyAlignment="0" applyProtection="0"/>
    <xf numFmtId="0" fontId="39" fillId="37" borderId="56" applyNumberFormat="0" applyAlignment="0" applyProtection="0"/>
    <xf numFmtId="0" fontId="8" fillId="24" borderId="135" applyNumberFormat="0" applyFont="0" applyAlignment="0" applyProtection="0"/>
    <xf numFmtId="0" fontId="33" fillId="21" borderId="94" applyNumberFormat="0" applyAlignment="0" applyProtection="0"/>
    <xf numFmtId="0" fontId="27" fillId="37" borderId="64" applyNumberFormat="0" applyAlignment="0" applyProtection="0"/>
    <xf numFmtId="0" fontId="44" fillId="0" borderId="57" applyNumberFormat="0" applyFill="0" applyAlignment="0" applyProtection="0"/>
    <xf numFmtId="0" fontId="33" fillId="27" borderId="204" applyNumberFormat="0" applyAlignment="0" applyProtection="0"/>
    <xf numFmtId="0" fontId="39" fillId="36" borderId="61" applyNumberFormat="0" applyAlignment="0" applyProtection="0"/>
    <xf numFmtId="0" fontId="39" fillId="37" borderId="61" applyNumberFormat="0" applyAlignment="0" applyProtection="0"/>
    <xf numFmtId="0" fontId="26" fillId="36" borderId="119" applyNumberFormat="0" applyAlignment="0" applyProtection="0"/>
    <xf numFmtId="0" fontId="26" fillId="36" borderId="64" applyNumberFormat="0" applyAlignment="0" applyProtection="0"/>
    <xf numFmtId="0" fontId="33" fillId="21" borderId="69" applyNumberFormat="0" applyAlignment="0" applyProtection="0"/>
    <xf numFmtId="0" fontId="2" fillId="24" borderId="70" applyNumberFormat="0" applyFont="0" applyAlignment="0" applyProtection="0"/>
    <xf numFmtId="0" fontId="33" fillId="21" borderId="159" applyNumberFormat="0" applyAlignment="0" applyProtection="0"/>
    <xf numFmtId="0" fontId="33" fillId="21" borderId="44" applyNumberFormat="0" applyAlignment="0" applyProtection="0"/>
    <xf numFmtId="0" fontId="26" fillId="36" borderId="39" applyNumberFormat="0" applyAlignment="0" applyProtection="0"/>
    <xf numFmtId="0" fontId="39" fillId="36" borderId="106" applyNumberFormat="0" applyAlignment="0" applyProtection="0"/>
    <xf numFmtId="0" fontId="8" fillId="24" borderId="55" applyNumberFormat="0" applyFont="0" applyAlignment="0" applyProtection="0"/>
    <xf numFmtId="0" fontId="26" fillId="36" borderId="74" applyNumberFormat="0" applyAlignment="0" applyProtection="0"/>
    <xf numFmtId="0" fontId="33" fillId="21" borderId="54" applyNumberFormat="0" applyAlignment="0" applyProtection="0"/>
    <xf numFmtId="0" fontId="33" fillId="21" borderId="69" applyNumberFormat="0" applyAlignment="0" applyProtection="0"/>
    <xf numFmtId="0" fontId="39" fillId="36" borderId="96" applyNumberFormat="0" applyAlignment="0" applyProtection="0"/>
    <xf numFmtId="0" fontId="39" fillId="36" borderId="56" applyNumberFormat="0" applyAlignment="0" applyProtection="0"/>
    <xf numFmtId="166" fontId="1" fillId="0" borderId="0" applyFont="0" applyFill="0" applyBorder="0" applyAlignment="0" applyProtection="0"/>
    <xf numFmtId="0" fontId="44" fillId="0" borderId="103" applyNumberFormat="0" applyFill="0" applyAlignment="0" applyProtection="0"/>
    <xf numFmtId="0" fontId="44" fillId="0" borderId="128" applyNumberFormat="0" applyFill="0" applyAlignment="0" applyProtection="0"/>
    <xf numFmtId="0" fontId="27" fillId="37" borderId="119" applyNumberFormat="0" applyAlignment="0" applyProtection="0"/>
    <xf numFmtId="0" fontId="26" fillId="36" borderId="204" applyNumberFormat="0" applyAlignment="0" applyProtection="0"/>
    <xf numFmtId="0" fontId="33" fillId="21" borderId="49" applyNumberFormat="0" applyAlignment="0" applyProtection="0"/>
    <xf numFmtId="0" fontId="33" fillId="27" borderId="104" applyNumberFormat="0" applyAlignment="0" applyProtection="0"/>
    <xf numFmtId="0" fontId="39" fillId="37" borderId="81" applyNumberFormat="0" applyAlignment="0" applyProtection="0"/>
    <xf numFmtId="0" fontId="26" fillId="36" borderId="44" applyNumberFormat="0" applyAlignment="0" applyProtection="0"/>
    <xf numFmtId="0" fontId="39" fillId="36" borderId="81" applyNumberFormat="0" applyAlignment="0" applyProtection="0"/>
    <xf numFmtId="43" fontId="1" fillId="0" borderId="0" applyFont="0" applyFill="0" applyBorder="0" applyAlignment="0" applyProtection="0"/>
    <xf numFmtId="0" fontId="33" fillId="21" borderId="74" applyNumberFormat="0" applyAlignment="0" applyProtection="0"/>
    <xf numFmtId="0" fontId="27" fillId="37" borderId="69" applyNumberFormat="0" applyAlignment="0" applyProtection="0"/>
    <xf numFmtId="0" fontId="44" fillId="0" borderId="62" applyNumberFormat="0" applyFill="0" applyAlignment="0" applyProtection="0"/>
    <xf numFmtId="166" fontId="1" fillId="0" borderId="0" applyFont="0" applyFill="0" applyBorder="0" applyAlignment="0" applyProtection="0"/>
    <xf numFmtId="0" fontId="39" fillId="37" borderId="156" applyNumberFormat="0" applyAlignment="0" applyProtection="0"/>
    <xf numFmtId="0" fontId="26" fillId="36" borderId="144" applyNumberFormat="0" applyAlignment="0" applyProtection="0"/>
    <xf numFmtId="0" fontId="39" fillId="36" borderId="151" applyNumberFormat="0" applyAlignment="0" applyProtection="0"/>
    <xf numFmtId="0" fontId="8" fillId="24" borderId="100" applyNumberFormat="0" applyFont="0" applyAlignment="0" applyProtection="0"/>
    <xf numFmtId="0" fontId="8" fillId="24" borderId="140" applyNumberFormat="0" applyFont="0" applyAlignment="0" applyProtection="0"/>
    <xf numFmtId="0" fontId="26" fillId="36" borderId="89" applyNumberFormat="0" applyAlignment="0" applyProtection="0"/>
    <xf numFmtId="0" fontId="26" fillId="36" borderId="49" applyNumberFormat="0" applyAlignment="0" applyProtection="0"/>
    <xf numFmtId="0" fontId="33" fillId="27" borderId="69" applyNumberFormat="0" applyAlignment="0" applyProtection="0"/>
    <xf numFmtId="43" fontId="1" fillId="0" borderId="0" applyFont="0" applyFill="0" applyBorder="0" applyAlignment="0" applyProtection="0"/>
    <xf numFmtId="0" fontId="39" fillId="36" borderId="101" applyNumberFormat="0" applyAlignment="0" applyProtection="0"/>
    <xf numFmtId="0" fontId="2" fillId="24" borderId="80" applyNumberFormat="0" applyFont="0" applyAlignment="0" applyProtection="0"/>
    <xf numFmtId="0" fontId="44" fillId="0" borderId="163" applyNumberFormat="0" applyFill="0" applyAlignment="0" applyProtection="0"/>
    <xf numFmtId="0" fontId="26" fillId="36" borderId="134" applyNumberFormat="0" applyAlignment="0" applyProtection="0"/>
    <xf numFmtId="166" fontId="1" fillId="0" borderId="0" applyFont="0" applyFill="0" applyBorder="0" applyAlignment="0" applyProtection="0"/>
    <xf numFmtId="0" fontId="27" fillId="37" borderId="59" applyNumberFormat="0" applyAlignment="0" applyProtection="0"/>
    <xf numFmtId="0" fontId="2" fillId="24" borderId="75" applyNumberFormat="0" applyFont="0" applyAlignment="0" applyProtection="0"/>
    <xf numFmtId="0" fontId="8" fillId="24" borderId="185" applyNumberFormat="0" applyFont="0" applyAlignment="0" applyProtection="0"/>
    <xf numFmtId="0" fontId="33" fillId="27" borderId="74" applyNumberFormat="0" applyAlignment="0" applyProtection="0"/>
    <xf numFmtId="0" fontId="33" fillId="21" borderId="149" applyNumberFormat="0" applyAlignment="0" applyProtection="0"/>
    <xf numFmtId="0" fontId="44" fillId="0" borderId="98" applyNumberFormat="0" applyFill="0" applyAlignment="0" applyProtection="0"/>
    <xf numFmtId="0" fontId="8" fillId="24" borderId="90" applyNumberFormat="0" applyFont="0" applyAlignment="0" applyProtection="0"/>
    <xf numFmtId="0" fontId="33" fillId="21" borderId="54" applyNumberFormat="0" applyAlignment="0" applyProtection="0"/>
    <xf numFmtId="0" fontId="8" fillId="24" borderId="120" applyNumberFormat="0" applyFont="0" applyAlignment="0" applyProtection="0"/>
    <xf numFmtId="0" fontId="33" fillId="21" borderId="179" applyNumberFormat="0" applyAlignment="0" applyProtection="0"/>
    <xf numFmtId="0" fontId="27" fillId="37" borderId="109" applyNumberFormat="0" applyAlignment="0" applyProtection="0"/>
    <xf numFmtId="0" fontId="44" fillId="0" borderId="102" applyNumberFormat="0" applyFill="0" applyAlignment="0" applyProtection="0"/>
    <xf numFmtId="166" fontId="1" fillId="0" borderId="0" applyFont="0" applyFill="0" applyBorder="0" applyAlignment="0" applyProtection="0"/>
    <xf numFmtId="0" fontId="33" fillId="27" borderId="89" applyNumberFormat="0" applyAlignment="0" applyProtection="0"/>
    <xf numFmtId="0" fontId="44" fillId="0" borderId="97" applyNumberFormat="0" applyFill="0" applyAlignment="0" applyProtection="0"/>
    <xf numFmtId="0" fontId="8" fillId="24" borderId="100" applyNumberFormat="0" applyFont="0" applyAlignment="0" applyProtection="0"/>
    <xf numFmtId="0" fontId="26" fillId="36" borderId="109" applyNumberFormat="0" applyAlignment="0" applyProtection="0"/>
    <xf numFmtId="0" fontId="33" fillId="27" borderId="189" applyNumberFormat="0" applyAlignment="0" applyProtection="0"/>
    <xf numFmtId="0" fontId="8" fillId="24" borderId="190" applyNumberFormat="0" applyFont="0" applyAlignment="0" applyProtection="0"/>
    <xf numFmtId="0" fontId="44" fillId="0" borderId="157" applyNumberFormat="0" applyFill="0" applyAlignment="0" applyProtection="0"/>
    <xf numFmtId="0" fontId="44" fillId="0" borderId="152" applyNumberFormat="0" applyFill="0" applyAlignment="0" applyProtection="0"/>
    <xf numFmtId="43" fontId="1" fillId="0" borderId="0" applyFont="0" applyFill="0" applyBorder="0" applyAlignment="0" applyProtection="0"/>
    <xf numFmtId="0" fontId="39" fillId="36" borderId="91" applyNumberFormat="0" applyAlignment="0" applyProtection="0"/>
    <xf numFmtId="0" fontId="44" fillId="0" borderId="92" applyNumberFormat="0" applyFill="0" applyAlignment="0" applyProtection="0"/>
    <xf numFmtId="0" fontId="2" fillId="24" borderId="205" applyNumberFormat="0" applyFont="0" applyAlignment="0" applyProtection="0"/>
    <xf numFmtId="0" fontId="2" fillId="24" borderId="175" applyNumberFormat="0" applyFont="0" applyAlignment="0" applyProtection="0"/>
    <xf numFmtId="0" fontId="33" fillId="21" borderId="59" applyNumberFormat="0" applyAlignment="0" applyProtection="0"/>
    <xf numFmtId="0" fontId="8" fillId="24" borderId="160" applyNumberFormat="0" applyFont="0" applyAlignment="0" applyProtection="0"/>
    <xf numFmtId="0" fontId="26" fillId="36" borderId="89" applyNumberFormat="0" applyAlignment="0" applyProtection="0"/>
    <xf numFmtId="0" fontId="39" fillId="37" borderId="76" applyNumberFormat="0" applyAlignment="0" applyProtection="0"/>
    <xf numFmtId="0" fontId="33" fillId="21" borderId="84" applyNumberFormat="0" applyAlignment="0" applyProtection="0"/>
    <xf numFmtId="0" fontId="33" fillId="21" borderId="64" applyNumberFormat="0" applyAlignment="0" applyProtection="0"/>
    <xf numFmtId="0" fontId="27" fillId="37" borderId="144" applyNumberFormat="0" applyAlignment="0" applyProtection="0"/>
    <xf numFmtId="43" fontId="1" fillId="0" borderId="0" applyFont="0" applyFill="0" applyBorder="0" applyAlignment="0" applyProtection="0"/>
    <xf numFmtId="166" fontId="1" fillId="0" borderId="0" applyFont="0" applyFill="0" applyBorder="0" applyAlignment="0" applyProtection="0"/>
    <xf numFmtId="0" fontId="26" fillId="36" borderId="104" applyNumberFormat="0" applyAlignment="0" applyProtection="0"/>
    <xf numFmtId="0" fontId="2" fillId="24" borderId="115" applyNumberFormat="0" applyFont="0" applyAlignment="0" applyProtection="0"/>
    <xf numFmtId="0" fontId="26" fillId="36" borderId="124" applyNumberFormat="0" applyAlignment="0" applyProtection="0"/>
    <xf numFmtId="0" fontId="39" fillId="36" borderId="201" applyNumberFormat="0" applyAlignment="0" applyProtection="0"/>
    <xf numFmtId="43" fontId="1" fillId="0" borderId="0" applyFont="0" applyFill="0" applyBorder="0" applyAlignment="0" applyProtection="0"/>
    <xf numFmtId="0" fontId="33" fillId="21" borderId="174" applyNumberFormat="0" applyAlignment="0" applyProtection="0"/>
    <xf numFmtId="0" fontId="44" fillId="0" borderId="127" applyNumberFormat="0" applyFill="0" applyAlignment="0" applyProtection="0"/>
    <xf numFmtId="43" fontId="1" fillId="0" borderId="0" applyFont="0" applyFill="0" applyBorder="0" applyAlignment="0" applyProtection="0"/>
    <xf numFmtId="0" fontId="33" fillId="21" borderId="64" applyNumberFormat="0" applyAlignment="0" applyProtection="0"/>
    <xf numFmtId="0" fontId="8" fillId="24" borderId="80" applyNumberFormat="0" applyFont="0" applyAlignment="0" applyProtection="0"/>
    <xf numFmtId="0" fontId="26" fillId="36" borderId="84" applyNumberFormat="0" applyAlignment="0" applyProtection="0"/>
    <xf numFmtId="0" fontId="39" fillId="37" borderId="181" applyNumberFormat="0" applyAlignment="0" applyProtection="0"/>
    <xf numFmtId="0" fontId="33" fillId="27" borderId="99" applyNumberFormat="0" applyAlignment="0" applyProtection="0"/>
    <xf numFmtId="166" fontId="1" fillId="0" borderId="0" applyFont="0" applyFill="0" applyBorder="0" applyAlignment="0" applyProtection="0"/>
    <xf numFmtId="0" fontId="44" fillId="0" borderId="78" applyNumberFormat="0" applyFill="0" applyAlignment="0" applyProtection="0"/>
    <xf numFmtId="0" fontId="33" fillId="27" borderId="84" applyNumberFormat="0" applyAlignment="0" applyProtection="0"/>
    <xf numFmtId="0" fontId="44" fillId="0" borderId="147" applyNumberFormat="0" applyFill="0" applyAlignment="0" applyProtection="0"/>
    <xf numFmtId="0" fontId="44" fillId="0" borderId="183" applyNumberFormat="0" applyFill="0" applyAlignment="0" applyProtection="0"/>
    <xf numFmtId="0" fontId="39" fillId="36" borderId="91" applyNumberFormat="0" applyAlignment="0" applyProtection="0"/>
    <xf numFmtId="0" fontId="39" fillId="36" borderId="116" applyNumberFormat="0" applyAlignment="0" applyProtection="0"/>
    <xf numFmtId="0" fontId="26" fillId="36" borderId="69" applyNumberFormat="0" applyAlignment="0" applyProtection="0"/>
    <xf numFmtId="43" fontId="1" fillId="0" borderId="0" applyFont="0" applyFill="0" applyBorder="0" applyAlignment="0" applyProtection="0"/>
    <xf numFmtId="0" fontId="39" fillId="37" borderId="86" applyNumberFormat="0" applyAlignment="0" applyProtection="0"/>
    <xf numFmtId="0" fontId="33" fillId="27" borderId="209" applyNumberFormat="0" applyAlignment="0" applyProtection="0"/>
    <xf numFmtId="0" fontId="33" fillId="27" borderId="94" applyNumberFormat="0" applyAlignment="0" applyProtection="0"/>
    <xf numFmtId="0" fontId="8" fillId="24" borderId="75" applyNumberFormat="0" applyFont="0" applyAlignment="0" applyProtection="0"/>
    <xf numFmtId="0" fontId="39" fillId="36" borderId="86" applyNumberFormat="0" applyAlignment="0" applyProtection="0"/>
    <xf numFmtId="166" fontId="1" fillId="0" borderId="0" applyFont="0" applyFill="0" applyBorder="0" applyAlignment="0" applyProtection="0"/>
    <xf numFmtId="43" fontId="1" fillId="0" borderId="0" applyFont="0" applyFill="0" applyBorder="0" applyAlignment="0" applyProtection="0"/>
    <xf numFmtId="0" fontId="2" fillId="24" borderId="210" applyNumberFormat="0" applyFont="0" applyAlignment="0" applyProtection="0"/>
    <xf numFmtId="0" fontId="2" fillId="24" borderId="85" applyNumberFormat="0" applyFont="0" applyAlignment="0" applyProtection="0"/>
    <xf numFmtId="0" fontId="33" fillId="27" borderId="119" applyNumberFormat="0" applyAlignment="0" applyProtection="0"/>
    <xf numFmtId="0" fontId="8" fillId="24" borderId="125" applyNumberFormat="0" applyFont="0" applyAlignment="0" applyProtection="0"/>
    <xf numFmtId="0" fontId="33" fillId="21" borderId="74" applyNumberFormat="0" applyAlignment="0" applyProtection="0"/>
    <xf numFmtId="0" fontId="8" fillId="24" borderId="120" applyNumberFormat="0" applyFont="0" applyAlignment="0" applyProtection="0"/>
    <xf numFmtId="0" fontId="2" fillId="24" borderId="130" applyNumberFormat="0" applyFont="0" applyAlignment="0" applyProtection="0"/>
    <xf numFmtId="0" fontId="44" fillId="0" borderId="197" applyNumberFormat="0" applyFill="0" applyAlignment="0" applyProtection="0"/>
    <xf numFmtId="0" fontId="33" fillId="21" borderId="89" applyNumberFormat="0" applyAlignment="0" applyProtection="0"/>
    <xf numFmtId="0" fontId="39" fillId="36" borderId="146" applyNumberFormat="0" applyAlignment="0" applyProtection="0"/>
    <xf numFmtId="0" fontId="8" fillId="24" borderId="105" applyNumberFormat="0" applyFont="0" applyAlignment="0" applyProtection="0"/>
    <xf numFmtId="0" fontId="39" fillId="37" borderId="206" applyNumberFormat="0" applyAlignment="0" applyProtection="0"/>
    <xf numFmtId="166" fontId="1" fillId="0" borderId="0" applyFont="0" applyFill="0" applyBorder="0" applyAlignment="0" applyProtection="0"/>
    <xf numFmtId="0" fontId="44" fillId="0" borderId="133" applyNumberFormat="0" applyFill="0" applyAlignment="0" applyProtection="0"/>
    <xf numFmtId="0" fontId="44" fillId="0" borderId="143" applyNumberFormat="0" applyFill="0" applyAlignment="0" applyProtection="0"/>
    <xf numFmtId="0" fontId="44" fillId="0" borderId="107" applyNumberFormat="0" applyFill="0" applyAlignment="0" applyProtection="0"/>
    <xf numFmtId="0" fontId="26" fillId="36" borderId="139" applyNumberFormat="0" applyAlignment="0" applyProtection="0"/>
    <xf numFmtId="0" fontId="44" fillId="0" borderId="142" applyNumberFormat="0" applyFill="0" applyAlignment="0" applyProtection="0"/>
    <xf numFmtId="0" fontId="33" fillId="21" borderId="84" applyNumberFormat="0" applyAlignment="0" applyProtection="0"/>
    <xf numFmtId="0" fontId="39" fillId="36" borderId="96" applyNumberFormat="0" applyAlignment="0" applyProtection="0"/>
    <xf numFmtId="0" fontId="26" fillId="36" borderId="79" applyNumberFormat="0" applyAlignment="0" applyProtection="0"/>
    <xf numFmtId="0" fontId="8" fillId="24" borderId="125" applyNumberFormat="0" applyFont="0" applyAlignment="0" applyProtection="0"/>
    <xf numFmtId="0" fontId="44" fillId="0" borderId="123" applyNumberFormat="0" applyFill="0" applyAlignment="0" applyProtection="0"/>
    <xf numFmtId="0" fontId="8" fillId="24" borderId="165" applyNumberFormat="0" applyFont="0" applyAlignment="0" applyProtection="0"/>
    <xf numFmtId="0" fontId="33" fillId="21" borderId="129" applyNumberFormat="0" applyAlignment="0" applyProtection="0"/>
    <xf numFmtId="0" fontId="39" fillId="36" borderId="206" applyNumberFormat="0" applyAlignment="0" applyProtection="0"/>
    <xf numFmtId="166" fontId="1" fillId="0" borderId="0" applyFont="0" applyFill="0" applyBorder="0" applyAlignment="0" applyProtection="0"/>
    <xf numFmtId="0" fontId="2" fillId="24" borderId="145" applyNumberFormat="0" applyFont="0" applyAlignment="0" applyProtection="0"/>
    <xf numFmtId="0" fontId="39" fillId="37" borderId="106" applyNumberFormat="0" applyAlignment="0" applyProtection="0"/>
    <xf numFmtId="0" fontId="33" fillId="21" borderId="109" applyNumberFormat="0" applyAlignment="0" applyProtection="0"/>
    <xf numFmtId="0" fontId="44" fillId="0" borderId="112" applyNumberFormat="0" applyFill="0" applyAlignment="0" applyProtection="0"/>
    <xf numFmtId="0" fontId="8" fillId="24" borderId="130" applyNumberFormat="0" applyFont="0" applyAlignment="0" applyProtection="0"/>
    <xf numFmtId="0" fontId="26" fillId="36" borderId="84" applyNumberFormat="0" applyAlignment="0" applyProtection="0"/>
    <xf numFmtId="0" fontId="26" fillId="36" borderId="114" applyNumberFormat="0" applyAlignment="0" applyProtection="0"/>
    <xf numFmtId="0" fontId="39" fillId="37" borderId="101" applyNumberFormat="0" applyAlignment="0" applyProtection="0"/>
    <xf numFmtId="0" fontId="26" fillId="36" borderId="129" applyNumberFormat="0" applyAlignment="0" applyProtection="0"/>
    <xf numFmtId="0" fontId="27" fillId="37" borderId="139" applyNumberFormat="0" applyAlignment="0" applyProtection="0"/>
    <xf numFmtId="0" fontId="8" fillId="24" borderId="90" applyNumberFormat="0" applyFont="0" applyAlignment="0" applyProtection="0"/>
    <xf numFmtId="43" fontId="1" fillId="0" borderId="0" applyFont="0" applyFill="0" applyBorder="0" applyAlignment="0" applyProtection="0"/>
    <xf numFmtId="0" fontId="39" fillId="36" borderId="101" applyNumberFormat="0" applyAlignment="0" applyProtection="0"/>
    <xf numFmtId="166" fontId="1" fillId="0" borderId="0" applyFont="0" applyFill="0" applyBorder="0" applyAlignment="0" applyProtection="0"/>
    <xf numFmtId="0" fontId="39" fillId="36" borderId="111" applyNumberFormat="0" applyAlignment="0" applyProtection="0"/>
    <xf numFmtId="43" fontId="1" fillId="0" borderId="0" applyFont="0" applyFill="0" applyBorder="0" applyAlignment="0" applyProtection="0"/>
    <xf numFmtId="0" fontId="27" fillId="37" borderId="104" applyNumberFormat="0" applyAlignment="0" applyProtection="0"/>
    <xf numFmtId="0" fontId="2" fillId="24" borderId="100" applyNumberFormat="0" applyFont="0" applyAlignment="0" applyProtection="0"/>
    <xf numFmtId="0" fontId="33" fillId="21" borderId="134" applyNumberFormat="0" applyAlignment="0" applyProtection="0"/>
    <xf numFmtId="0" fontId="33" fillId="21" borderId="89" applyNumberFormat="0" applyAlignment="0" applyProtection="0"/>
    <xf numFmtId="0" fontId="33" fillId="21" borderId="184" applyNumberFormat="0" applyAlignment="0" applyProtection="0"/>
    <xf numFmtId="0" fontId="2" fillId="24" borderId="180" applyNumberFormat="0" applyFont="0" applyAlignment="0" applyProtection="0"/>
    <xf numFmtId="0" fontId="27" fillId="37" borderId="114" applyNumberFormat="0" applyAlignment="0" applyProtection="0"/>
    <xf numFmtId="0" fontId="39" fillId="36" borderId="161" applyNumberFormat="0" applyAlignment="0" applyProtection="0"/>
    <xf numFmtId="0" fontId="33" fillId="21" borderId="114" applyNumberFormat="0" applyAlignment="0" applyProtection="0"/>
    <xf numFmtId="0" fontId="44" fillId="0" borderId="117" applyNumberFormat="0" applyFill="0" applyAlignment="0" applyProtection="0"/>
    <xf numFmtId="0" fontId="33" fillId="21" borderId="119" applyNumberFormat="0" applyAlignment="0" applyProtection="0"/>
    <xf numFmtId="0" fontId="33" fillId="27" borderId="149" applyNumberFormat="0" applyAlignment="0" applyProtection="0"/>
    <xf numFmtId="166" fontId="1" fillId="0" borderId="0" applyFont="0" applyFill="0" applyBorder="0" applyAlignment="0" applyProtection="0"/>
    <xf numFmtId="0" fontId="39" fillId="36" borderId="156" applyNumberFormat="0" applyAlignment="0" applyProtection="0"/>
    <xf numFmtId="0" fontId="33" fillId="27" borderId="109" applyNumberFormat="0" applyAlignment="0" applyProtection="0"/>
    <xf numFmtId="0" fontId="44" fillId="0" borderId="122" applyNumberFormat="0" applyFill="0" applyAlignment="0" applyProtection="0"/>
    <xf numFmtId="0" fontId="44" fillId="0" borderId="132" applyNumberFormat="0" applyFill="0" applyAlignment="0" applyProtection="0"/>
    <xf numFmtId="0" fontId="8" fillId="24" borderId="115" applyNumberFormat="0" applyFont="0" applyAlignment="0" applyProtection="0"/>
    <xf numFmtId="0" fontId="2" fillId="24" borderId="200" applyNumberFormat="0" applyFont="0" applyAlignment="0" applyProtection="0"/>
    <xf numFmtId="0" fontId="33" fillId="21" borderId="99" applyNumberFormat="0" applyAlignment="0" applyProtection="0"/>
    <xf numFmtId="0" fontId="8" fillId="24" borderId="110" applyNumberFormat="0" applyFont="0" applyAlignment="0" applyProtection="0"/>
    <xf numFmtId="0" fontId="26" fillId="36" borderId="94" applyNumberFormat="0" applyAlignment="0" applyProtection="0"/>
    <xf numFmtId="0" fontId="44" fillId="0" borderId="207" applyNumberFormat="0" applyFill="0" applyAlignment="0" applyProtection="0"/>
    <xf numFmtId="0" fontId="39" fillId="36" borderId="121" applyNumberFormat="0" applyAlignment="0" applyProtection="0"/>
    <xf numFmtId="0" fontId="39" fillId="36" borderId="156" applyNumberFormat="0" applyAlignment="0" applyProtection="0"/>
    <xf numFmtId="166" fontId="1" fillId="0" borderId="0" applyFont="0" applyFill="0" applyBorder="0" applyAlignment="0" applyProtection="0"/>
    <xf numFmtId="0" fontId="44" fillId="0" borderId="118" applyNumberFormat="0" applyFill="0" applyAlignment="0" applyProtection="0"/>
    <xf numFmtId="0" fontId="33" fillId="27" borderId="124" applyNumberFormat="0" applyAlignment="0" applyProtection="0"/>
    <xf numFmtId="43" fontId="1" fillId="0" borderId="0" applyFont="0" applyFill="0" applyBorder="0" applyAlignment="0" applyProtection="0"/>
    <xf numFmtId="0" fontId="8" fillId="24" borderId="140" applyNumberFormat="0" applyFont="0" applyAlignment="0" applyProtection="0"/>
    <xf numFmtId="0" fontId="33" fillId="21" borderId="104" applyNumberFormat="0" applyAlignment="0" applyProtection="0"/>
    <xf numFmtId="0" fontId="8" fillId="24" borderId="145" applyNumberFormat="0" applyFont="0" applyAlignment="0" applyProtection="0"/>
    <xf numFmtId="0" fontId="26" fillId="36" borderId="99" applyNumberFormat="0" applyAlignment="0" applyProtection="0"/>
    <xf numFmtId="0" fontId="44" fillId="0" borderId="187" applyNumberFormat="0" applyFill="0" applyAlignment="0" applyProtection="0"/>
    <xf numFmtId="0" fontId="39" fillId="37" borderId="116" applyNumberFormat="0" applyAlignment="0" applyProtection="0"/>
    <xf numFmtId="0" fontId="33" fillId="21" borderId="124" applyNumberFormat="0" applyAlignment="0" applyProtection="0"/>
    <xf numFmtId="0" fontId="39" fillId="36" borderId="211" applyNumberFormat="0" applyAlignment="0" applyProtection="0"/>
    <xf numFmtId="43" fontId="1" fillId="0" borderId="0" applyFont="0" applyFill="0" applyBorder="0" applyAlignment="0" applyProtection="0"/>
    <xf numFmtId="166" fontId="1" fillId="0" borderId="0" applyFont="0" applyFill="0" applyBorder="0" applyAlignment="0" applyProtection="0"/>
    <xf numFmtId="0" fontId="26" fillId="36" borderId="154" applyNumberFormat="0" applyAlignment="0" applyProtection="0"/>
    <xf numFmtId="0" fontId="33" fillId="21" borderId="109" applyNumberFormat="0" applyAlignment="0" applyProtection="0"/>
    <xf numFmtId="0" fontId="39" fillId="36" borderId="121" applyNumberFormat="0" applyAlignment="0" applyProtection="0"/>
    <xf numFmtId="0" fontId="8" fillId="24" borderId="175" applyNumberFormat="0" applyFont="0" applyAlignment="0" applyProtection="0"/>
    <xf numFmtId="0" fontId="26" fillId="36" borderId="104" applyNumberFormat="0" applyAlignment="0" applyProtection="0"/>
    <xf numFmtId="0" fontId="44" fillId="0" borderId="178" applyNumberFormat="0" applyFill="0" applyAlignment="0" applyProtection="0"/>
    <xf numFmtId="0" fontId="33" fillId="21" borderId="144" applyNumberFormat="0" applyAlignment="0" applyProtection="0"/>
    <xf numFmtId="0" fontId="44" fillId="0" borderId="172" applyNumberFormat="0" applyFill="0" applyAlignment="0" applyProtection="0"/>
    <xf numFmtId="0" fontId="8" fillId="24" borderId="200" applyNumberFormat="0" applyFont="0" applyAlignment="0" applyProtection="0"/>
    <xf numFmtId="0" fontId="26" fillId="36" borderId="159" applyNumberFormat="0" applyAlignment="0" applyProtection="0"/>
    <xf numFmtId="166" fontId="1" fillId="0" borderId="0" applyFont="0" applyFill="0" applyBorder="0" applyAlignment="0" applyProtection="0"/>
    <xf numFmtId="0" fontId="27" fillId="37" borderId="149" applyNumberFormat="0" applyAlignment="0" applyProtection="0"/>
    <xf numFmtId="0" fontId="39" fillId="37" borderId="131" applyNumberFormat="0" applyAlignment="0" applyProtection="0"/>
    <xf numFmtId="43" fontId="1" fillId="0" borderId="0" applyFont="0" applyFill="0" applyBorder="0" applyAlignment="0" applyProtection="0"/>
    <xf numFmtId="0" fontId="39" fillId="36" borderId="196" applyNumberFormat="0" applyAlignment="0" applyProtection="0"/>
    <xf numFmtId="0" fontId="26" fillId="36" borderId="109" applyNumberFormat="0" applyAlignment="0" applyProtection="0"/>
    <xf numFmtId="0" fontId="26" fillId="36" borderId="169" applyNumberFormat="0" applyAlignment="0" applyProtection="0"/>
    <xf numFmtId="0" fontId="39" fillId="37" borderId="126" applyNumberFormat="0" applyAlignment="0" applyProtection="0"/>
    <xf numFmtId="0" fontId="8" fillId="24" borderId="115" applyNumberFormat="0" applyFont="0" applyAlignment="0" applyProtection="0"/>
    <xf numFmtId="43" fontId="1" fillId="0" borderId="0" applyFont="0" applyFill="0" applyBorder="0" applyAlignment="0" applyProtection="0"/>
    <xf numFmtId="0" fontId="39" fillId="36" borderId="126" applyNumberFormat="0" applyAlignment="0" applyProtection="0"/>
    <xf numFmtId="166" fontId="1" fillId="0" borderId="0" applyFont="0" applyFill="0" applyBorder="0" applyAlignment="0" applyProtection="0"/>
    <xf numFmtId="0" fontId="39" fillId="36" borderId="181" applyNumberFormat="0" applyAlignment="0" applyProtection="0"/>
    <xf numFmtId="43" fontId="1" fillId="0" borderId="0" applyFont="0" applyFill="0" applyBorder="0" applyAlignment="0" applyProtection="0"/>
    <xf numFmtId="0" fontId="27" fillId="37" borderId="129" applyNumberFormat="0" applyAlignment="0" applyProtection="0"/>
    <xf numFmtId="0" fontId="2" fillId="24" borderId="125" applyNumberFormat="0" applyFont="0" applyAlignment="0" applyProtection="0"/>
    <xf numFmtId="0" fontId="33" fillId="21" borderId="134" applyNumberFormat="0" applyAlignment="0" applyProtection="0"/>
    <xf numFmtId="0" fontId="33" fillId="21" borderId="114" applyNumberFormat="0" applyAlignment="0" applyProtection="0"/>
    <xf numFmtId="0" fontId="44" fillId="0" borderId="173" applyNumberFormat="0" applyFill="0" applyAlignment="0" applyProtection="0"/>
    <xf numFmtId="0" fontId="26" fillId="36" borderId="134" applyNumberFormat="0" applyAlignment="0" applyProtection="0"/>
    <xf numFmtId="43" fontId="1" fillId="0" borderId="0" applyFont="0" applyFill="0" applyBorder="0" applyAlignment="0" applyProtection="0"/>
    <xf numFmtId="0" fontId="33" fillId="21" borderId="144" applyNumberFormat="0" applyAlignment="0" applyProtection="0"/>
    <xf numFmtId="0" fontId="2" fillId="24" borderId="185" applyNumberFormat="0" applyFont="0" applyAlignment="0" applyProtection="0"/>
    <xf numFmtId="166" fontId="1" fillId="0" borderId="0" applyFont="0" applyFill="0" applyBorder="0" applyAlignment="0" applyProtection="0"/>
    <xf numFmtId="0" fontId="27" fillId="37" borderId="174" applyNumberFormat="0" applyAlignment="0" applyProtection="0"/>
    <xf numFmtId="0" fontId="27" fillId="37" borderId="179" applyNumberFormat="0" applyAlignment="0" applyProtection="0"/>
    <xf numFmtId="0" fontId="26" fillId="36" borderId="189" applyNumberFormat="0" applyAlignment="0" applyProtection="0"/>
    <xf numFmtId="0" fontId="39" fillId="36" borderId="151" applyNumberFormat="0" applyAlignment="0" applyProtection="0"/>
    <xf numFmtId="0" fontId="39" fillId="36" borderId="186" applyNumberFormat="0" applyAlignment="0" applyProtection="0"/>
    <xf numFmtId="0" fontId="39" fillId="37" borderId="141" applyNumberFormat="0" applyAlignment="0" applyProtection="0"/>
    <xf numFmtId="0" fontId="2" fillId="24" borderId="140" applyNumberFormat="0" applyFont="0" applyAlignment="0" applyProtection="0"/>
    <xf numFmtId="0" fontId="33" fillId="21" borderId="124" applyNumberFormat="0" applyAlignment="0" applyProtection="0"/>
    <xf numFmtId="0" fontId="27" fillId="37" borderId="164" applyNumberFormat="0" applyAlignment="0" applyProtection="0"/>
    <xf numFmtId="0" fontId="39" fillId="37" borderId="196" applyNumberFormat="0" applyAlignment="0" applyProtection="0"/>
    <xf numFmtId="0" fontId="26" fillId="36" borderId="119" applyNumberFormat="0" applyAlignment="0" applyProtection="0"/>
    <xf numFmtId="0" fontId="26" fillId="36" borderId="144" applyNumberFormat="0" applyAlignment="0" applyProtection="0"/>
    <xf numFmtId="0" fontId="39" fillId="37" borderId="136" applyNumberFormat="0" applyAlignment="0" applyProtection="0"/>
    <xf numFmtId="0" fontId="33" fillId="27" borderId="154" applyNumberFormat="0" applyAlignment="0" applyProtection="0"/>
    <xf numFmtId="166" fontId="1" fillId="0" borderId="0" applyFont="0" applyFill="0" applyBorder="0" applyAlignment="0" applyProtection="0"/>
    <xf numFmtId="0" fontId="33" fillId="27" borderId="179" applyNumberFormat="0" applyAlignment="0" applyProtection="0"/>
    <xf numFmtId="0" fontId="2" fillId="24" borderId="165" applyNumberFormat="0" applyFont="0" applyAlignment="0" applyProtection="0"/>
    <xf numFmtId="0" fontId="26" fillId="36" borderId="149" applyNumberFormat="0" applyAlignment="0" applyProtection="0"/>
    <xf numFmtId="0" fontId="39" fillId="37" borderId="166" applyNumberFormat="0" applyAlignment="0" applyProtection="0"/>
    <xf numFmtId="0" fontId="33" fillId="21" borderId="129" applyNumberFormat="0" applyAlignment="0" applyProtection="0"/>
    <xf numFmtId="0" fontId="26" fillId="36" borderId="124" applyNumberFormat="0" applyAlignment="0" applyProtection="0"/>
    <xf numFmtId="0" fontId="33" fillId="21" borderId="194" applyNumberFormat="0" applyAlignment="0" applyProtection="0"/>
    <xf numFmtId="0" fontId="33" fillId="21" borderId="139" applyNumberFormat="0" applyAlignment="0" applyProtection="0"/>
    <xf numFmtId="0" fontId="44" fillId="0" borderId="202" applyNumberFormat="0" applyFill="0" applyAlignment="0" applyProtection="0"/>
    <xf numFmtId="0" fontId="33" fillId="27" borderId="169" applyNumberFormat="0" applyAlignment="0" applyProtection="0"/>
    <xf numFmtId="166" fontId="1" fillId="0" borderId="0" applyFont="0" applyFill="0" applyBorder="0" applyAlignment="0" applyProtection="0"/>
    <xf numFmtId="0" fontId="33" fillId="21" borderId="189" applyNumberFormat="0" applyAlignment="0" applyProtection="0"/>
    <xf numFmtId="0" fontId="33" fillId="21" borderId="209" applyNumberFormat="0" applyAlignment="0" applyProtection="0"/>
    <xf numFmtId="0" fontId="26" fillId="36" borderId="184" applyNumberFormat="0" applyAlignment="0" applyProtection="0"/>
    <xf numFmtId="0" fontId="33" fillId="27" borderId="139" applyNumberFormat="0" applyAlignment="0" applyProtection="0"/>
    <xf numFmtId="0" fontId="26" fillId="36" borderId="129" applyNumberFormat="0" applyAlignment="0" applyProtection="0"/>
    <xf numFmtId="0" fontId="33" fillId="21" borderId="169" applyNumberFormat="0" applyAlignment="0" applyProtection="0"/>
    <xf numFmtId="0" fontId="39" fillId="36" borderId="191" applyNumberFormat="0" applyAlignment="0" applyProtection="0"/>
    <xf numFmtId="0" fontId="39" fillId="37" borderId="171" applyNumberFormat="0" applyAlignment="0" applyProtection="0"/>
    <xf numFmtId="0" fontId="33" fillId="27" borderId="199" applyNumberFormat="0" applyAlignment="0" applyProtection="0"/>
    <xf numFmtId="166" fontId="1" fillId="0" borderId="0" applyFont="0" applyFill="0" applyBorder="0" applyAlignment="0" applyProtection="0"/>
    <xf numFmtId="0" fontId="44" fillId="0" borderId="148" applyNumberFormat="0" applyFill="0" applyAlignment="0" applyProtection="0"/>
    <xf numFmtId="0" fontId="8" fillId="24" borderId="195" applyNumberFormat="0" applyFont="0" applyAlignment="0" applyProtection="0"/>
    <xf numFmtId="0" fontId="39" fillId="37" borderId="191" applyNumberFormat="0" applyAlignment="0" applyProtection="0"/>
    <xf numFmtId="0" fontId="44" fillId="0" borderId="153" applyNumberFormat="0" applyFill="0" applyAlignment="0" applyProtection="0"/>
    <xf numFmtId="0" fontId="33" fillId="27" borderId="134" applyNumberFormat="0" applyAlignment="0" applyProtection="0"/>
    <xf numFmtId="0" fontId="44" fillId="0" borderId="193" applyNumberFormat="0" applyFill="0" applyAlignment="0" applyProtection="0"/>
    <xf numFmtId="0" fontId="39" fillId="36" borderId="141" applyNumberFormat="0" applyAlignment="0" applyProtection="0"/>
    <xf numFmtId="0" fontId="2" fillId="24" borderId="195" applyNumberFormat="0" applyFont="0" applyAlignment="0" applyProtection="0"/>
    <xf numFmtId="166" fontId="1" fillId="0" borderId="0" applyFont="0" applyFill="0" applyBorder="0" applyAlignment="0" applyProtection="0"/>
    <xf numFmtId="0" fontId="26" fillId="36" borderId="209" applyNumberFormat="0" applyAlignment="0" applyProtection="0"/>
    <xf numFmtId="43" fontId="1" fillId="0" borderId="0" applyFont="0" applyFill="0" applyBorder="0" applyAlignment="0" applyProtection="0"/>
    <xf numFmtId="0" fontId="33" fillId="27" borderId="174" applyNumberFormat="0" applyAlignment="0" applyProtection="0"/>
    <xf numFmtId="0" fontId="39" fillId="37" borderId="146" applyNumberFormat="0" applyAlignment="0" applyProtection="0"/>
    <xf numFmtId="0" fontId="39" fillId="36" borderId="146" applyNumberFormat="0" applyAlignment="0" applyProtection="0"/>
    <xf numFmtId="0" fontId="2" fillId="24" borderId="160" applyNumberFormat="0" applyFont="0" applyAlignment="0" applyProtection="0"/>
    <xf numFmtId="43" fontId="1" fillId="0" borderId="0" applyFont="0" applyFill="0" applyBorder="0" applyAlignment="0" applyProtection="0"/>
    <xf numFmtId="0" fontId="26" fillId="36" borderId="194" applyNumberFormat="0" applyAlignment="0" applyProtection="0"/>
    <xf numFmtId="0" fontId="39" fillId="36" borderId="176" applyNumberFormat="0" applyAlignment="0" applyProtection="0"/>
    <xf numFmtId="0" fontId="26" fillId="36" borderId="139" applyNumberFormat="0" applyAlignment="0" applyProtection="0"/>
    <xf numFmtId="0" fontId="44" fillId="0" borderId="177" applyNumberFormat="0" applyFill="0" applyAlignment="0" applyProtection="0"/>
    <xf numFmtId="0" fontId="44" fillId="0" borderId="192" applyNumberFormat="0" applyFill="0" applyAlignment="0" applyProtection="0"/>
    <xf numFmtId="0" fontId="26" fillId="36" borderId="164" applyNumberFormat="0" applyAlignment="0" applyProtection="0"/>
    <xf numFmtId="166" fontId="1" fillId="0" borderId="0" applyFont="0" applyFill="0" applyBorder="0" applyAlignment="0" applyProtection="0"/>
    <xf numFmtId="0" fontId="26" fillId="36" borderId="174" applyNumberFormat="0" applyAlignment="0" applyProtection="0"/>
    <xf numFmtId="0" fontId="44" fillId="0" borderId="182" applyNumberFormat="0" applyFill="0" applyAlignment="0" applyProtection="0"/>
    <xf numFmtId="0" fontId="8" fillId="24" borderId="150" applyNumberFormat="0" applyFont="0" applyAlignment="0" applyProtection="0"/>
    <xf numFmtId="0" fontId="39" fillId="37" borderId="201" applyNumberFormat="0" applyAlignment="0" applyProtection="0"/>
    <xf numFmtId="0" fontId="33" fillId="21" borderId="154" applyNumberFormat="0" applyAlignment="0" applyProtection="0"/>
    <xf numFmtId="0" fontId="2" fillId="24" borderId="150" applyNumberFormat="0" applyFont="0" applyAlignment="0" applyProtection="0"/>
    <xf numFmtId="0" fontId="8" fillId="24" borderId="150" applyNumberFormat="0" applyFont="0" applyAlignment="0" applyProtection="0"/>
    <xf numFmtId="166" fontId="1" fillId="0" borderId="0" applyFont="0" applyFill="0" applyBorder="0" applyAlignment="0" applyProtection="0"/>
    <xf numFmtId="0" fontId="26" fillId="36" borderId="179" applyNumberFormat="0" applyAlignment="0" applyProtection="0"/>
    <xf numFmtId="0" fontId="33" fillId="21" borderId="199" applyNumberFormat="0" applyAlignment="0" applyProtection="0"/>
    <xf numFmtId="0" fontId="44" fillId="0" borderId="168" applyNumberFormat="0" applyFill="0" applyAlignment="0" applyProtection="0"/>
    <xf numFmtId="0" fontId="26" fillId="36" borderId="199" applyNumberFormat="0" applyAlignment="0" applyProtection="0"/>
    <xf numFmtId="0" fontId="44" fillId="0" borderId="188" applyNumberFormat="0" applyFill="0" applyAlignment="0" applyProtection="0"/>
    <xf numFmtId="0" fontId="2" fillId="24" borderId="190" applyNumberFormat="0" applyFont="0" applyAlignment="0" applyProtection="0"/>
    <xf numFmtId="0" fontId="2" fillId="24" borderId="170" applyNumberFormat="0" applyFont="0" applyAlignment="0" applyProtection="0"/>
    <xf numFmtId="0" fontId="8" fillId="24" borderId="170" applyNumberFormat="0" applyFont="0" applyAlignment="0" applyProtection="0"/>
    <xf numFmtId="43" fontId="1" fillId="0" borderId="0" applyFont="0" applyFill="0" applyBorder="0" applyAlignment="0" applyProtection="0"/>
    <xf numFmtId="0" fontId="33" fillId="27" borderId="164" applyNumberFormat="0" applyAlignment="0" applyProtection="0"/>
    <xf numFmtId="43" fontId="1" fillId="0" borderId="0" applyFont="0" applyFill="0" applyBorder="0" applyAlignment="0" applyProtection="0"/>
    <xf numFmtId="0" fontId="39" fillId="36" borderId="171" applyNumberFormat="0" applyAlignment="0" applyProtection="0"/>
    <xf numFmtId="0" fontId="44" fillId="0" borderId="203" applyNumberFormat="0" applyFill="0" applyAlignment="0" applyProtection="0"/>
    <xf numFmtId="0" fontId="33" fillId="21" borderId="154" applyNumberFormat="0" applyAlignment="0" applyProtection="0"/>
    <xf numFmtId="0" fontId="8" fillId="24" borderId="165" applyNumberFormat="0" applyFont="0" applyAlignment="0" applyProtection="0"/>
    <xf numFmtId="0" fontId="26" fillId="36" borderId="149" applyNumberFormat="0" applyAlignment="0" applyProtection="0"/>
    <xf numFmtId="0" fontId="27" fillId="37" borderId="184" applyNumberFormat="0" applyAlignment="0" applyProtection="0"/>
    <xf numFmtId="0" fontId="8" fillId="24" borderId="205" applyNumberFormat="0" applyFont="0" applyAlignment="0" applyProtection="0"/>
    <xf numFmtId="166" fontId="1" fillId="0" borderId="0" applyFont="0" applyFill="0" applyBorder="0" applyAlignment="0" applyProtection="0"/>
    <xf numFmtId="43" fontId="1" fillId="0" borderId="0" applyFont="0" applyFill="0" applyBorder="0" applyAlignment="0" applyProtection="0"/>
    <xf numFmtId="0" fontId="39" fillId="36" borderId="176" applyNumberFormat="0" applyAlignment="0" applyProtection="0"/>
    <xf numFmtId="0" fontId="44" fillId="0" borderId="208" applyNumberFormat="0" applyFill="0" applyAlignment="0" applyProtection="0"/>
    <xf numFmtId="0" fontId="33" fillId="21" borderId="159" applyNumberFormat="0" applyAlignment="0" applyProtection="0"/>
    <xf numFmtId="0" fontId="8" fillId="24" borderId="170" applyNumberFormat="0" applyFont="0" applyAlignment="0" applyProtection="0"/>
    <xf numFmtId="0" fontId="26" fillId="36" borderId="154" applyNumberFormat="0" applyAlignment="0" applyProtection="0"/>
    <xf numFmtId="0" fontId="27" fillId="37" borderId="189" applyNumberFormat="0" applyAlignment="0" applyProtection="0"/>
    <xf numFmtId="0" fontId="8" fillId="24" borderId="210" applyNumberFormat="0" applyFont="0" applyAlignment="0" applyProtection="0"/>
    <xf numFmtId="166" fontId="1" fillId="0" borderId="0" applyFont="0" applyFill="0" applyBorder="0" applyAlignment="0" applyProtection="0"/>
    <xf numFmtId="43" fontId="1" fillId="0" borderId="0" applyFont="0" applyFill="0" applyBorder="0" applyAlignment="0" applyProtection="0"/>
    <xf numFmtId="0" fontId="39" fillId="36" borderId="181" applyNumberFormat="0" applyAlignment="0" applyProtection="0"/>
    <xf numFmtId="0" fontId="44" fillId="0" borderId="213" applyNumberFormat="0" applyFill="0" applyAlignment="0" applyProtection="0"/>
    <xf numFmtId="0" fontId="33" fillId="21" borderId="164" applyNumberFormat="0" applyAlignment="0" applyProtection="0"/>
    <xf numFmtId="0" fontId="8" fillId="24" borderId="175" applyNumberFormat="0" applyFont="0" applyAlignment="0" applyProtection="0"/>
    <xf numFmtId="0" fontId="26" fillId="36" borderId="159" applyNumberFormat="0" applyAlignment="0" applyProtection="0"/>
    <xf numFmtId="0" fontId="27" fillId="37" borderId="194" applyNumberFormat="0" applyAlignment="0" applyProtection="0"/>
    <xf numFmtId="166" fontId="1" fillId="0" borderId="0" applyFont="0" applyFill="0" applyBorder="0" applyAlignment="0" applyProtection="0"/>
    <xf numFmtId="43" fontId="1" fillId="0" borderId="0" applyFont="0" applyFill="0" applyBorder="0" applyAlignment="0" applyProtection="0"/>
    <xf numFmtId="0" fontId="39" fillId="36" borderId="186" applyNumberFormat="0" applyAlignment="0" applyProtection="0"/>
    <xf numFmtId="0" fontId="33" fillId="21" borderId="169" applyNumberFormat="0" applyAlignment="0" applyProtection="0"/>
    <xf numFmtId="0" fontId="8" fillId="24" borderId="180" applyNumberFormat="0" applyFont="0" applyAlignment="0" applyProtection="0"/>
    <xf numFmtId="0" fontId="26" fillId="36" borderId="164" applyNumberFormat="0" applyAlignment="0" applyProtection="0"/>
    <xf numFmtId="0" fontId="27" fillId="37" borderId="199" applyNumberFormat="0" applyAlignment="0" applyProtection="0"/>
    <xf numFmtId="166" fontId="1" fillId="0" borderId="0" applyFont="0" applyFill="0" applyBorder="0" applyAlignment="0" applyProtection="0"/>
    <xf numFmtId="43" fontId="1" fillId="0" borderId="0" applyFont="0" applyFill="0" applyBorder="0" applyAlignment="0" applyProtection="0"/>
    <xf numFmtId="0" fontId="39" fillId="36" borderId="191" applyNumberFormat="0" applyAlignment="0" applyProtection="0"/>
    <xf numFmtId="0" fontId="33" fillId="21" borderId="174" applyNumberFormat="0" applyAlignment="0" applyProtection="0"/>
    <xf numFmtId="0" fontId="8" fillId="24" borderId="185" applyNumberFormat="0" applyFont="0" applyAlignment="0" applyProtection="0"/>
    <xf numFmtId="0" fontId="26" fillId="36" borderId="169" applyNumberFormat="0" applyAlignment="0" applyProtection="0"/>
    <xf numFmtId="0" fontId="27" fillId="37" borderId="204" applyNumberFormat="0" applyAlignment="0" applyProtection="0"/>
    <xf numFmtId="166" fontId="1" fillId="0" borderId="0" applyFont="0" applyFill="0" applyBorder="0" applyAlignment="0" applyProtection="0"/>
    <xf numFmtId="0" fontId="39" fillId="36" borderId="196" applyNumberFormat="0" applyAlignment="0" applyProtection="0"/>
    <xf numFmtId="0" fontId="33" fillId="21" borderId="179" applyNumberFormat="0" applyAlignment="0" applyProtection="0"/>
    <xf numFmtId="0" fontId="8" fillId="24" borderId="190" applyNumberFormat="0" applyFont="0" applyAlignment="0" applyProtection="0"/>
    <xf numFmtId="0" fontId="26" fillId="36" borderId="174" applyNumberFormat="0" applyAlignment="0" applyProtection="0"/>
    <xf numFmtId="0" fontId="27" fillId="37" borderId="209" applyNumberFormat="0" applyAlignment="0" applyProtection="0"/>
    <xf numFmtId="166" fontId="1" fillId="0" borderId="0" applyFont="0" applyFill="0" applyBorder="0" applyAlignment="0" applyProtection="0"/>
    <xf numFmtId="0" fontId="39" fillId="36" borderId="201" applyNumberFormat="0" applyAlignment="0" applyProtection="0"/>
    <xf numFmtId="0" fontId="33" fillId="21" borderId="184" applyNumberFormat="0" applyAlignment="0" applyProtection="0"/>
    <xf numFmtId="0" fontId="8" fillId="24" borderId="195" applyNumberFormat="0" applyFont="0" applyAlignment="0" applyProtection="0"/>
    <xf numFmtId="0" fontId="26" fillId="36" borderId="179" applyNumberFormat="0" applyAlignment="0" applyProtection="0"/>
    <xf numFmtId="166" fontId="1" fillId="0" borderId="0" applyFont="0" applyFill="0" applyBorder="0" applyAlignment="0" applyProtection="0"/>
    <xf numFmtId="0" fontId="39" fillId="36" borderId="206" applyNumberFormat="0" applyAlignment="0" applyProtection="0"/>
    <xf numFmtId="0" fontId="33" fillId="21" borderId="189" applyNumberFormat="0" applyAlignment="0" applyProtection="0"/>
    <xf numFmtId="0" fontId="8" fillId="24" borderId="200" applyNumberFormat="0" applyFont="0" applyAlignment="0" applyProtection="0"/>
    <xf numFmtId="0" fontId="26" fillId="36" borderId="184" applyNumberFormat="0" applyAlignment="0" applyProtection="0"/>
    <xf numFmtId="166" fontId="1" fillId="0" borderId="0" applyFont="0" applyFill="0" applyBorder="0" applyAlignment="0" applyProtection="0"/>
    <xf numFmtId="0" fontId="39" fillId="36" borderId="211" applyNumberFormat="0" applyAlignment="0" applyProtection="0"/>
    <xf numFmtId="0" fontId="33" fillId="21" borderId="194" applyNumberFormat="0" applyAlignment="0" applyProtection="0"/>
    <xf numFmtId="0" fontId="8" fillId="24" borderId="205" applyNumberFormat="0" applyFont="0" applyAlignment="0" applyProtection="0"/>
    <xf numFmtId="0" fontId="26" fillId="36" borderId="189" applyNumberFormat="0" applyAlignment="0" applyProtection="0"/>
    <xf numFmtId="166" fontId="1" fillId="0" borderId="0" applyFont="0" applyFill="0" applyBorder="0" applyAlignment="0" applyProtection="0"/>
    <xf numFmtId="0" fontId="33" fillId="21" borderId="199" applyNumberFormat="0" applyAlignment="0" applyProtection="0"/>
    <xf numFmtId="0" fontId="8" fillId="24" borderId="210" applyNumberFormat="0" applyFont="0" applyAlignment="0" applyProtection="0"/>
    <xf numFmtId="0" fontId="26" fillId="36" borderId="194" applyNumberFormat="0" applyAlignment="0" applyProtection="0"/>
    <xf numFmtId="166" fontId="1" fillId="0" borderId="0" applyFont="0" applyFill="0" applyBorder="0" applyAlignment="0" applyProtection="0"/>
    <xf numFmtId="0" fontId="33" fillId="21" borderId="204" applyNumberFormat="0" applyAlignment="0" applyProtection="0"/>
    <xf numFmtId="0" fontId="26" fillId="36" borderId="199" applyNumberFormat="0" applyAlignment="0" applyProtection="0"/>
    <xf numFmtId="166" fontId="1" fillId="0" borderId="0" applyFont="0" applyFill="0" applyBorder="0" applyAlignment="0" applyProtection="0"/>
    <xf numFmtId="0" fontId="33" fillId="21" borderId="209" applyNumberFormat="0" applyAlignment="0" applyProtection="0"/>
    <xf numFmtId="0" fontId="26" fillId="36" borderId="204" applyNumberFormat="0" applyAlignment="0" applyProtection="0"/>
    <xf numFmtId="166" fontId="1" fillId="0" borderId="0" applyFont="0" applyFill="0" applyBorder="0" applyAlignment="0" applyProtection="0"/>
    <xf numFmtId="0" fontId="26" fillId="36" borderId="209" applyNumberFormat="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0" fontId="2" fillId="24" borderId="217" applyNumberFormat="0" applyFont="0" applyAlignment="0" applyProtection="0"/>
    <xf numFmtId="0" fontId="44" fillId="0" borderId="220" applyNumberFormat="0" applyFill="0" applyAlignment="0" applyProtection="0"/>
    <xf numFmtId="44" fontId="2" fillId="0" borderId="0" applyFont="0" applyFill="0" applyBorder="0" applyAlignment="0" applyProtection="0"/>
    <xf numFmtId="0" fontId="44" fillId="0" borderId="220" applyNumberFormat="0" applyFill="0" applyAlignment="0" applyProtection="0"/>
    <xf numFmtId="0" fontId="26" fillId="36" borderId="216" applyNumberFormat="0" applyAlignment="0" applyProtection="0"/>
    <xf numFmtId="0" fontId="27" fillId="37" borderId="216" applyNumberFormat="0" applyAlignment="0" applyProtection="0"/>
    <xf numFmtId="0" fontId="33" fillId="21" borderId="216" applyNumberFormat="0" applyAlignment="0" applyProtection="0"/>
    <xf numFmtId="0" fontId="26" fillId="36" borderId="216" applyNumberFormat="0" applyAlignment="0" applyProtection="0"/>
    <xf numFmtId="0" fontId="27" fillId="37" borderId="216" applyNumberFormat="0" applyAlignment="0" applyProtection="0"/>
    <xf numFmtId="0" fontId="26" fillId="36" borderId="216" applyNumberFormat="0" applyAlignment="0" applyProtection="0"/>
    <xf numFmtId="0" fontId="33" fillId="27" borderId="216" applyNumberFormat="0" applyAlignment="0" applyProtection="0"/>
    <xf numFmtId="0" fontId="33" fillId="21" borderId="216" applyNumberFormat="0" applyAlignment="0" applyProtection="0"/>
    <xf numFmtId="0" fontId="33" fillId="21" borderId="216" applyNumberFormat="0" applyAlignment="0" applyProtection="0"/>
    <xf numFmtId="44" fontId="2" fillId="0" borderId="0" applyFont="0" applyFill="0" applyBorder="0" applyAlignment="0" applyProtection="0"/>
    <xf numFmtId="0" fontId="8" fillId="24" borderId="217" applyNumberFormat="0" applyFont="0" applyAlignment="0" applyProtection="0"/>
    <xf numFmtId="0" fontId="8" fillId="24" borderId="217" applyNumberFormat="0" applyFont="0" applyAlignment="0" applyProtection="0"/>
    <xf numFmtId="0" fontId="2" fillId="24" borderId="217" applyNumberFormat="0" applyFont="0" applyAlignment="0" applyProtection="0"/>
    <xf numFmtId="0" fontId="39" fillId="36" borderId="218" applyNumberFormat="0" applyAlignment="0" applyProtection="0"/>
    <xf numFmtId="0" fontId="39" fillId="37" borderId="218" applyNumberFormat="0" applyAlignment="0" applyProtection="0"/>
    <xf numFmtId="0" fontId="39" fillId="36" borderId="218" applyNumberFormat="0" applyAlignment="0" applyProtection="0"/>
    <xf numFmtId="0" fontId="44" fillId="0" borderId="219" applyNumberFormat="0" applyFill="0" applyAlignment="0" applyProtection="0"/>
    <xf numFmtId="0" fontId="44" fillId="0" borderId="220" applyNumberFormat="0" applyFill="0" applyAlignment="0" applyProtection="0"/>
    <xf numFmtId="0" fontId="8" fillId="24" borderId="217" applyNumberFormat="0" applyFont="0" applyAlignment="0" applyProtection="0"/>
    <xf numFmtId="0" fontId="8" fillId="24" borderId="217" applyNumberFormat="0" applyFont="0" applyAlignment="0" applyProtection="0"/>
    <xf numFmtId="0" fontId="39" fillId="36" borderId="218" applyNumberFormat="0" applyAlignment="0" applyProtection="0"/>
    <xf numFmtId="0" fontId="39" fillId="36" borderId="218" applyNumberFormat="0" applyAlignment="0" applyProtection="0"/>
    <xf numFmtId="0" fontId="2" fillId="24" borderId="217" applyNumberFormat="0" applyFont="0" applyAlignment="0" applyProtection="0"/>
    <xf numFmtId="0" fontId="27" fillId="37" borderId="216" applyNumberFormat="0" applyAlignment="0" applyProtection="0"/>
    <xf numFmtId="0" fontId="27" fillId="37" borderId="216" applyNumberFormat="0" applyAlignment="0" applyProtection="0"/>
    <xf numFmtId="0" fontId="44" fillId="0" borderId="220" applyNumberFormat="0" applyFill="0" applyAlignment="0" applyProtection="0"/>
    <xf numFmtId="0" fontId="44" fillId="0" borderId="220" applyNumberFormat="0" applyFill="0" applyAlignment="0" applyProtection="0"/>
    <xf numFmtId="0" fontId="33" fillId="21" borderId="216" applyNumberFormat="0" applyAlignment="0" applyProtection="0"/>
    <xf numFmtId="0" fontId="33" fillId="27" borderId="216" applyNumberFormat="0" applyAlignment="0" applyProtection="0"/>
    <xf numFmtId="0" fontId="8" fillId="24" borderId="217" applyNumberFormat="0" applyFont="0" applyAlignment="0" applyProtection="0"/>
    <xf numFmtId="0" fontId="2" fillId="24" borderId="217" applyNumberFormat="0" applyFont="0" applyAlignment="0" applyProtection="0"/>
    <xf numFmtId="0" fontId="39" fillId="37" borderId="218" applyNumberFormat="0" applyAlignment="0" applyProtection="0"/>
    <xf numFmtId="0" fontId="39" fillId="36" borderId="218" applyNumberFormat="0" applyAlignment="0" applyProtection="0"/>
    <xf numFmtId="0" fontId="39" fillId="36" borderId="218" applyNumberFormat="0" applyAlignment="0" applyProtection="0"/>
    <xf numFmtId="0" fontId="39" fillId="36" borderId="218" applyNumberFormat="0" applyAlignment="0" applyProtection="0"/>
    <xf numFmtId="0" fontId="2" fillId="24" borderId="217" applyNumberFormat="0" applyFont="0" applyAlignment="0" applyProtection="0"/>
    <xf numFmtId="0" fontId="44" fillId="0" borderId="220" applyNumberFormat="0" applyFill="0" applyAlignment="0" applyProtection="0"/>
    <xf numFmtId="0" fontId="26" fillId="36" borderId="216" applyNumberFormat="0" applyAlignment="0" applyProtection="0"/>
    <xf numFmtId="0" fontId="39" fillId="36" borderId="218" applyNumberFormat="0" applyAlignment="0" applyProtection="0"/>
    <xf numFmtId="0" fontId="39" fillId="37" borderId="218" applyNumberFormat="0" applyAlignment="0" applyProtection="0"/>
    <xf numFmtId="0" fontId="33" fillId="27" borderId="216" applyNumberFormat="0" applyAlignment="0" applyProtection="0"/>
    <xf numFmtId="0" fontId="33" fillId="21" borderId="216" applyNumberFormat="0" applyAlignment="0" applyProtection="0"/>
    <xf numFmtId="0" fontId="33" fillId="27" borderId="216" applyNumberFormat="0" applyAlignment="0" applyProtection="0"/>
    <xf numFmtId="0" fontId="2" fillId="24" borderId="217" applyNumberFormat="0" applyFont="0" applyAlignment="0" applyProtection="0"/>
    <xf numFmtId="0" fontId="44" fillId="0" borderId="220" applyNumberFormat="0" applyFill="0" applyAlignment="0" applyProtection="0"/>
    <xf numFmtId="0" fontId="44" fillId="0" borderId="219" applyNumberFormat="0" applyFill="0" applyAlignment="0" applyProtection="0"/>
    <xf numFmtId="0" fontId="27" fillId="37" borderId="216" applyNumberFormat="0" applyAlignment="0" applyProtection="0"/>
    <xf numFmtId="0" fontId="33" fillId="27" borderId="216" applyNumberFormat="0" applyAlignment="0" applyProtection="0"/>
    <xf numFmtId="0" fontId="8" fillId="24" borderId="217" applyNumberFormat="0" applyFont="0" applyAlignment="0" applyProtection="0"/>
    <xf numFmtId="0" fontId="26" fillId="36" borderId="216" applyNumberFormat="0" applyAlignment="0" applyProtection="0"/>
    <xf numFmtId="0" fontId="8" fillId="24" borderId="217" applyNumberFormat="0" applyFont="0" applyAlignment="0" applyProtection="0"/>
    <xf numFmtId="0" fontId="44" fillId="0" borderId="219" applyNumberFormat="0" applyFill="0" applyAlignment="0" applyProtection="0"/>
    <xf numFmtId="0" fontId="8" fillId="24" borderId="217" applyNumberFormat="0" applyFont="0" applyAlignment="0" applyProtection="0"/>
    <xf numFmtId="0" fontId="39" fillId="36" borderId="218" applyNumberFormat="0" applyAlignment="0" applyProtection="0"/>
    <xf numFmtId="0" fontId="39" fillId="37" borderId="218" applyNumberFormat="0" applyAlignment="0" applyProtection="0"/>
    <xf numFmtId="0" fontId="8" fillId="24" borderId="217" applyNumberFormat="0" applyFont="0" applyAlignment="0" applyProtection="0"/>
    <xf numFmtId="0" fontId="2" fillId="24" borderId="217" applyNumberFormat="0" applyFont="0" applyAlignment="0" applyProtection="0"/>
    <xf numFmtId="0" fontId="26" fillId="36" borderId="216" applyNumberFormat="0" applyAlignment="0" applyProtection="0"/>
    <xf numFmtId="0" fontId="39" fillId="36" borderId="218" applyNumberFormat="0" applyAlignment="0" applyProtection="0"/>
    <xf numFmtId="0" fontId="2" fillId="24" borderId="217" applyNumberFormat="0" applyFont="0" applyAlignment="0" applyProtection="0"/>
    <xf numFmtId="0" fontId="8" fillId="24" borderId="217" applyNumberFormat="0" applyFont="0" applyAlignment="0" applyProtection="0"/>
    <xf numFmtId="0" fontId="8" fillId="24" borderId="217" applyNumberFormat="0" applyFont="0" applyAlignment="0" applyProtection="0"/>
    <xf numFmtId="0" fontId="39" fillId="36" borderId="218" applyNumberFormat="0" applyAlignment="0" applyProtection="0"/>
    <xf numFmtId="0" fontId="2" fillId="24" borderId="217" applyNumberFormat="0" applyFont="0" applyAlignment="0" applyProtection="0"/>
    <xf numFmtId="0" fontId="8" fillId="24" borderId="217" applyNumberFormat="0" applyFont="0" applyAlignment="0" applyProtection="0"/>
    <xf numFmtId="0" fontId="8" fillId="24" borderId="217" applyNumberFormat="0" applyFont="0" applyAlignment="0" applyProtection="0"/>
    <xf numFmtId="0" fontId="39" fillId="36" borderId="218" applyNumberFormat="0" applyAlignment="0" applyProtection="0"/>
    <xf numFmtId="0" fontId="33" fillId="27" borderId="216" applyNumberFormat="0" applyAlignment="0" applyProtection="0"/>
    <xf numFmtId="0" fontId="44" fillId="0" borderId="220" applyNumberFormat="0" applyFill="0" applyAlignment="0" applyProtection="0"/>
    <xf numFmtId="0" fontId="44" fillId="0" borderId="219" applyNumberFormat="0" applyFill="0" applyAlignment="0" applyProtection="0"/>
    <xf numFmtId="0" fontId="33" fillId="27" borderId="216" applyNumberFormat="0" applyAlignment="0" applyProtection="0"/>
    <xf numFmtId="0" fontId="39" fillId="36" borderId="218" applyNumberFormat="0" applyAlignment="0" applyProtection="0"/>
    <xf numFmtId="0" fontId="39" fillId="37" borderId="218" applyNumberFormat="0" applyAlignment="0" applyProtection="0"/>
    <xf numFmtId="0" fontId="39" fillId="37" borderId="218" applyNumberFormat="0" applyAlignment="0" applyProtection="0"/>
    <xf numFmtId="0" fontId="39" fillId="36" borderId="218" applyNumberFormat="0" applyAlignment="0" applyProtection="0"/>
    <xf numFmtId="0" fontId="8" fillId="24" borderId="217" applyNumberFormat="0" applyFont="0" applyAlignment="0" applyProtection="0"/>
    <xf numFmtId="0" fontId="39" fillId="37" borderId="218" applyNumberFormat="0" applyAlignment="0" applyProtection="0"/>
    <xf numFmtId="0" fontId="39" fillId="36" borderId="218" applyNumberFormat="0" applyAlignment="0" applyProtection="0"/>
    <xf numFmtId="0" fontId="26" fillId="36" borderId="216" applyNumberFormat="0" applyAlignment="0" applyProtection="0"/>
    <xf numFmtId="0" fontId="27" fillId="37" borderId="216" applyNumberFormat="0" applyAlignment="0" applyProtection="0"/>
    <xf numFmtId="0" fontId="26" fillId="36" borderId="216" applyNumberFormat="0" applyAlignment="0" applyProtection="0"/>
    <xf numFmtId="0" fontId="33" fillId="21" borderId="216" applyNumberFormat="0" applyAlignment="0" applyProtection="0"/>
    <xf numFmtId="0" fontId="39" fillId="36" borderId="218" applyNumberFormat="0" applyAlignment="0" applyProtection="0"/>
    <xf numFmtId="0" fontId="39" fillId="37" borderId="218" applyNumberFormat="0" applyAlignment="0" applyProtection="0"/>
    <xf numFmtId="0" fontId="8" fillId="24" borderId="217" applyNumberFormat="0" applyFont="0" applyAlignment="0" applyProtection="0"/>
    <xf numFmtId="0" fontId="33" fillId="21" borderId="216" applyNumberFormat="0" applyAlignment="0" applyProtection="0"/>
    <xf numFmtId="0" fontId="39" fillId="36" borderId="218" applyNumberFormat="0" applyAlignment="0" applyProtection="0"/>
    <xf numFmtId="0" fontId="27" fillId="37" borderId="216" applyNumberFormat="0" applyAlignment="0" applyProtection="0"/>
    <xf numFmtId="0" fontId="26" fillId="36" borderId="216" applyNumberFormat="0" applyAlignment="0" applyProtection="0"/>
    <xf numFmtId="0" fontId="33" fillId="21" borderId="216" applyNumberFormat="0" applyAlignment="0" applyProtection="0"/>
    <xf numFmtId="0" fontId="39" fillId="36" borderId="218" applyNumberFormat="0" applyAlignment="0" applyProtection="0"/>
    <xf numFmtId="0" fontId="8" fillId="24" borderId="217" applyNumberFormat="0" applyFont="0" applyAlignment="0" applyProtection="0"/>
    <xf numFmtId="0" fontId="39" fillId="37" borderId="218" applyNumberFormat="0" applyAlignment="0" applyProtection="0"/>
    <xf numFmtId="0" fontId="33" fillId="27" borderId="216" applyNumberFormat="0" applyAlignment="0" applyProtection="0"/>
    <xf numFmtId="0" fontId="33" fillId="21" borderId="216" applyNumberFormat="0" applyAlignment="0" applyProtection="0"/>
    <xf numFmtId="0" fontId="8" fillId="24" borderId="217" applyNumberFormat="0" applyFont="0" applyAlignment="0" applyProtection="0"/>
    <xf numFmtId="0" fontId="8" fillId="24" borderId="217" applyNumberFormat="0" applyFont="0" applyAlignment="0" applyProtection="0"/>
    <xf numFmtId="0" fontId="44" fillId="0" borderId="219" applyNumberFormat="0" applyFill="0" applyAlignment="0" applyProtection="0"/>
    <xf numFmtId="0" fontId="44" fillId="0" borderId="220" applyNumberFormat="0" applyFill="0" applyAlignment="0" applyProtection="0"/>
    <xf numFmtId="0" fontId="27" fillId="37" borderId="216" applyNumberFormat="0" applyAlignment="0" applyProtection="0"/>
    <xf numFmtId="0" fontId="44" fillId="0" borderId="220" applyNumberFormat="0" applyFill="0" applyAlignment="0" applyProtection="0"/>
    <xf numFmtId="0" fontId="27" fillId="37" borderId="216" applyNumberFormat="0" applyAlignment="0" applyProtection="0"/>
    <xf numFmtId="0" fontId="33" fillId="21" borderId="216" applyNumberFormat="0" applyAlignment="0" applyProtection="0"/>
    <xf numFmtId="0" fontId="39" fillId="36" borderId="218" applyNumberFormat="0" applyAlignment="0" applyProtection="0"/>
    <xf numFmtId="0" fontId="39" fillId="37" borderId="218" applyNumberFormat="0" applyAlignment="0" applyProtection="0"/>
    <xf numFmtId="0" fontId="8" fillId="24" borderId="217" applyNumberFormat="0" applyFont="0" applyAlignment="0" applyProtection="0"/>
    <xf numFmtId="0" fontId="8" fillId="24" borderId="217" applyNumberFormat="0" applyFont="0" applyAlignment="0" applyProtection="0"/>
    <xf numFmtId="0" fontId="27" fillId="37" borderId="216" applyNumberFormat="0" applyAlignment="0" applyProtection="0"/>
    <xf numFmtId="0" fontId="33" fillId="21" borderId="216" applyNumberFormat="0" applyAlignment="0" applyProtection="0"/>
    <xf numFmtId="0" fontId="33" fillId="27" borderId="216" applyNumberFormat="0" applyAlignment="0" applyProtection="0"/>
    <xf numFmtId="0" fontId="39" fillId="36" borderId="218" applyNumberFormat="0" applyAlignment="0" applyProtection="0"/>
    <xf numFmtId="0" fontId="27" fillId="37" borderId="216" applyNumberFormat="0" applyAlignment="0" applyProtection="0"/>
    <xf numFmtId="0" fontId="2" fillId="24" borderId="217" applyNumberFormat="0" applyFont="0" applyAlignment="0" applyProtection="0"/>
    <xf numFmtId="0" fontId="39" fillId="37" borderId="218" applyNumberFormat="0" applyAlignment="0" applyProtection="0"/>
    <xf numFmtId="0" fontId="33" fillId="21" borderId="216" applyNumberFormat="0" applyAlignment="0" applyProtection="0"/>
    <xf numFmtId="0" fontId="33" fillId="21" borderId="216" applyNumberFormat="0" applyAlignment="0" applyProtection="0"/>
    <xf numFmtId="0" fontId="2" fillId="24" borderId="217" applyNumberFormat="0" applyFont="0" applyAlignment="0" applyProtection="0"/>
    <xf numFmtId="0" fontId="33" fillId="21" borderId="216" applyNumberFormat="0" applyAlignment="0" applyProtection="0"/>
    <xf numFmtId="0" fontId="33" fillId="27" borderId="216" applyNumberFormat="0" applyAlignment="0" applyProtection="0"/>
    <xf numFmtId="0" fontId="33" fillId="21" borderId="216" applyNumberFormat="0" applyAlignment="0" applyProtection="0"/>
    <xf numFmtId="0" fontId="33" fillId="27" borderId="216" applyNumberFormat="0" applyAlignment="0" applyProtection="0"/>
    <xf numFmtId="0" fontId="26" fillId="36" borderId="216" applyNumberFormat="0" applyAlignment="0" applyProtection="0"/>
    <xf numFmtId="0" fontId="27" fillId="37" borderId="216" applyNumberFormat="0" applyAlignment="0" applyProtection="0"/>
    <xf numFmtId="0" fontId="33" fillId="21" borderId="216" applyNumberFormat="0" applyAlignment="0" applyProtection="0"/>
    <xf numFmtId="0" fontId="33" fillId="27" borderId="216" applyNumberFormat="0" applyAlignment="0" applyProtection="0"/>
    <xf numFmtId="0" fontId="33" fillId="21" borderId="216" applyNumberFormat="0" applyAlignment="0" applyProtection="0"/>
    <xf numFmtId="0" fontId="8" fillId="24" borderId="217" applyNumberFormat="0" applyFont="0" applyAlignment="0" applyProtection="0"/>
    <xf numFmtId="0" fontId="26" fillId="36" borderId="216" applyNumberFormat="0" applyAlignment="0" applyProtection="0"/>
    <xf numFmtId="0" fontId="2" fillId="24" borderId="217" applyNumberFormat="0" applyFont="0" applyAlignment="0" applyProtection="0"/>
    <xf numFmtId="0" fontId="44" fillId="0" borderId="219" applyNumberFormat="0" applyFill="0" applyAlignment="0" applyProtection="0"/>
    <xf numFmtId="0" fontId="39" fillId="36" borderId="218" applyNumberFormat="0" applyAlignment="0" applyProtection="0"/>
    <xf numFmtId="0" fontId="26" fillId="36" borderId="216" applyNumberFormat="0" applyAlignment="0" applyProtection="0"/>
    <xf numFmtId="0" fontId="26" fillId="36" borderId="216" applyNumberFormat="0" applyAlignment="0" applyProtection="0"/>
    <xf numFmtId="0" fontId="26" fillId="36" borderId="216" applyNumberFormat="0" applyAlignment="0" applyProtection="0"/>
    <xf numFmtId="0" fontId="39" fillId="36" borderId="218" applyNumberFormat="0" applyAlignment="0" applyProtection="0"/>
    <xf numFmtId="0" fontId="39" fillId="36" borderId="218" applyNumberFormat="0" applyAlignment="0" applyProtection="0"/>
    <xf numFmtId="0" fontId="39" fillId="36" borderId="218" applyNumberFormat="0" applyAlignment="0" applyProtection="0"/>
    <xf numFmtId="0" fontId="8" fillId="24" borderId="217" applyNumberFormat="0" applyFont="0" applyAlignment="0" applyProtection="0"/>
    <xf numFmtId="0" fontId="8" fillId="24" borderId="217" applyNumberFormat="0" applyFont="0" applyAlignment="0" applyProtection="0"/>
    <xf numFmtId="0" fontId="26" fillId="36" borderId="216" applyNumberFormat="0" applyAlignment="0" applyProtection="0"/>
    <xf numFmtId="0" fontId="27" fillId="37" borderId="216" applyNumberFormat="0" applyAlignment="0" applyProtection="0"/>
    <xf numFmtId="0" fontId="39" fillId="36" borderId="218" applyNumberFormat="0" applyAlignment="0" applyProtection="0"/>
    <xf numFmtId="0" fontId="27" fillId="37" borderId="216" applyNumberFormat="0" applyAlignment="0" applyProtection="0"/>
    <xf numFmtId="0" fontId="33" fillId="21" borderId="216" applyNumberFormat="0" applyAlignment="0" applyProtection="0"/>
    <xf numFmtId="0" fontId="33" fillId="27" borderId="216" applyNumberFormat="0" applyAlignment="0" applyProtection="0"/>
    <xf numFmtId="0" fontId="44" fillId="0" borderId="219" applyNumberFormat="0" applyFill="0" applyAlignment="0" applyProtection="0"/>
    <xf numFmtId="0" fontId="44" fillId="0" borderId="220" applyNumberFormat="0" applyFill="0" applyAlignment="0" applyProtection="0"/>
    <xf numFmtId="0" fontId="44" fillId="0" borderId="219" applyNumberFormat="0" applyFill="0" applyAlignment="0" applyProtection="0"/>
    <xf numFmtId="0" fontId="27" fillId="37" borderId="216" applyNumberFormat="0" applyAlignment="0" applyProtection="0"/>
    <xf numFmtId="0" fontId="44" fillId="0" borderId="220" applyNumberFormat="0" applyFill="0" applyAlignment="0" applyProtection="0"/>
    <xf numFmtId="0" fontId="8" fillId="24" borderId="217" applyNumberFormat="0" applyFont="0" applyAlignment="0" applyProtection="0"/>
    <xf numFmtId="0" fontId="39" fillId="36" borderId="218" applyNumberFormat="0" applyAlignment="0" applyProtection="0"/>
    <xf numFmtId="0" fontId="39" fillId="37" borderId="218" applyNumberFormat="0" applyAlignment="0" applyProtection="0"/>
    <xf numFmtId="0" fontId="39" fillId="37" borderId="218" applyNumberFormat="0" applyAlignment="0" applyProtection="0"/>
    <xf numFmtId="0" fontId="39" fillId="36" borderId="218" applyNumberFormat="0" applyAlignment="0" applyProtection="0"/>
    <xf numFmtId="0" fontId="26" fillId="36" borderId="216" applyNumberFormat="0" applyAlignment="0" applyProtection="0"/>
    <xf numFmtId="0" fontId="44" fillId="0" borderId="220" applyNumberFormat="0" applyFill="0" applyAlignment="0" applyProtection="0"/>
    <xf numFmtId="0" fontId="39" fillId="36" borderId="218" applyNumberFormat="0" applyAlignment="0" applyProtection="0"/>
    <xf numFmtId="0" fontId="39" fillId="36" borderId="218" applyNumberFormat="0" applyAlignment="0" applyProtection="0"/>
    <xf numFmtId="0" fontId="8" fillId="24" borderId="217" applyNumberFormat="0" applyFont="0" applyAlignment="0" applyProtection="0"/>
    <xf numFmtId="0" fontId="26" fillId="36" borderId="216" applyNumberFormat="0" applyAlignment="0" applyProtection="0"/>
    <xf numFmtId="0" fontId="8" fillId="24" borderId="217" applyNumberFormat="0" applyFont="0" applyAlignment="0" applyProtection="0"/>
    <xf numFmtId="0" fontId="44" fillId="0" borderId="219" applyNumberFormat="0" applyFill="0" applyAlignment="0" applyProtection="0"/>
    <xf numFmtId="0" fontId="44" fillId="0" borderId="220" applyNumberFormat="0" applyFill="0" applyAlignment="0" applyProtection="0"/>
    <xf numFmtId="0" fontId="33" fillId="27" borderId="216" applyNumberFormat="0" applyAlignment="0" applyProtection="0"/>
    <xf numFmtId="0" fontId="39" fillId="36" borderId="218" applyNumberFormat="0" applyAlignment="0" applyProtection="0"/>
    <xf numFmtId="0" fontId="44" fillId="0" borderId="220" applyNumberFormat="0" applyFill="0" applyAlignment="0" applyProtection="0"/>
    <xf numFmtId="0" fontId="8" fillId="24" borderId="217" applyNumberFormat="0" applyFont="0" applyAlignment="0" applyProtection="0"/>
    <xf numFmtId="0" fontId="8" fillId="24" borderId="217" applyNumberFormat="0" applyFont="0" applyAlignment="0" applyProtection="0"/>
    <xf numFmtId="0" fontId="2" fillId="24" borderId="217" applyNumberFormat="0" applyFont="0" applyAlignment="0" applyProtection="0"/>
    <xf numFmtId="0" fontId="39" fillId="36" borderId="218" applyNumberFormat="0" applyAlignment="0" applyProtection="0"/>
    <xf numFmtId="0" fontId="2" fillId="24" borderId="217" applyNumberFormat="0" applyFont="0" applyAlignment="0" applyProtection="0"/>
    <xf numFmtId="0" fontId="44" fillId="0" borderId="219" applyNumberFormat="0" applyFill="0" applyAlignment="0" applyProtection="0"/>
    <xf numFmtId="0" fontId="44" fillId="0" borderId="219" applyNumberFormat="0" applyFill="0" applyAlignment="0" applyProtection="0"/>
    <xf numFmtId="0" fontId="33" fillId="21" borderId="216" applyNumberFormat="0" applyAlignment="0" applyProtection="0"/>
    <xf numFmtId="0" fontId="39" fillId="37" borderId="218" applyNumberFormat="0" applyAlignment="0" applyProtection="0"/>
    <xf numFmtId="0" fontId="39" fillId="36" borderId="218" applyNumberFormat="0" applyAlignment="0" applyProtection="0"/>
    <xf numFmtId="0" fontId="2" fillId="24" borderId="217" applyNumberFormat="0" applyFont="0" applyAlignment="0" applyProtection="0"/>
    <xf numFmtId="0" fontId="44" fillId="0" borderId="220" applyNumberFormat="0" applyFill="0" applyAlignment="0" applyProtection="0"/>
    <xf numFmtId="0" fontId="27" fillId="37" borderId="216" applyNumberFormat="0" applyAlignment="0" applyProtection="0"/>
    <xf numFmtId="0" fontId="8" fillId="24" borderId="217" applyNumberFormat="0" applyFont="0" applyAlignment="0" applyProtection="0"/>
    <xf numFmtId="0" fontId="44" fillId="0" borderId="219" applyNumberFormat="0" applyFill="0" applyAlignment="0" applyProtection="0"/>
    <xf numFmtId="0" fontId="8" fillId="24" borderId="217" applyNumberFormat="0" applyFont="0" applyAlignment="0" applyProtection="0"/>
    <xf numFmtId="0" fontId="27" fillId="37" borderId="216" applyNumberFormat="0" applyAlignment="0" applyProtection="0"/>
    <xf numFmtId="0" fontId="26" fillId="36" borderId="216" applyNumberFormat="0" applyAlignment="0" applyProtection="0"/>
    <xf numFmtId="0" fontId="44" fillId="0" borderId="219" applyNumberFormat="0" applyFill="0" applyAlignment="0" applyProtection="0"/>
    <xf numFmtId="0" fontId="44" fillId="0" borderId="220" applyNumberFormat="0" applyFill="0" applyAlignment="0" applyProtection="0"/>
    <xf numFmtId="0" fontId="8" fillId="24" borderId="217" applyNumberFormat="0" applyFont="0" applyAlignment="0" applyProtection="0"/>
    <xf numFmtId="0" fontId="39" fillId="37" borderId="218" applyNumberFormat="0" applyAlignment="0" applyProtection="0"/>
    <xf numFmtId="0" fontId="8" fillId="24" borderId="217" applyNumberFormat="0" applyFont="0" applyAlignment="0" applyProtection="0"/>
    <xf numFmtId="0" fontId="33" fillId="27" borderId="216" applyNumberFormat="0" applyAlignment="0" applyProtection="0"/>
    <xf numFmtId="0" fontId="39" fillId="36" borderId="218" applyNumberFormat="0" applyAlignment="0" applyProtection="0"/>
    <xf numFmtId="0" fontId="39" fillId="37" borderId="218" applyNumberFormat="0" applyAlignment="0" applyProtection="0"/>
    <xf numFmtId="0" fontId="8" fillId="24" borderId="217" applyNumberFormat="0" applyFont="0" applyAlignment="0" applyProtection="0"/>
    <xf numFmtId="0" fontId="33" fillId="21" borderId="216" applyNumberFormat="0" applyAlignment="0" applyProtection="0"/>
    <xf numFmtId="0" fontId="27" fillId="37" borderId="216" applyNumberFormat="0" applyAlignment="0" applyProtection="0"/>
    <xf numFmtId="0" fontId="44" fillId="0" borderId="219" applyNumberFormat="0" applyFill="0" applyAlignment="0" applyProtection="0"/>
    <xf numFmtId="0" fontId="33" fillId="27" borderId="216" applyNumberFormat="0" applyAlignment="0" applyProtection="0"/>
    <xf numFmtId="0" fontId="39" fillId="36" borderId="218" applyNumberFormat="0" applyAlignment="0" applyProtection="0"/>
    <xf numFmtId="0" fontId="39" fillId="37" borderId="218" applyNumberFormat="0" applyAlignment="0" applyProtection="0"/>
    <xf numFmtId="0" fontId="26" fillId="36" borderId="216" applyNumberFormat="0" applyAlignment="0" applyProtection="0"/>
    <xf numFmtId="0" fontId="26" fillId="36" borderId="216" applyNumberFormat="0" applyAlignment="0" applyProtection="0"/>
    <xf numFmtId="0" fontId="33" fillId="21" borderId="216" applyNumberFormat="0" applyAlignment="0" applyProtection="0"/>
    <xf numFmtId="0" fontId="2" fillId="24" borderId="217" applyNumberFormat="0" applyFont="0" applyAlignment="0" applyProtection="0"/>
    <xf numFmtId="0" fontId="33" fillId="21" borderId="216" applyNumberFormat="0" applyAlignment="0" applyProtection="0"/>
    <xf numFmtId="0" fontId="33" fillId="21" borderId="216" applyNumberFormat="0" applyAlignment="0" applyProtection="0"/>
    <xf numFmtId="0" fontId="26" fillId="36" borderId="216" applyNumberFormat="0" applyAlignment="0" applyProtection="0"/>
    <xf numFmtId="0" fontId="39" fillId="36" borderId="218" applyNumberFormat="0" applyAlignment="0" applyProtection="0"/>
    <xf numFmtId="0" fontId="8" fillId="24" borderId="217" applyNumberFormat="0" applyFont="0" applyAlignment="0" applyProtection="0"/>
    <xf numFmtId="0" fontId="26" fillId="36" borderId="216" applyNumberFormat="0" applyAlignment="0" applyProtection="0"/>
    <xf numFmtId="0" fontId="33" fillId="21" borderId="216" applyNumberFormat="0" applyAlignment="0" applyProtection="0"/>
    <xf numFmtId="0" fontId="33" fillId="21" borderId="216" applyNumberFormat="0" applyAlignment="0" applyProtection="0"/>
    <xf numFmtId="0" fontId="39" fillId="36" borderId="218" applyNumberFormat="0" applyAlignment="0" applyProtection="0"/>
    <xf numFmtId="0" fontId="39" fillId="36" borderId="218" applyNumberFormat="0" applyAlignment="0" applyProtection="0"/>
    <xf numFmtId="0" fontId="44" fillId="0" borderId="220" applyNumberFormat="0" applyFill="0" applyAlignment="0" applyProtection="0"/>
    <xf numFmtId="0" fontId="44" fillId="0" borderId="220" applyNumberFormat="0" applyFill="0" applyAlignment="0" applyProtection="0"/>
    <xf numFmtId="0" fontId="27" fillId="37" borderId="216" applyNumberFormat="0" applyAlignment="0" applyProtection="0"/>
    <xf numFmtId="0" fontId="26" fillId="36" borderId="216" applyNumberFormat="0" applyAlignment="0" applyProtection="0"/>
    <xf numFmtId="0" fontId="33" fillId="21" borderId="216" applyNumberFormat="0" applyAlignment="0" applyProtection="0"/>
    <xf numFmtId="0" fontId="33" fillId="27" borderId="216" applyNumberFormat="0" applyAlignment="0" applyProtection="0"/>
    <xf numFmtId="0" fontId="39" fillId="37" borderId="218" applyNumberFormat="0" applyAlignment="0" applyProtection="0"/>
    <xf numFmtId="0" fontId="26" fillId="36" borderId="216" applyNumberFormat="0" applyAlignment="0" applyProtection="0"/>
    <xf numFmtId="0" fontId="39" fillId="36" borderId="218" applyNumberFormat="0" applyAlignment="0" applyProtection="0"/>
    <xf numFmtId="0" fontId="33" fillId="21" borderId="216" applyNumberFormat="0" applyAlignment="0" applyProtection="0"/>
    <xf numFmtId="0" fontId="27" fillId="37" borderId="216" applyNumberFormat="0" applyAlignment="0" applyProtection="0"/>
    <xf numFmtId="0" fontId="44" fillId="0" borderId="219" applyNumberFormat="0" applyFill="0" applyAlignment="0" applyProtection="0"/>
    <xf numFmtId="0" fontId="39" fillId="37" borderId="218" applyNumberFormat="0" applyAlignment="0" applyProtection="0"/>
    <xf numFmtId="0" fontId="26" fillId="36" borderId="216" applyNumberFormat="0" applyAlignment="0" applyProtection="0"/>
    <xf numFmtId="0" fontId="39" fillId="36" borderId="218" applyNumberFormat="0" applyAlignment="0" applyProtection="0"/>
    <xf numFmtId="0" fontId="8" fillId="24" borderId="217" applyNumberFormat="0" applyFont="0" applyAlignment="0" applyProtection="0"/>
    <xf numFmtId="0" fontId="8" fillId="24" borderId="217" applyNumberFormat="0" applyFont="0" applyAlignment="0" applyProtection="0"/>
    <xf numFmtId="0" fontId="26" fillId="36" borderId="216" applyNumberFormat="0" applyAlignment="0" applyProtection="0"/>
    <xf numFmtId="0" fontId="26" fillId="36" borderId="216" applyNumberFormat="0" applyAlignment="0" applyProtection="0"/>
    <xf numFmtId="0" fontId="33" fillId="27" borderId="216" applyNumberFormat="0" applyAlignment="0" applyProtection="0"/>
    <xf numFmtId="0" fontId="39" fillId="36" borderId="218" applyNumberFormat="0" applyAlignment="0" applyProtection="0"/>
    <xf numFmtId="0" fontId="2" fillId="24" borderId="217" applyNumberFormat="0" applyFont="0" applyAlignment="0" applyProtection="0"/>
    <xf numFmtId="0" fontId="44" fillId="0" borderId="220" applyNumberFormat="0" applyFill="0" applyAlignment="0" applyProtection="0"/>
    <xf numFmtId="0" fontId="26" fillId="36" borderId="216" applyNumberFormat="0" applyAlignment="0" applyProtection="0"/>
    <xf numFmtId="0" fontId="27" fillId="37" borderId="216" applyNumberFormat="0" applyAlignment="0" applyProtection="0"/>
    <xf numFmtId="0" fontId="2" fillId="24" borderId="217" applyNumberFormat="0" applyFont="0" applyAlignment="0" applyProtection="0"/>
    <xf numFmtId="0" fontId="8" fillId="24" borderId="217" applyNumberFormat="0" applyFont="0" applyAlignment="0" applyProtection="0"/>
    <xf numFmtId="0" fontId="33" fillId="27" borderId="216" applyNumberFormat="0" applyAlignment="0" applyProtection="0"/>
    <xf numFmtId="0" fontId="33" fillId="21" borderId="216" applyNumberFormat="0" applyAlignment="0" applyProtection="0"/>
    <xf numFmtId="0" fontId="44" fillId="0" borderId="220" applyNumberFormat="0" applyFill="0" applyAlignment="0" applyProtection="0"/>
    <xf numFmtId="0" fontId="8" fillId="24" borderId="217" applyNumberFormat="0" applyFont="0" applyAlignment="0" applyProtection="0"/>
    <xf numFmtId="0" fontId="33" fillId="21" borderId="216" applyNumberFormat="0" applyAlignment="0" applyProtection="0"/>
    <xf numFmtId="0" fontId="8" fillId="24" borderId="217" applyNumberFormat="0" applyFont="0" applyAlignment="0" applyProtection="0"/>
    <xf numFmtId="0" fontId="33" fillId="21" borderId="216" applyNumberFormat="0" applyAlignment="0" applyProtection="0"/>
    <xf numFmtId="0" fontId="27" fillId="37" borderId="216" applyNumberFormat="0" applyAlignment="0" applyProtection="0"/>
    <xf numFmtId="0" fontId="44" fillId="0" borderId="219" applyNumberFormat="0" applyFill="0" applyAlignment="0" applyProtection="0"/>
    <xf numFmtId="0" fontId="33" fillId="27" borderId="216" applyNumberFormat="0" applyAlignment="0" applyProtection="0"/>
    <xf numFmtId="0" fontId="44" fillId="0" borderId="219" applyNumberFormat="0" applyFill="0" applyAlignment="0" applyProtection="0"/>
    <xf numFmtId="0" fontId="8" fillId="24" borderId="217" applyNumberFormat="0" applyFont="0" applyAlignment="0" applyProtection="0"/>
    <xf numFmtId="0" fontId="26" fillId="36" borderId="216" applyNumberFormat="0" applyAlignment="0" applyProtection="0"/>
    <xf numFmtId="0" fontId="33" fillId="27" borderId="216" applyNumberFormat="0" applyAlignment="0" applyProtection="0"/>
    <xf numFmtId="0" fontId="8" fillId="24" borderId="217" applyNumberFormat="0" applyFont="0" applyAlignment="0" applyProtection="0"/>
    <xf numFmtId="0" fontId="44" fillId="0" borderId="219" applyNumberFormat="0" applyFill="0" applyAlignment="0" applyProtection="0"/>
    <xf numFmtId="0" fontId="44" fillId="0" borderId="219" applyNumberFormat="0" applyFill="0" applyAlignment="0" applyProtection="0"/>
    <xf numFmtId="0" fontId="39" fillId="36" borderId="218" applyNumberFormat="0" applyAlignment="0" applyProtection="0"/>
    <xf numFmtId="0" fontId="44" fillId="0" borderId="219" applyNumberFormat="0" applyFill="0" applyAlignment="0" applyProtection="0"/>
    <xf numFmtId="0" fontId="2" fillId="24" borderId="217" applyNumberFormat="0" applyFont="0" applyAlignment="0" applyProtection="0"/>
    <xf numFmtId="0" fontId="2" fillId="24" borderId="217" applyNumberFormat="0" applyFont="0" applyAlignment="0" applyProtection="0"/>
    <xf numFmtId="0" fontId="33" fillId="21" borderId="216" applyNumberFormat="0" applyAlignment="0" applyProtection="0"/>
    <xf numFmtId="0" fontId="8" fillId="24" borderId="217" applyNumberFormat="0" applyFont="0" applyAlignment="0" applyProtection="0"/>
    <xf numFmtId="0" fontId="26" fillId="36" borderId="216" applyNumberFormat="0" applyAlignment="0" applyProtection="0"/>
    <xf numFmtId="0" fontId="39" fillId="37" borderId="218" applyNumberFormat="0" applyAlignment="0" applyProtection="0"/>
    <xf numFmtId="0" fontId="33" fillId="21" borderId="216" applyNumberFormat="0" applyAlignment="0" applyProtection="0"/>
    <xf numFmtId="0" fontId="33" fillId="21" borderId="216" applyNumberFormat="0" applyAlignment="0" applyProtection="0"/>
    <xf numFmtId="0" fontId="27" fillId="37" borderId="216" applyNumberFormat="0" applyAlignment="0" applyProtection="0"/>
    <xf numFmtId="0" fontId="26" fillId="36" borderId="216" applyNumberFormat="0" applyAlignment="0" applyProtection="0"/>
    <xf numFmtId="0" fontId="2" fillId="24" borderId="217" applyNumberFormat="0" applyFont="0" applyAlignment="0" applyProtection="0"/>
    <xf numFmtId="0" fontId="26" fillId="36" borderId="216" applyNumberFormat="0" applyAlignment="0" applyProtection="0"/>
    <xf numFmtId="0" fontId="39" fillId="36" borderId="218" applyNumberFormat="0" applyAlignment="0" applyProtection="0"/>
    <xf numFmtId="0" fontId="33" fillId="21" borderId="216" applyNumberFormat="0" applyAlignment="0" applyProtection="0"/>
    <xf numFmtId="0" fontId="44" fillId="0" borderId="219" applyNumberFormat="0" applyFill="0" applyAlignment="0" applyProtection="0"/>
    <xf numFmtId="0" fontId="33" fillId="21" borderId="216" applyNumberFormat="0" applyAlignment="0" applyProtection="0"/>
    <xf numFmtId="0" fontId="8" fillId="24" borderId="217" applyNumberFormat="0" applyFont="0" applyAlignment="0" applyProtection="0"/>
    <xf numFmtId="0" fontId="26" fillId="36" borderId="216" applyNumberFormat="0" applyAlignment="0" applyProtection="0"/>
    <xf numFmtId="0" fontId="39" fillId="37" borderId="218" applyNumberFormat="0" applyAlignment="0" applyProtection="0"/>
    <xf numFmtId="0" fontId="33" fillId="27" borderId="216" applyNumberFormat="0" applyAlignment="0" applyProtection="0"/>
    <xf numFmtId="0" fontId="44" fillId="0" borderId="220" applyNumberFormat="0" applyFill="0" applyAlignment="0" applyProtection="0"/>
    <xf numFmtId="0" fontId="33" fillId="27" borderId="216" applyNumberFormat="0" applyAlignment="0" applyProtection="0"/>
    <xf numFmtId="0" fontId="44" fillId="0" borderId="219" applyNumberFormat="0" applyFill="0" applyAlignment="0" applyProtection="0"/>
    <xf numFmtId="0" fontId="44" fillId="0" borderId="220" applyNumberFormat="0" applyFill="0" applyAlignment="0" applyProtection="0"/>
    <xf numFmtId="0" fontId="39" fillId="36" borderId="218" applyNumberFormat="0" applyAlignment="0" applyProtection="0"/>
    <xf numFmtId="0" fontId="39" fillId="36" borderId="218" applyNumberFormat="0" applyAlignment="0" applyProtection="0"/>
    <xf numFmtId="0" fontId="26" fillId="36" borderId="216" applyNumberFormat="0" applyAlignment="0" applyProtection="0"/>
    <xf numFmtId="0" fontId="39" fillId="37" borderId="218" applyNumberFormat="0" applyAlignment="0" applyProtection="0"/>
    <xf numFmtId="0" fontId="33" fillId="27" borderId="216" applyNumberFormat="0" applyAlignment="0" applyProtection="0"/>
    <xf numFmtId="0" fontId="8" fillId="24" borderId="217" applyNumberFormat="0" applyFont="0" applyAlignment="0" applyProtection="0"/>
    <xf numFmtId="0" fontId="39" fillId="36" borderId="218" applyNumberFormat="0" applyAlignment="0" applyProtection="0"/>
    <xf numFmtId="0" fontId="2" fillId="24" borderId="217" applyNumberFormat="0" applyFont="0" applyAlignment="0" applyProtection="0"/>
    <xf numFmtId="0" fontId="33" fillId="27" borderId="216" applyNumberFormat="0" applyAlignment="0" applyProtection="0"/>
    <xf numFmtId="0" fontId="8" fillId="24" borderId="217" applyNumberFormat="0" applyFont="0" applyAlignment="0" applyProtection="0"/>
    <xf numFmtId="0" fontId="33" fillId="21" borderId="216" applyNumberFormat="0" applyAlignment="0" applyProtection="0"/>
    <xf numFmtId="0" fontId="8" fillId="24" borderId="217" applyNumberFormat="0" applyFont="0" applyAlignment="0" applyProtection="0"/>
    <xf numFmtId="0" fontId="2" fillId="24" borderId="217" applyNumberFormat="0" applyFont="0" applyAlignment="0" applyProtection="0"/>
    <xf numFmtId="0" fontId="44" fillId="0" borderId="219" applyNumberFormat="0" applyFill="0" applyAlignment="0" applyProtection="0"/>
    <xf numFmtId="0" fontId="33" fillId="21" borderId="216" applyNumberFormat="0" applyAlignment="0" applyProtection="0"/>
    <xf numFmtId="0" fontId="39" fillId="36" borderId="218" applyNumberFormat="0" applyAlignment="0" applyProtection="0"/>
    <xf numFmtId="0" fontId="8" fillId="24" borderId="217" applyNumberFormat="0" applyFont="0" applyAlignment="0" applyProtection="0"/>
    <xf numFmtId="0" fontId="39" fillId="37" borderId="218" applyNumberFormat="0" applyAlignment="0" applyProtection="0"/>
    <xf numFmtId="0" fontId="44" fillId="0" borderId="220" applyNumberFormat="0" applyFill="0" applyAlignment="0" applyProtection="0"/>
    <xf numFmtId="0" fontId="44" fillId="0" borderId="220" applyNumberFormat="0" applyFill="0" applyAlignment="0" applyProtection="0"/>
    <xf numFmtId="0" fontId="44" fillId="0" borderId="219" applyNumberFormat="0" applyFill="0" applyAlignment="0" applyProtection="0"/>
    <xf numFmtId="0" fontId="26" fillId="36" borderId="216" applyNumberFormat="0" applyAlignment="0" applyProtection="0"/>
    <xf numFmtId="0" fontId="44" fillId="0" borderId="219" applyNumberFormat="0" applyFill="0" applyAlignment="0" applyProtection="0"/>
    <xf numFmtId="0" fontId="33" fillId="21" borderId="216" applyNumberFormat="0" applyAlignment="0" applyProtection="0"/>
    <xf numFmtId="0" fontId="39" fillId="36" borderId="218" applyNumberFormat="0" applyAlignment="0" applyProtection="0"/>
    <xf numFmtId="0" fontId="26" fillId="36" borderId="216" applyNumberFormat="0" applyAlignment="0" applyProtection="0"/>
    <xf numFmtId="0" fontId="8" fillId="24" borderId="217" applyNumberFormat="0" applyFont="0" applyAlignment="0" applyProtection="0"/>
    <xf numFmtId="0" fontId="44" fillId="0" borderId="220" applyNumberFormat="0" applyFill="0" applyAlignment="0" applyProtection="0"/>
    <xf numFmtId="0" fontId="8" fillId="24" borderId="217" applyNumberFormat="0" applyFont="0" applyAlignment="0" applyProtection="0"/>
    <xf numFmtId="0" fontId="33" fillId="21" borderId="216" applyNumberFormat="0" applyAlignment="0" applyProtection="0"/>
    <xf numFmtId="0" fontId="39" fillId="36" borderId="218" applyNumberFormat="0" applyAlignment="0" applyProtection="0"/>
    <xf numFmtId="0" fontId="2" fillId="24" borderId="217" applyNumberFormat="0" applyFont="0" applyAlignment="0" applyProtection="0"/>
    <xf numFmtId="0" fontId="39" fillId="37" borderId="218" applyNumberFormat="0" applyAlignment="0" applyProtection="0"/>
    <xf numFmtId="0" fontId="33" fillId="21" borderId="216" applyNumberFormat="0" applyAlignment="0" applyProtection="0"/>
    <xf numFmtId="0" fontId="44" fillId="0" borderId="219" applyNumberFormat="0" applyFill="0" applyAlignment="0" applyProtection="0"/>
    <xf numFmtId="0" fontId="8" fillId="24" borderId="217" applyNumberFormat="0" applyFont="0" applyAlignment="0" applyProtection="0"/>
    <xf numFmtId="0" fontId="26" fillId="36" borderId="216" applyNumberFormat="0" applyAlignment="0" applyProtection="0"/>
    <xf numFmtId="0" fontId="26" fillId="36" borderId="216" applyNumberFormat="0" applyAlignment="0" applyProtection="0"/>
    <xf numFmtId="0" fontId="39" fillId="37" borderId="218" applyNumberFormat="0" applyAlignment="0" applyProtection="0"/>
    <xf numFmtId="0" fontId="26" fillId="36" borderId="216" applyNumberFormat="0" applyAlignment="0" applyProtection="0"/>
    <xf numFmtId="0" fontId="27" fillId="37" borderId="216" applyNumberFormat="0" applyAlignment="0" applyProtection="0"/>
    <xf numFmtId="0" fontId="8" fillId="24" borderId="217" applyNumberFormat="0" applyFont="0" applyAlignment="0" applyProtection="0"/>
    <xf numFmtId="0" fontId="39" fillId="36" borderId="218" applyNumberFormat="0" applyAlignment="0" applyProtection="0"/>
    <xf numFmtId="0" fontId="39" fillId="36" borderId="218" applyNumberFormat="0" applyAlignment="0" applyProtection="0"/>
    <xf numFmtId="0" fontId="27" fillId="37" borderId="216" applyNumberFormat="0" applyAlignment="0" applyProtection="0"/>
    <xf numFmtId="0" fontId="2" fillId="24" borderId="217" applyNumberFormat="0" applyFont="0" applyAlignment="0" applyProtection="0"/>
    <xf numFmtId="0" fontId="33" fillId="21" borderId="216" applyNumberFormat="0" applyAlignment="0" applyProtection="0"/>
    <xf numFmtId="0" fontId="33" fillId="21" borderId="216" applyNumberFormat="0" applyAlignment="0" applyProtection="0"/>
    <xf numFmtId="0" fontId="33" fillId="21" borderId="216" applyNumberFormat="0" applyAlignment="0" applyProtection="0"/>
    <xf numFmtId="0" fontId="2" fillId="24" borderId="217" applyNumberFormat="0" applyFont="0" applyAlignment="0" applyProtection="0"/>
    <xf numFmtId="0" fontId="27" fillId="37" borderId="216" applyNumberFormat="0" applyAlignment="0" applyProtection="0"/>
    <xf numFmtId="0" fontId="39" fillId="36" borderId="218" applyNumberFormat="0" applyAlignment="0" applyProtection="0"/>
    <xf numFmtId="0" fontId="33" fillId="21" borderId="216" applyNumberFormat="0" applyAlignment="0" applyProtection="0"/>
    <xf numFmtId="0" fontId="44" fillId="0" borderId="219" applyNumberFormat="0" applyFill="0" applyAlignment="0" applyProtection="0"/>
    <xf numFmtId="0" fontId="33" fillId="21" borderId="216" applyNumberFormat="0" applyAlignment="0" applyProtection="0"/>
    <xf numFmtId="0" fontId="33" fillId="27" borderId="216" applyNumberFormat="0" applyAlignment="0" applyProtection="0"/>
    <xf numFmtId="0" fontId="39" fillId="36" borderId="218" applyNumberFormat="0" applyAlignment="0" applyProtection="0"/>
    <xf numFmtId="0" fontId="33" fillId="27" borderId="216" applyNumberFormat="0" applyAlignment="0" applyProtection="0"/>
    <xf numFmtId="0" fontId="44" fillId="0" borderId="219" applyNumberFormat="0" applyFill="0" applyAlignment="0" applyProtection="0"/>
    <xf numFmtId="0" fontId="44" fillId="0" borderId="219" applyNumberFormat="0" applyFill="0" applyAlignment="0" applyProtection="0"/>
    <xf numFmtId="0" fontId="8" fillId="24" borderId="217" applyNumberFormat="0" applyFont="0" applyAlignment="0" applyProtection="0"/>
    <xf numFmtId="0" fontId="2" fillId="24" borderId="217" applyNumberFormat="0" applyFont="0" applyAlignment="0" applyProtection="0"/>
    <xf numFmtId="0" fontId="33" fillId="21" borderId="216" applyNumberFormat="0" applyAlignment="0" applyProtection="0"/>
    <xf numFmtId="0" fontId="8" fillId="24" borderId="217" applyNumberFormat="0" applyFont="0" applyAlignment="0" applyProtection="0"/>
    <xf numFmtId="0" fontId="26" fillId="36" borderId="216" applyNumberFormat="0" applyAlignment="0" applyProtection="0"/>
    <xf numFmtId="0" fontId="44" fillId="0" borderId="219" applyNumberFormat="0" applyFill="0" applyAlignment="0" applyProtection="0"/>
    <xf numFmtId="0" fontId="39" fillId="36" borderId="218" applyNumberFormat="0" applyAlignment="0" applyProtection="0"/>
    <xf numFmtId="0" fontId="39" fillId="36" borderId="218" applyNumberFormat="0" applyAlignment="0" applyProtection="0"/>
    <xf numFmtId="0" fontId="44" fillId="0" borderId="220" applyNumberFormat="0" applyFill="0" applyAlignment="0" applyProtection="0"/>
    <xf numFmtId="0" fontId="33" fillId="27" borderId="216" applyNumberFormat="0" applyAlignment="0" applyProtection="0"/>
    <xf numFmtId="0" fontId="8" fillId="24" borderId="217" applyNumberFormat="0" applyFont="0" applyAlignment="0" applyProtection="0"/>
    <xf numFmtId="0" fontId="33" fillId="21" borderId="216" applyNumberFormat="0" applyAlignment="0" applyProtection="0"/>
    <xf numFmtId="0" fontId="8" fillId="24" borderId="217" applyNumberFormat="0" applyFont="0" applyAlignment="0" applyProtection="0"/>
    <xf numFmtId="0" fontId="26" fillId="36" borderId="216" applyNumberFormat="0" applyAlignment="0" applyProtection="0"/>
    <xf numFmtId="0" fontId="44" fillId="0" borderId="219" applyNumberFormat="0" applyFill="0" applyAlignment="0" applyProtection="0"/>
    <xf numFmtId="0" fontId="39" fillId="37" borderId="218" applyNumberFormat="0" applyAlignment="0" applyProtection="0"/>
    <xf numFmtId="0" fontId="33" fillId="21" borderId="216" applyNumberFormat="0" applyAlignment="0" applyProtection="0"/>
    <xf numFmtId="0" fontId="26" fillId="36" borderId="216" applyNumberFormat="0" applyAlignment="0" applyProtection="0"/>
    <xf numFmtId="0" fontId="33" fillId="21" borderId="216" applyNumberFormat="0" applyAlignment="0" applyProtection="0"/>
    <xf numFmtId="0" fontId="39" fillId="36" borderId="218" applyNumberFormat="0" applyAlignment="0" applyProtection="0"/>
    <xf numFmtId="0" fontId="8" fillId="24" borderId="217" applyNumberFormat="0" applyFont="0" applyAlignment="0" applyProtection="0"/>
    <xf numFmtId="0" fontId="26" fillId="36" borderId="216" applyNumberFormat="0" applyAlignment="0" applyProtection="0"/>
    <xf numFmtId="0" fontId="44" fillId="0" borderId="220" applyNumberFormat="0" applyFill="0" applyAlignment="0" applyProtection="0"/>
    <xf numFmtId="0" fontId="33" fillId="21" borderId="216" applyNumberFormat="0" applyAlignment="0" applyProtection="0"/>
    <xf numFmtId="0" fontId="44" fillId="0" borderId="219" applyNumberFormat="0" applyFill="0" applyAlignment="0" applyProtection="0"/>
    <xf numFmtId="0" fontId="8" fillId="24" borderId="217" applyNumberFormat="0" applyFont="0" applyAlignment="0" applyProtection="0"/>
    <xf numFmtId="0" fontId="26" fillId="36" borderId="216" applyNumberFormat="0" applyAlignment="0" applyProtection="0"/>
    <xf numFmtId="0" fontId="27" fillId="37" borderId="216" applyNumberFormat="0" applyAlignment="0" applyProtection="0"/>
    <xf numFmtId="0" fontId="39" fillId="37" borderId="218" applyNumberFormat="0" applyAlignment="0" applyProtection="0"/>
    <xf numFmtId="0" fontId="39" fillId="36" borderId="218" applyNumberFormat="0" applyAlignment="0" applyProtection="0"/>
    <xf numFmtId="0" fontId="26" fillId="36" borderId="216" applyNumberFormat="0" applyAlignment="0" applyProtection="0"/>
    <xf numFmtId="0" fontId="26" fillId="36" borderId="216" applyNumberFormat="0" applyAlignment="0" applyProtection="0"/>
    <xf numFmtId="0" fontId="39" fillId="37" borderId="218" applyNumberFormat="0" applyAlignment="0" applyProtection="0"/>
    <xf numFmtId="0" fontId="8" fillId="24" borderId="217" applyNumberFormat="0" applyFont="0" applyAlignment="0" applyProtection="0"/>
    <xf numFmtId="0" fontId="39" fillId="36" borderId="218" applyNumberFormat="0" applyAlignment="0" applyProtection="0"/>
    <xf numFmtId="0" fontId="39" fillId="36" borderId="218" applyNumberFormat="0" applyAlignment="0" applyProtection="0"/>
    <xf numFmtId="0" fontId="27" fillId="37" borderId="216" applyNumberFormat="0" applyAlignment="0" applyProtection="0"/>
    <xf numFmtId="0" fontId="2" fillId="24" borderId="217" applyNumberFormat="0" applyFont="0" applyAlignment="0" applyProtection="0"/>
    <xf numFmtId="0" fontId="33" fillId="21" borderId="216" applyNumberFormat="0" applyAlignment="0" applyProtection="0"/>
    <xf numFmtId="0" fontId="33" fillId="21" borderId="216" applyNumberFormat="0" applyAlignment="0" applyProtection="0"/>
    <xf numFmtId="0" fontId="44" fillId="0" borderId="220" applyNumberFormat="0" applyFill="0" applyAlignment="0" applyProtection="0"/>
    <xf numFmtId="0" fontId="26" fillId="36" borderId="216" applyNumberFormat="0" applyAlignment="0" applyProtection="0"/>
    <xf numFmtId="0" fontId="33" fillId="21" borderId="216" applyNumberFormat="0" applyAlignment="0" applyProtection="0"/>
    <xf numFmtId="0" fontId="2" fillId="24" borderId="217" applyNumberFormat="0" applyFont="0" applyAlignment="0" applyProtection="0"/>
    <xf numFmtId="0" fontId="27" fillId="37" borderId="216" applyNumberFormat="0" applyAlignment="0" applyProtection="0"/>
    <xf numFmtId="0" fontId="27" fillId="37" borderId="216" applyNumberFormat="0" applyAlignment="0" applyProtection="0"/>
    <xf numFmtId="0" fontId="26" fillId="36" borderId="216" applyNumberFormat="0" applyAlignment="0" applyProtection="0"/>
    <xf numFmtId="0" fontId="39" fillId="36" borderId="218" applyNumberFormat="0" applyAlignment="0" applyProtection="0"/>
    <xf numFmtId="0" fontId="39" fillId="36" borderId="218" applyNumberFormat="0" applyAlignment="0" applyProtection="0"/>
    <xf numFmtId="0" fontId="39" fillId="37" borderId="218" applyNumberFormat="0" applyAlignment="0" applyProtection="0"/>
    <xf numFmtId="0" fontId="2" fillId="24" borderId="217" applyNumberFormat="0" applyFont="0" applyAlignment="0" applyProtection="0"/>
    <xf numFmtId="0" fontId="33" fillId="21" borderId="216" applyNumberFormat="0" applyAlignment="0" applyProtection="0"/>
    <xf numFmtId="0" fontId="27" fillId="37" borderId="216" applyNumberFormat="0" applyAlignment="0" applyProtection="0"/>
    <xf numFmtId="0" fontId="39" fillId="37" borderId="218" applyNumberFormat="0" applyAlignment="0" applyProtection="0"/>
    <xf numFmtId="0" fontId="26" fillId="36" borderId="216" applyNumberFormat="0" applyAlignment="0" applyProtection="0"/>
    <xf numFmtId="0" fontId="26" fillId="36" borderId="216" applyNumberFormat="0" applyAlignment="0" applyProtection="0"/>
    <xf numFmtId="0" fontId="39" fillId="37" borderId="218" applyNumberFormat="0" applyAlignment="0" applyProtection="0"/>
    <xf numFmtId="0" fontId="33" fillId="27" borderId="216" applyNumberFormat="0" applyAlignment="0" applyProtection="0"/>
    <xf numFmtId="0" fontId="33" fillId="27" borderId="216" applyNumberFormat="0" applyAlignment="0" applyProtection="0"/>
    <xf numFmtId="0" fontId="2" fillId="24" borderId="217" applyNumberFormat="0" applyFont="0" applyAlignment="0" applyProtection="0"/>
    <xf numFmtId="0" fontId="26" fillId="36" borderId="216" applyNumberFormat="0" applyAlignment="0" applyProtection="0"/>
    <xf numFmtId="0" fontId="39" fillId="37" borderId="218" applyNumberFormat="0" applyAlignment="0" applyProtection="0"/>
    <xf numFmtId="0" fontId="33" fillId="21" borderId="216" applyNumberFormat="0" applyAlignment="0" applyProtection="0"/>
    <xf numFmtId="0" fontId="26" fillId="36" borderId="216" applyNumberFormat="0" applyAlignment="0" applyProtection="0"/>
    <xf numFmtId="0" fontId="33" fillId="21" borderId="216" applyNumberFormat="0" applyAlignment="0" applyProtection="0"/>
    <xf numFmtId="0" fontId="33" fillId="21" borderId="216" applyNumberFormat="0" applyAlignment="0" applyProtection="0"/>
    <xf numFmtId="0" fontId="44" fillId="0" borderId="219" applyNumberFormat="0" applyFill="0" applyAlignment="0" applyProtection="0"/>
    <xf numFmtId="0" fontId="33" fillId="27" borderId="216" applyNumberFormat="0" applyAlignment="0" applyProtection="0"/>
    <xf numFmtId="0" fontId="33" fillId="21" borderId="216" applyNumberFormat="0" applyAlignment="0" applyProtection="0"/>
    <xf numFmtId="0" fontId="26" fillId="36" borderId="216" applyNumberFormat="0" applyAlignment="0" applyProtection="0"/>
    <xf numFmtId="0" fontId="33" fillId="27" borderId="216" applyNumberFormat="0" applyAlignment="0" applyProtection="0"/>
    <xf numFmtId="0" fontId="26" fillId="36" borderId="216" applyNumberFormat="0" applyAlignment="0" applyProtection="0"/>
    <xf numFmtId="0" fontId="33" fillId="21" borderId="216" applyNumberFormat="0" applyAlignment="0" applyProtection="0"/>
    <xf numFmtId="0" fontId="39" fillId="36" borderId="218" applyNumberFormat="0" applyAlignment="0" applyProtection="0"/>
    <xf numFmtId="0" fontId="39" fillId="37" borderId="218" applyNumberFormat="0" applyAlignment="0" applyProtection="0"/>
    <xf numFmtId="0" fontId="33" fillId="27" borderId="216" applyNumberFormat="0" applyAlignment="0" applyProtection="0"/>
    <xf numFmtId="0" fontId="44" fillId="0" borderId="220" applyNumberFormat="0" applyFill="0" applyAlignment="0" applyProtection="0"/>
    <xf numFmtId="0" fontId="8" fillId="24" borderId="217" applyNumberFormat="0" applyFont="0" applyAlignment="0" applyProtection="0"/>
    <xf numFmtId="0" fontId="39" fillId="37" borderId="218" applyNumberFormat="0" applyAlignment="0" applyProtection="0"/>
    <xf numFmtId="0" fontId="44" fillId="0" borderId="220" applyNumberFormat="0" applyFill="0" applyAlignment="0" applyProtection="0"/>
    <xf numFmtId="0" fontId="33" fillId="27" borderId="216" applyNumberFormat="0" applyAlignment="0" applyProtection="0"/>
    <xf numFmtId="0" fontId="44" fillId="0" borderId="220" applyNumberFormat="0" applyFill="0" applyAlignment="0" applyProtection="0"/>
    <xf numFmtId="0" fontId="39" fillId="36" borderId="218" applyNumberFormat="0" applyAlignment="0" applyProtection="0"/>
    <xf numFmtId="0" fontId="2" fillId="24" borderId="217" applyNumberFormat="0" applyFont="0" applyAlignment="0" applyProtection="0"/>
    <xf numFmtId="0" fontId="33" fillId="27" borderId="216" applyNumberFormat="0" applyAlignment="0" applyProtection="0"/>
    <xf numFmtId="0" fontId="39" fillId="37" borderId="218" applyNumberFormat="0" applyAlignment="0" applyProtection="0"/>
    <xf numFmtId="0" fontId="39" fillId="36" borderId="218" applyNumberFormat="0" applyAlignment="0" applyProtection="0"/>
    <xf numFmtId="0" fontId="2" fillId="24" borderId="217" applyNumberFormat="0" applyFont="0" applyAlignment="0" applyProtection="0"/>
    <xf numFmtId="0" fontId="26" fillId="36" borderId="216" applyNumberFormat="0" applyAlignment="0" applyProtection="0"/>
    <xf numFmtId="0" fontId="39" fillId="36" borderId="218" applyNumberFormat="0" applyAlignment="0" applyProtection="0"/>
    <xf numFmtId="0" fontId="26" fillId="36" borderId="216" applyNumberFormat="0" applyAlignment="0" applyProtection="0"/>
    <xf numFmtId="0" fontId="44" fillId="0" borderId="219" applyNumberFormat="0" applyFill="0" applyAlignment="0" applyProtection="0"/>
    <xf numFmtId="0" fontId="44" fillId="0" borderId="219" applyNumberFormat="0" applyFill="0" applyAlignment="0" applyProtection="0"/>
    <xf numFmtId="0" fontId="26" fillId="36" borderId="216" applyNumberFormat="0" applyAlignment="0" applyProtection="0"/>
    <xf numFmtId="0" fontId="26" fillId="36" borderId="216" applyNumberFormat="0" applyAlignment="0" applyProtection="0"/>
    <xf numFmtId="0" fontId="44" fillId="0" borderId="219" applyNumberFormat="0" applyFill="0" applyAlignment="0" applyProtection="0"/>
    <xf numFmtId="0" fontId="8" fillId="24" borderId="217" applyNumberFormat="0" applyFont="0" applyAlignment="0" applyProtection="0"/>
    <xf numFmtId="0" fontId="39" fillId="37" borderId="218" applyNumberFormat="0" applyAlignment="0" applyProtection="0"/>
    <xf numFmtId="0" fontId="33" fillId="21" borderId="216" applyNumberFormat="0" applyAlignment="0" applyProtection="0"/>
    <xf numFmtId="0" fontId="2" fillId="24" borderId="217" applyNumberFormat="0" applyFont="0" applyAlignment="0" applyProtection="0"/>
    <xf numFmtId="0" fontId="8" fillId="24" borderId="217" applyNumberFormat="0" applyFont="0" applyAlignment="0" applyProtection="0"/>
    <xf numFmtId="0" fontId="26" fillId="36" borderId="216" applyNumberFormat="0" applyAlignment="0" applyProtection="0"/>
    <xf numFmtId="0" fontId="33" fillId="21" borderId="216" applyNumberFormat="0" applyAlignment="0" applyProtection="0"/>
    <xf numFmtId="0" fontId="44" fillId="0" borderId="220" applyNumberFormat="0" applyFill="0" applyAlignment="0" applyProtection="0"/>
    <xf numFmtId="0" fontId="26" fillId="36" borderId="216" applyNumberFormat="0" applyAlignment="0" applyProtection="0"/>
    <xf numFmtId="0" fontId="44" fillId="0" borderId="220" applyNumberFormat="0" applyFill="0" applyAlignment="0" applyProtection="0"/>
    <xf numFmtId="0" fontId="2" fillId="24" borderId="217" applyNumberFormat="0" applyFont="0" applyAlignment="0" applyProtection="0"/>
    <xf numFmtId="0" fontId="2" fillId="24" borderId="217" applyNumberFormat="0" applyFont="0" applyAlignment="0" applyProtection="0"/>
    <xf numFmtId="0" fontId="8" fillId="24" borderId="217" applyNumberFormat="0" applyFont="0" applyAlignment="0" applyProtection="0"/>
    <xf numFmtId="0" fontId="33" fillId="27" borderId="216" applyNumberFormat="0" applyAlignment="0" applyProtection="0"/>
    <xf numFmtId="0" fontId="39" fillId="36" borderId="218" applyNumberFormat="0" applyAlignment="0" applyProtection="0"/>
    <xf numFmtId="0" fontId="44" fillId="0" borderId="220" applyNumberFormat="0" applyFill="0" applyAlignment="0" applyProtection="0"/>
    <xf numFmtId="0" fontId="33" fillId="21" borderId="216" applyNumberFormat="0" applyAlignment="0" applyProtection="0"/>
    <xf numFmtId="0" fontId="8" fillId="24" borderId="217" applyNumberFormat="0" applyFont="0" applyAlignment="0" applyProtection="0"/>
    <xf numFmtId="0" fontId="26" fillId="36" borderId="216" applyNumberFormat="0" applyAlignment="0" applyProtection="0"/>
    <xf numFmtId="0" fontId="27" fillId="37" borderId="216" applyNumberFormat="0" applyAlignment="0" applyProtection="0"/>
    <xf numFmtId="0" fontId="8" fillId="24" borderId="217" applyNumberFormat="0" applyFont="0" applyAlignment="0" applyProtection="0"/>
    <xf numFmtId="0" fontId="39" fillId="36" borderId="218" applyNumberFormat="0" applyAlignment="0" applyProtection="0"/>
    <xf numFmtId="0" fontId="44" fillId="0" borderId="220" applyNumberFormat="0" applyFill="0" applyAlignment="0" applyProtection="0"/>
    <xf numFmtId="0" fontId="33" fillId="21" borderId="216" applyNumberFormat="0" applyAlignment="0" applyProtection="0"/>
    <xf numFmtId="0" fontId="8" fillId="24" borderId="217" applyNumberFormat="0" applyFont="0" applyAlignment="0" applyProtection="0"/>
    <xf numFmtId="0" fontId="26" fillId="36" borderId="216" applyNumberFormat="0" applyAlignment="0" applyProtection="0"/>
    <xf numFmtId="0" fontId="27" fillId="37" borderId="216" applyNumberFormat="0" applyAlignment="0" applyProtection="0"/>
    <xf numFmtId="0" fontId="39" fillId="36" borderId="218" applyNumberFormat="0" applyAlignment="0" applyProtection="0"/>
    <xf numFmtId="0" fontId="33" fillId="21" borderId="216" applyNumberFormat="0" applyAlignment="0" applyProtection="0"/>
    <xf numFmtId="0" fontId="8" fillId="24" borderId="217" applyNumberFormat="0" applyFont="0" applyAlignment="0" applyProtection="0"/>
    <xf numFmtId="0" fontId="26" fillId="36" borderId="216" applyNumberFormat="0" applyAlignment="0" applyProtection="0"/>
    <xf numFmtId="0" fontId="27" fillId="37" borderId="216" applyNumberFormat="0" applyAlignment="0" applyProtection="0"/>
    <xf numFmtId="0" fontId="39" fillId="36" borderId="218" applyNumberFormat="0" applyAlignment="0" applyProtection="0"/>
    <xf numFmtId="0" fontId="33" fillId="21" borderId="216" applyNumberFormat="0" applyAlignment="0" applyProtection="0"/>
    <xf numFmtId="0" fontId="8" fillId="24" borderId="217" applyNumberFormat="0" applyFont="0" applyAlignment="0" applyProtection="0"/>
    <xf numFmtId="0" fontId="26" fillId="36" borderId="216" applyNumberFormat="0" applyAlignment="0" applyProtection="0"/>
    <xf numFmtId="0" fontId="27" fillId="37" borderId="216" applyNumberFormat="0" applyAlignment="0" applyProtection="0"/>
    <xf numFmtId="0" fontId="39" fillId="36" borderId="218" applyNumberFormat="0" applyAlignment="0" applyProtection="0"/>
    <xf numFmtId="0" fontId="33" fillId="21" borderId="216" applyNumberFormat="0" applyAlignment="0" applyProtection="0"/>
    <xf numFmtId="0" fontId="8" fillId="24" borderId="217" applyNumberFormat="0" applyFont="0" applyAlignment="0" applyProtection="0"/>
    <xf numFmtId="0" fontId="26" fillId="36" borderId="216" applyNumberFormat="0" applyAlignment="0" applyProtection="0"/>
    <xf numFmtId="0" fontId="27" fillId="37" borderId="216" applyNumberFormat="0" applyAlignment="0" applyProtection="0"/>
    <xf numFmtId="0" fontId="39" fillId="36" borderId="218" applyNumberFormat="0" applyAlignment="0" applyProtection="0"/>
    <xf numFmtId="0" fontId="33" fillId="21" borderId="216" applyNumberFormat="0" applyAlignment="0" applyProtection="0"/>
    <xf numFmtId="0" fontId="8" fillId="24" borderId="217" applyNumberFormat="0" applyFont="0" applyAlignment="0" applyProtection="0"/>
    <xf numFmtId="0" fontId="26" fillId="36" borderId="216" applyNumberFormat="0" applyAlignment="0" applyProtection="0"/>
    <xf numFmtId="0" fontId="39" fillId="36" borderId="218" applyNumberFormat="0" applyAlignment="0" applyProtection="0"/>
    <xf numFmtId="0" fontId="33" fillId="21" borderId="216" applyNumberFormat="0" applyAlignment="0" applyProtection="0"/>
    <xf numFmtId="0" fontId="8" fillId="24" borderId="217" applyNumberFormat="0" applyFont="0" applyAlignment="0" applyProtection="0"/>
    <xf numFmtId="0" fontId="26" fillId="36" borderId="216" applyNumberFormat="0" applyAlignment="0" applyProtection="0"/>
    <xf numFmtId="0" fontId="39" fillId="36" borderId="218" applyNumberFormat="0" applyAlignment="0" applyProtection="0"/>
    <xf numFmtId="0" fontId="33" fillId="21" borderId="216" applyNumberFormat="0" applyAlignment="0" applyProtection="0"/>
    <xf numFmtId="0" fontId="8" fillId="24" borderId="217" applyNumberFormat="0" applyFont="0" applyAlignment="0" applyProtection="0"/>
    <xf numFmtId="0" fontId="26" fillId="36" borderId="216" applyNumberFormat="0" applyAlignment="0" applyProtection="0"/>
    <xf numFmtId="0" fontId="33" fillId="21" borderId="216" applyNumberFormat="0" applyAlignment="0" applyProtection="0"/>
    <xf numFmtId="0" fontId="8" fillId="24" borderId="217" applyNumberFormat="0" applyFont="0" applyAlignment="0" applyProtection="0"/>
    <xf numFmtId="0" fontId="26" fillId="36" borderId="216" applyNumberFormat="0" applyAlignment="0" applyProtection="0"/>
    <xf numFmtId="0" fontId="33" fillId="21" borderId="216" applyNumberFormat="0" applyAlignment="0" applyProtection="0"/>
    <xf numFmtId="0" fontId="26" fillId="36" borderId="216" applyNumberFormat="0" applyAlignment="0" applyProtection="0"/>
    <xf numFmtId="0" fontId="33" fillId="21" borderId="216" applyNumberFormat="0" applyAlignment="0" applyProtection="0"/>
    <xf numFmtId="0" fontId="26" fillId="36" borderId="216" applyNumberFormat="0" applyAlignment="0" applyProtection="0"/>
    <xf numFmtId="0" fontId="26" fillId="36" borderId="216" applyNumberFormat="0" applyAlignment="0" applyProtection="0"/>
    <xf numFmtId="167" fontId="1"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1011">
    <xf numFmtId="0" fontId="0" fillId="0" borderId="0" xfId="0"/>
    <xf numFmtId="0" fontId="3" fillId="6" borderId="3" xfId="0" applyFont="1" applyFill="1" applyBorder="1" applyAlignment="1">
      <alignment horizontal="left" vertical="center" wrapText="1"/>
    </xf>
    <xf numFmtId="0" fontId="3" fillId="6" borderId="7" xfId="0" applyFont="1" applyFill="1" applyBorder="1" applyAlignment="1">
      <alignment vertical="center"/>
    </xf>
    <xf numFmtId="0" fontId="3" fillId="6" borderId="11" xfId="0" applyFont="1" applyFill="1" applyBorder="1" applyAlignment="1">
      <alignment vertical="center"/>
    </xf>
    <xf numFmtId="170" fontId="5" fillId="2" borderId="3" xfId="1" applyNumberFormat="1"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3" xfId="0" applyFont="1" applyFill="1" applyBorder="1" applyAlignment="1">
      <alignment horizontal="justify" vertical="center" wrapText="1"/>
    </xf>
    <xf numFmtId="170" fontId="5" fillId="2" borderId="7" xfId="1" applyNumberFormat="1" applyFont="1" applyFill="1" applyBorder="1" applyAlignment="1">
      <alignment horizontal="center" vertical="center"/>
    </xf>
    <xf numFmtId="0" fontId="6"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170" fontId="5" fillId="0" borderId="7" xfId="1" applyNumberFormat="1" applyFont="1" applyFill="1" applyBorder="1" applyAlignment="1">
      <alignment horizontal="center" vertical="center"/>
    </xf>
    <xf numFmtId="0" fontId="5" fillId="0" borderId="3" xfId="0" applyNumberFormat="1" applyFont="1" applyFill="1" applyBorder="1" applyAlignment="1">
      <alignment horizontal="center" vertical="center" wrapText="1"/>
    </xf>
    <xf numFmtId="0" fontId="5" fillId="6" borderId="3" xfId="0" applyFont="1" applyFill="1" applyBorder="1" applyAlignment="1">
      <alignment horizontal="justify" vertical="center" wrapText="1"/>
    </xf>
    <xf numFmtId="0" fontId="5" fillId="6" borderId="3" xfId="0" applyNumberFormat="1" applyFont="1" applyFill="1" applyBorder="1" applyAlignment="1">
      <alignment horizontal="center" vertical="center" wrapText="1"/>
    </xf>
    <xf numFmtId="170" fontId="5" fillId="0" borderId="3" xfId="1" applyNumberFormat="1" applyFont="1" applyFill="1" applyBorder="1" applyAlignment="1">
      <alignment horizontal="center" vertical="center"/>
    </xf>
    <xf numFmtId="0" fontId="5" fillId="0" borderId="7" xfId="0" applyNumberFormat="1" applyFont="1" applyFill="1" applyBorder="1" applyAlignment="1">
      <alignment horizontal="center" vertical="center" wrapText="1"/>
    </xf>
    <xf numFmtId="170" fontId="5" fillId="2" borderId="3" xfId="1" applyNumberFormat="1" applyFont="1" applyFill="1" applyBorder="1" applyAlignment="1">
      <alignment horizontal="center" vertical="center" wrapText="1"/>
    </xf>
    <xf numFmtId="170" fontId="5" fillId="2" borderId="3" xfId="1" applyNumberFormat="1" applyFont="1" applyFill="1" applyBorder="1" applyAlignment="1">
      <alignment horizontal="right" vertical="center"/>
    </xf>
    <xf numFmtId="170" fontId="5" fillId="0" borderId="3" xfId="1" applyNumberFormat="1" applyFont="1" applyFill="1" applyBorder="1" applyAlignment="1">
      <alignment horizontal="right" vertical="center"/>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6" fillId="0" borderId="3" xfId="0" applyFont="1" applyFill="1" applyBorder="1" applyAlignment="1">
      <alignment horizontal="center" vertical="center" wrapText="1"/>
    </xf>
    <xf numFmtId="0" fontId="3" fillId="0" borderId="0" xfId="0" applyFont="1" applyFill="1" applyBorder="1" applyAlignment="1">
      <alignment vertical="center" wrapText="1"/>
    </xf>
    <xf numFmtId="0" fontId="5" fillId="0" borderId="6" xfId="0" applyFont="1" applyFill="1" applyBorder="1" applyAlignment="1">
      <alignment vertical="center" wrapText="1"/>
    </xf>
    <xf numFmtId="0" fontId="5" fillId="0" borderId="3" xfId="0" applyNumberFormat="1" applyFont="1" applyFill="1" applyBorder="1" applyAlignment="1">
      <alignment horizontal="center" vertical="center"/>
    </xf>
    <xf numFmtId="0" fontId="5" fillId="0" borderId="3" xfId="0" applyNumberFormat="1" applyFont="1" applyFill="1" applyBorder="1" applyAlignment="1">
      <alignment horizontal="justify" vertical="center"/>
    </xf>
    <xf numFmtId="170" fontId="5" fillId="0" borderId="3" xfId="2" applyNumberFormat="1" applyFont="1" applyFill="1" applyBorder="1" applyAlignment="1">
      <alignment horizontal="justify" vertical="center"/>
    </xf>
    <xf numFmtId="170" fontId="5" fillId="0" borderId="7" xfId="2" applyNumberFormat="1" applyFont="1" applyFill="1" applyBorder="1" applyAlignment="1">
      <alignment horizontal="justify" vertical="center"/>
    </xf>
    <xf numFmtId="0" fontId="6" fillId="0" borderId="0" xfId="0" applyFont="1" applyFill="1" applyBorder="1"/>
    <xf numFmtId="0" fontId="5" fillId="0" borderId="14" xfId="0" applyFont="1" applyFill="1" applyBorder="1" applyAlignment="1">
      <alignment vertical="center" wrapText="1"/>
    </xf>
    <xf numFmtId="0" fontId="5" fillId="0" borderId="10" xfId="0" applyFont="1" applyFill="1" applyBorder="1" applyAlignment="1">
      <alignment vertical="center" wrapText="1"/>
    </xf>
    <xf numFmtId="0" fontId="5" fillId="0" borderId="3" xfId="0" applyFont="1" applyFill="1" applyBorder="1" applyAlignment="1">
      <alignment horizontal="center" vertical="center"/>
    </xf>
    <xf numFmtId="3" fontId="5" fillId="0" borderId="3" xfId="0" applyNumberFormat="1" applyFont="1" applyFill="1" applyBorder="1" applyAlignment="1">
      <alignment horizontal="right" vertical="center" wrapText="1"/>
    </xf>
    <xf numFmtId="9" fontId="5" fillId="0" borderId="6" xfId="0" applyNumberFormat="1" applyFont="1" applyFill="1" applyBorder="1" applyAlignment="1">
      <alignment horizontal="center" vertical="center"/>
    </xf>
    <xf numFmtId="0" fontId="3" fillId="0" borderId="15" xfId="0" applyFont="1" applyFill="1" applyBorder="1" applyAlignment="1">
      <alignment vertical="center" wrapText="1"/>
    </xf>
    <xf numFmtId="0" fontId="5" fillId="0" borderId="2" xfId="0" applyFont="1" applyFill="1" applyBorder="1" applyAlignment="1">
      <alignment horizontal="justify" vertical="center" wrapText="1"/>
    </xf>
    <xf numFmtId="0" fontId="8" fillId="0" borderId="6" xfId="0" applyFont="1" applyFill="1" applyBorder="1" applyAlignment="1">
      <alignment horizontal="center" vertical="center"/>
    </xf>
    <xf numFmtId="0" fontId="7" fillId="0" borderId="3" xfId="0" applyFont="1" applyFill="1" applyBorder="1" applyAlignment="1">
      <alignment horizontal="right" vertical="center" wrapText="1"/>
    </xf>
    <xf numFmtId="170" fontId="5" fillId="0" borderId="3" xfId="2" applyNumberFormat="1" applyFont="1" applyFill="1" applyBorder="1" applyAlignment="1">
      <alignment vertical="center"/>
    </xf>
    <xf numFmtId="170" fontId="5" fillId="0" borderId="3" xfId="2" applyNumberFormat="1" applyFont="1" applyFill="1" applyBorder="1" applyAlignment="1">
      <alignment horizontal="center" vertical="center" wrapText="1"/>
    </xf>
    <xf numFmtId="3" fontId="5" fillId="0" borderId="3" xfId="0" applyNumberFormat="1" applyFont="1" applyFill="1" applyBorder="1" applyAlignment="1">
      <alignment vertical="center" wrapText="1"/>
    </xf>
    <xf numFmtId="3" fontId="6" fillId="0" borderId="3" xfId="0" applyNumberFormat="1" applyFont="1" applyFill="1" applyBorder="1" applyAlignment="1">
      <alignment vertical="center"/>
    </xf>
    <xf numFmtId="0" fontId="5" fillId="0" borderId="10" xfId="0" applyNumberFormat="1" applyFont="1" applyFill="1" applyBorder="1" applyAlignment="1">
      <alignment horizontal="center" vertical="center"/>
    </xf>
    <xf numFmtId="0" fontId="9" fillId="0" borderId="3" xfId="0" applyFont="1" applyFill="1" applyBorder="1" applyAlignment="1">
      <alignment horizontal="left" vertical="center"/>
    </xf>
    <xf numFmtId="170" fontId="5" fillId="0" borderId="10" xfId="2" applyNumberFormat="1" applyFont="1" applyFill="1" applyBorder="1" applyAlignment="1">
      <alignment horizontal="justify" vertical="center"/>
    </xf>
    <xf numFmtId="171" fontId="9" fillId="0" borderId="3" xfId="0" applyNumberFormat="1" applyFont="1" applyFill="1" applyBorder="1" applyAlignment="1">
      <alignment horizontal="left" vertical="center"/>
    </xf>
    <xf numFmtId="170" fontId="9" fillId="0" borderId="3" xfId="0" applyNumberFormat="1" applyFont="1" applyFill="1" applyBorder="1" applyAlignment="1">
      <alignment horizontal="left" vertical="center"/>
    </xf>
    <xf numFmtId="0" fontId="9" fillId="0" borderId="0" xfId="0" applyFont="1" applyFill="1" applyBorder="1" applyAlignment="1">
      <alignment vertical="center"/>
    </xf>
    <xf numFmtId="43" fontId="6" fillId="0" borderId="7" xfId="2" applyFont="1" applyFill="1" applyBorder="1"/>
    <xf numFmtId="43" fontId="6" fillId="0" borderId="0" xfId="0" applyNumberFormat="1" applyFont="1" applyFill="1" applyAlignment="1">
      <alignment vertical="center"/>
    </xf>
    <xf numFmtId="170" fontId="5" fillId="0" borderId="7" xfId="2" applyNumberFormat="1" applyFont="1" applyFill="1" applyBorder="1" applyAlignment="1">
      <alignment vertical="center"/>
    </xf>
    <xf numFmtId="0" fontId="5" fillId="0" borderId="3" xfId="0" applyNumberFormat="1" applyFont="1" applyFill="1" applyBorder="1" applyAlignment="1">
      <alignment horizontal="justify" vertical="center" wrapText="1"/>
    </xf>
    <xf numFmtId="170" fontId="6" fillId="0" borderId="7" xfId="1" applyNumberFormat="1" applyFont="1" applyFill="1" applyBorder="1" applyAlignment="1">
      <alignment horizontal="center" vertical="center"/>
    </xf>
    <xf numFmtId="0" fontId="5" fillId="0" borderId="3" xfId="2" applyNumberFormat="1" applyFont="1" applyFill="1" applyBorder="1" applyAlignment="1">
      <alignment horizontal="center" vertical="center" wrapText="1"/>
    </xf>
    <xf numFmtId="0" fontId="8" fillId="0" borderId="3" xfId="0" applyFont="1" applyFill="1" applyBorder="1" applyAlignment="1">
      <alignment horizontal="justify" vertical="center" wrapText="1"/>
    </xf>
    <xf numFmtId="170" fontId="5" fillId="0" borderId="6" xfId="1" applyNumberFormat="1" applyFont="1" applyFill="1" applyBorder="1" applyAlignment="1">
      <alignment vertical="center"/>
    </xf>
    <xf numFmtId="0" fontId="5" fillId="0" borderId="7" xfId="0" applyNumberFormat="1" applyFont="1" applyFill="1" applyBorder="1" applyAlignment="1">
      <alignment horizontal="center" vertical="center"/>
    </xf>
    <xf numFmtId="3" fontId="5" fillId="0" borderId="3" xfId="0" applyNumberFormat="1" applyFont="1" applyFill="1" applyBorder="1" applyAlignment="1">
      <alignment horizontal="center" vertical="center" wrapText="1"/>
    </xf>
    <xf numFmtId="3" fontId="6" fillId="0" borderId="16" xfId="0" applyNumberFormat="1" applyFont="1" applyFill="1" applyBorder="1" applyAlignment="1">
      <alignment vertical="center"/>
    </xf>
    <xf numFmtId="43" fontId="6" fillId="0" borderId="7" xfId="2" applyFont="1" applyFill="1" applyBorder="1" applyAlignment="1">
      <alignment vertical="center"/>
    </xf>
    <xf numFmtId="3" fontId="5" fillId="0" borderId="6"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1" fontId="6" fillId="0" borderId="17" xfId="0" applyNumberFormat="1" applyFont="1" applyFill="1" applyBorder="1" applyAlignment="1">
      <alignment horizontal="center" vertical="center"/>
    </xf>
    <xf numFmtId="1" fontId="6" fillId="0" borderId="6"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5" fillId="0" borderId="3" xfId="2" applyNumberFormat="1" applyFont="1" applyFill="1" applyBorder="1" applyAlignment="1">
      <alignment horizontal="center" vertical="center"/>
    </xf>
    <xf numFmtId="1" fontId="6" fillId="0" borderId="18" xfId="0" applyNumberFormat="1" applyFont="1" applyFill="1" applyBorder="1" applyAlignment="1">
      <alignment horizontal="center" vertical="center"/>
    </xf>
    <xf numFmtId="0" fontId="6" fillId="0" borderId="10" xfId="0" applyFont="1" applyFill="1" applyBorder="1" applyAlignment="1">
      <alignment horizontal="center" vertical="center"/>
    </xf>
    <xf numFmtId="0" fontId="6" fillId="0" borderId="14" xfId="0" applyFont="1" applyFill="1" applyBorder="1" applyAlignment="1">
      <alignment horizontal="center" vertical="center"/>
    </xf>
    <xf numFmtId="0" fontId="5" fillId="0" borderId="3" xfId="0" applyFont="1" applyFill="1" applyBorder="1" applyAlignment="1">
      <alignment horizontal="justify" vertical="center"/>
    </xf>
    <xf numFmtId="0" fontId="5" fillId="0" borderId="9" xfId="0" applyFont="1" applyFill="1" applyBorder="1" applyAlignment="1">
      <alignment horizontal="center" vertical="top" wrapText="1"/>
    </xf>
    <xf numFmtId="0" fontId="5" fillId="0" borderId="3" xfId="0" applyFont="1" applyFill="1" applyBorder="1" applyAlignment="1">
      <alignment horizontal="justify" vertical="top" wrapText="1"/>
    </xf>
    <xf numFmtId="0" fontId="5" fillId="0" borderId="10" xfId="0" applyFont="1" applyFill="1" applyBorder="1" applyAlignment="1">
      <alignment horizontal="center" vertical="top" wrapText="1"/>
    </xf>
    <xf numFmtId="2" fontId="5" fillId="0" borderId="10" xfId="0" applyNumberFormat="1" applyFont="1" applyFill="1" applyBorder="1" applyAlignment="1">
      <alignment horizontal="center" vertical="center" wrapText="1"/>
    </xf>
    <xf numFmtId="43" fontId="5" fillId="0" borderId="3" xfId="2" applyFont="1" applyFill="1" applyBorder="1" applyAlignment="1">
      <alignment horizontal="center" vertical="center"/>
    </xf>
    <xf numFmtId="170" fontId="5" fillId="0" borderId="3" xfId="3" applyNumberFormat="1" applyFont="1" applyFill="1" applyBorder="1" applyAlignment="1">
      <alignment horizontal="center" vertical="center"/>
    </xf>
    <xf numFmtId="0" fontId="6" fillId="0" borderId="3" xfId="0" applyFont="1" applyFill="1" applyBorder="1"/>
    <xf numFmtId="0" fontId="3" fillId="0" borderId="3" xfId="0" applyFont="1" applyFill="1" applyBorder="1" applyAlignment="1">
      <alignment horizontal="justify" vertical="center" wrapText="1"/>
    </xf>
    <xf numFmtId="170" fontId="5" fillId="0" borderId="4" xfId="1" applyNumberFormat="1" applyFont="1" applyFill="1" applyBorder="1" applyAlignment="1">
      <alignment horizontal="center" vertical="center"/>
    </xf>
    <xf numFmtId="9" fontId="5" fillId="0" borderId="3" xfId="0" applyNumberFormat="1" applyFont="1" applyFill="1" applyBorder="1" applyAlignment="1">
      <alignment horizontal="center" vertical="center" wrapText="1"/>
    </xf>
    <xf numFmtId="170" fontId="5" fillId="0" borderId="6" xfId="2" applyNumberFormat="1" applyFont="1" applyFill="1" applyBorder="1" applyAlignment="1">
      <alignment horizontal="justify" vertical="center"/>
    </xf>
    <xf numFmtId="170" fontId="5" fillId="0" borderId="4" xfId="2" applyNumberFormat="1" applyFont="1" applyFill="1" applyBorder="1" applyAlignment="1">
      <alignment horizontal="justify" vertical="center"/>
    </xf>
    <xf numFmtId="170" fontId="5" fillId="0" borderId="6" xfId="2" applyNumberFormat="1" applyFont="1" applyFill="1" applyBorder="1" applyAlignment="1">
      <alignment vertical="center"/>
    </xf>
    <xf numFmtId="10" fontId="5" fillId="0" borderId="3" xfId="0" applyNumberFormat="1" applyFont="1" applyFill="1" applyBorder="1" applyAlignment="1">
      <alignment horizontal="center" vertical="center" wrapText="1"/>
    </xf>
    <xf numFmtId="170" fontId="5" fillId="0" borderId="13" xfId="2" applyNumberFormat="1" applyFont="1" applyFill="1" applyBorder="1" applyAlignment="1">
      <alignment horizontal="justify" vertical="center"/>
    </xf>
    <xf numFmtId="170" fontId="3" fillId="0" borderId="3" xfId="2" applyNumberFormat="1" applyFont="1" applyFill="1" applyBorder="1" applyAlignment="1">
      <alignment horizontal="justify" vertical="center"/>
    </xf>
    <xf numFmtId="0" fontId="5" fillId="0" borderId="3" xfId="0" applyFont="1" applyFill="1" applyBorder="1" applyAlignment="1">
      <alignment vertical="center" wrapText="1"/>
    </xf>
    <xf numFmtId="3" fontId="5" fillId="0" borderId="3" xfId="0" applyNumberFormat="1" applyFont="1" applyFill="1" applyBorder="1" applyAlignment="1">
      <alignment horizontal="center" vertical="center"/>
    </xf>
    <xf numFmtId="0" fontId="6" fillId="0" borderId="3" xfId="0" applyFont="1" applyFill="1" applyBorder="1" applyAlignment="1"/>
    <xf numFmtId="10" fontId="5" fillId="0" borderId="3" xfId="0" applyNumberFormat="1" applyFont="1" applyFill="1" applyBorder="1" applyAlignment="1">
      <alignment vertical="center" wrapText="1"/>
    </xf>
    <xf numFmtId="0" fontId="5" fillId="0" borderId="5" xfId="0" applyFont="1" applyFill="1" applyBorder="1" applyAlignment="1">
      <alignment horizontal="justify" vertical="center" wrapText="1"/>
    </xf>
    <xf numFmtId="0" fontId="5" fillId="0" borderId="5" xfId="0" applyNumberFormat="1" applyFont="1" applyFill="1" applyBorder="1" applyAlignment="1">
      <alignment horizontal="center" vertical="center" wrapText="1"/>
    </xf>
    <xf numFmtId="3" fontId="6" fillId="0" borderId="3" xfId="0" applyNumberFormat="1" applyFont="1" applyFill="1" applyBorder="1" applyAlignment="1">
      <alignment horizontal="center" vertical="center"/>
    </xf>
    <xf numFmtId="170" fontId="5" fillId="0" borderId="14" xfId="2" applyNumberFormat="1" applyFont="1" applyFill="1" applyBorder="1" applyAlignment="1">
      <alignment vertical="center"/>
    </xf>
    <xf numFmtId="0" fontId="5" fillId="0" borderId="15" xfId="0" applyFont="1" applyFill="1" applyBorder="1" applyAlignment="1">
      <alignment horizontal="justify" vertical="center" wrapText="1"/>
    </xf>
    <xf numFmtId="10" fontId="5" fillId="0" borderId="15" xfId="0" applyNumberFormat="1" applyFont="1" applyFill="1" applyBorder="1" applyAlignment="1">
      <alignment horizontal="center" vertical="center" wrapText="1"/>
    </xf>
    <xf numFmtId="0" fontId="5" fillId="0" borderId="15" xfId="0" applyNumberFormat="1" applyFont="1" applyFill="1" applyBorder="1" applyAlignment="1">
      <alignment horizontal="center" vertical="center" wrapText="1"/>
    </xf>
    <xf numFmtId="0" fontId="6" fillId="0" borderId="14" xfId="0" applyFont="1" applyFill="1" applyBorder="1" applyAlignment="1">
      <alignment horizontal="center"/>
    </xf>
    <xf numFmtId="0" fontId="6" fillId="0" borderId="14" xfId="0" applyFont="1" applyFill="1" applyBorder="1"/>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10" fontId="5" fillId="0" borderId="14" xfId="0" applyNumberFormat="1" applyFont="1" applyFill="1" applyBorder="1" applyAlignment="1">
      <alignment vertical="center" wrapText="1"/>
    </xf>
    <xf numFmtId="0" fontId="5" fillId="0" borderId="9" xfId="0" applyFont="1" applyFill="1" applyBorder="1" applyAlignment="1">
      <alignment vertical="center" wrapText="1"/>
    </xf>
    <xf numFmtId="0" fontId="6" fillId="0" borderId="6" xfId="0" applyFont="1" applyFill="1" applyBorder="1" applyAlignment="1">
      <alignment horizontal="center" vertical="center"/>
    </xf>
    <xf numFmtId="0" fontId="5" fillId="6" borderId="10" xfId="0" applyNumberFormat="1" applyFont="1" applyFill="1" applyBorder="1" applyAlignment="1">
      <alignment horizontal="center" vertical="center" wrapText="1"/>
    </xf>
    <xf numFmtId="170" fontId="5" fillId="0" borderId="0" xfId="2" applyNumberFormat="1" applyFont="1" applyFill="1" applyBorder="1" applyAlignment="1">
      <alignment horizontal="justify" vertical="center"/>
    </xf>
    <xf numFmtId="0" fontId="9" fillId="0" borderId="10" xfId="0" applyFont="1" applyFill="1" applyBorder="1" applyAlignment="1">
      <alignment horizontal="left" vertical="center"/>
    </xf>
    <xf numFmtId="170" fontId="5" fillId="0" borderId="14" xfId="2" applyNumberFormat="1" applyFont="1" applyFill="1" applyBorder="1" applyAlignment="1">
      <alignment horizontal="justify" vertical="center"/>
    </xf>
    <xf numFmtId="172" fontId="3" fillId="6" borderId="11" xfId="1" applyNumberFormat="1" applyFont="1" applyFill="1" applyBorder="1" applyAlignment="1">
      <alignment horizontal="center" vertical="center"/>
    </xf>
    <xf numFmtId="172" fontId="5" fillId="0" borderId="3" xfId="1" applyNumberFormat="1" applyFont="1" applyFill="1" applyBorder="1" applyAlignment="1">
      <alignment horizontal="center" vertical="center"/>
    </xf>
    <xf numFmtId="172" fontId="5" fillId="0" borderId="3" xfId="1" applyNumberFormat="1" applyFont="1" applyFill="1" applyBorder="1" applyAlignment="1">
      <alignment horizontal="center" vertical="center" wrapText="1"/>
    </xf>
    <xf numFmtId="172" fontId="5" fillId="0" borderId="7" xfId="1" applyNumberFormat="1" applyFont="1" applyFill="1" applyBorder="1" applyAlignment="1">
      <alignment horizontal="center" vertical="center"/>
    </xf>
    <xf numFmtId="172" fontId="6" fillId="0" borderId="3" xfId="1" applyNumberFormat="1" applyFont="1" applyFill="1" applyBorder="1" applyAlignment="1">
      <alignment horizontal="center" vertical="center"/>
    </xf>
    <xf numFmtId="172" fontId="5" fillId="2" borderId="3" xfId="1" applyNumberFormat="1" applyFont="1" applyFill="1" applyBorder="1" applyAlignment="1">
      <alignment horizontal="center" vertical="center"/>
    </xf>
    <xf numFmtId="172" fontId="5" fillId="0" borderId="6" xfId="1" applyNumberFormat="1" applyFont="1" applyFill="1" applyBorder="1" applyAlignment="1">
      <alignment horizontal="center" vertical="center"/>
    </xf>
    <xf numFmtId="172" fontId="6" fillId="0" borderId="3" xfId="1" applyNumberFormat="1" applyFont="1" applyFill="1" applyBorder="1" applyAlignment="1">
      <alignment horizontal="center"/>
    </xf>
    <xf numFmtId="172" fontId="5" fillId="0" borderId="14" xfId="1" applyNumberFormat="1" applyFont="1" applyFill="1" applyBorder="1" applyAlignment="1">
      <alignment horizontal="center" vertical="center"/>
    </xf>
    <xf numFmtId="172" fontId="5" fillId="2" borderId="7" xfId="1" applyNumberFormat="1" applyFont="1" applyFill="1" applyBorder="1" applyAlignment="1">
      <alignment horizontal="center" vertical="center"/>
    </xf>
    <xf numFmtId="0" fontId="5" fillId="6" borderId="10" xfId="0" applyFont="1" applyFill="1" applyBorder="1" applyAlignment="1">
      <alignment horizontal="justify" vertical="center" wrapText="1"/>
    </xf>
    <xf numFmtId="0" fontId="5" fillId="6" borderId="1" xfId="0" applyFont="1" applyFill="1" applyBorder="1" applyAlignment="1">
      <alignment horizontal="center" vertical="center" wrapText="1"/>
    </xf>
    <xf numFmtId="0" fontId="7" fillId="6" borderId="10" xfId="0" applyFont="1" applyFill="1" applyBorder="1" applyAlignment="1">
      <alignment horizontal="right" vertical="center" wrapText="1"/>
    </xf>
    <xf numFmtId="0" fontId="5" fillId="6" borderId="10" xfId="0" applyFont="1" applyFill="1" applyBorder="1" applyAlignment="1">
      <alignment horizontal="center" vertical="center" wrapText="1"/>
    </xf>
    <xf numFmtId="0" fontId="5" fillId="6" borderId="3" xfId="0" applyFont="1" applyFill="1" applyBorder="1" applyAlignment="1">
      <alignment horizontal="center" vertical="center" wrapText="1"/>
    </xf>
    <xf numFmtId="170" fontId="5" fillId="6" borderId="3" xfId="2" applyNumberFormat="1" applyFont="1" applyFill="1" applyBorder="1" applyAlignment="1">
      <alignment horizontal="justify" vertical="center"/>
    </xf>
    <xf numFmtId="0" fontId="3" fillId="6" borderId="3" xfId="0" applyFont="1" applyFill="1" applyBorder="1" applyAlignment="1">
      <alignment horizontal="center" vertical="center" wrapText="1"/>
    </xf>
    <xf numFmtId="0" fontId="3" fillId="6" borderId="3" xfId="0" applyFont="1" applyFill="1" applyBorder="1" applyAlignment="1">
      <alignment vertical="center"/>
    </xf>
    <xf numFmtId="167" fontId="5" fillId="0" borderId="3" xfId="1" applyNumberFormat="1" applyFont="1" applyFill="1" applyBorder="1" applyAlignment="1">
      <alignment horizontal="center" vertical="center"/>
    </xf>
    <xf numFmtId="170" fontId="8" fillId="0" borderId="3" xfId="2" applyNumberFormat="1" applyFont="1" applyFill="1" applyBorder="1" applyAlignment="1">
      <alignment horizontal="justify" vertical="center"/>
    </xf>
    <xf numFmtId="43" fontId="6" fillId="0" borderId="3" xfId="0" applyNumberFormat="1" applyFont="1" applyFill="1" applyBorder="1" applyAlignment="1">
      <alignment vertical="center"/>
    </xf>
    <xf numFmtId="0" fontId="6" fillId="0" borderId="0" xfId="0" applyFont="1"/>
    <xf numFmtId="0" fontId="6" fillId="0" borderId="0" xfId="0" applyFont="1" applyAlignment="1">
      <alignment horizontal="center"/>
    </xf>
    <xf numFmtId="0" fontId="6" fillId="0" borderId="0" xfId="0" applyFont="1" applyAlignment="1"/>
    <xf numFmtId="0" fontId="13" fillId="0" borderId="0" xfId="0" applyFont="1" applyBorder="1" applyAlignment="1">
      <alignment horizontal="center" vertical="center"/>
    </xf>
    <xf numFmtId="0" fontId="9" fillId="3" borderId="7" xfId="0" applyFont="1" applyFill="1" applyBorder="1" applyAlignment="1">
      <alignment horizontal="left" vertical="center"/>
    </xf>
    <xf numFmtId="0" fontId="9" fillId="3" borderId="11" xfId="0" applyFont="1" applyFill="1" applyBorder="1" applyAlignment="1">
      <alignment horizontal="left" vertical="center"/>
    </xf>
    <xf numFmtId="0" fontId="9" fillId="3" borderId="11" xfId="0" applyFont="1" applyFill="1" applyBorder="1" applyAlignment="1">
      <alignment horizontal="center" vertical="center"/>
    </xf>
    <xf numFmtId="172" fontId="9" fillId="3" borderId="11" xfId="1" applyNumberFormat="1" applyFont="1" applyFill="1" applyBorder="1" applyAlignment="1">
      <alignment horizontal="center" vertical="center"/>
    </xf>
    <xf numFmtId="0" fontId="9" fillId="3" borderId="11" xfId="0" applyFont="1" applyFill="1" applyBorder="1" applyAlignment="1">
      <alignment vertical="center"/>
    </xf>
    <xf numFmtId="0" fontId="3" fillId="4" borderId="11" xfId="0" applyFont="1" applyFill="1" applyBorder="1" applyAlignment="1">
      <alignment horizontal="left" vertical="center" wrapText="1"/>
    </xf>
    <xf numFmtId="0" fontId="3" fillId="4" borderId="11" xfId="0" applyFont="1" applyFill="1" applyBorder="1" applyAlignment="1">
      <alignment vertical="center"/>
    </xf>
    <xf numFmtId="0" fontId="3" fillId="4" borderId="11" xfId="0" applyFont="1" applyFill="1" applyBorder="1" applyAlignment="1">
      <alignment horizontal="center" vertical="center"/>
    </xf>
    <xf numFmtId="172" fontId="3" fillId="4" borderId="11" xfId="1" applyNumberFormat="1" applyFont="1" applyFill="1" applyBorder="1" applyAlignment="1">
      <alignment horizontal="center" vertical="center"/>
    </xf>
    <xf numFmtId="0" fontId="3" fillId="0" borderId="12" xfId="0" applyFont="1" applyFill="1" applyBorder="1" applyAlignment="1">
      <alignment vertical="center" wrapText="1"/>
    </xf>
    <xf numFmtId="0" fontId="3" fillId="5" borderId="7" xfId="0" applyFont="1" applyFill="1" applyBorder="1" applyAlignment="1">
      <alignment horizontal="left" vertical="center"/>
    </xf>
    <xf numFmtId="0" fontId="3" fillId="5" borderId="11" xfId="0" applyFont="1" applyFill="1" applyBorder="1" applyAlignment="1">
      <alignment horizontal="left" vertical="center"/>
    </xf>
    <xf numFmtId="0" fontId="3" fillId="5" borderId="11" xfId="0" applyFont="1" applyFill="1" applyBorder="1" applyAlignment="1">
      <alignment vertical="center"/>
    </xf>
    <xf numFmtId="0" fontId="3" fillId="5" borderId="11" xfId="0" applyFont="1" applyFill="1" applyBorder="1" applyAlignment="1">
      <alignment horizontal="center" vertical="center"/>
    </xf>
    <xf numFmtId="172" fontId="3" fillId="5" borderId="11" xfId="1" applyNumberFormat="1" applyFont="1" applyFill="1" applyBorder="1" applyAlignment="1">
      <alignment horizontal="center" vertical="center"/>
    </xf>
    <xf numFmtId="0" fontId="3" fillId="0" borderId="13"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11" xfId="0" applyFont="1" applyFill="1" applyBorder="1" applyAlignment="1">
      <alignment vertical="center"/>
    </xf>
    <xf numFmtId="0" fontId="3" fillId="0" borderId="10" xfId="0" applyFont="1" applyFill="1" applyBorder="1" applyAlignment="1">
      <alignment vertical="center" wrapText="1"/>
    </xf>
    <xf numFmtId="0" fontId="5" fillId="0" borderId="3" xfId="0" applyFont="1" applyBorder="1" applyAlignment="1">
      <alignment horizontal="justify" vertical="center" wrapText="1"/>
    </xf>
    <xf numFmtId="0" fontId="5" fillId="7" borderId="3" xfId="0" applyFont="1" applyFill="1" applyBorder="1" applyAlignment="1">
      <alignment horizontal="justify" vertical="center" wrapText="1"/>
    </xf>
    <xf numFmtId="0" fontId="5" fillId="7" borderId="3" xfId="0" applyFont="1" applyFill="1" applyBorder="1" applyAlignment="1">
      <alignment horizontal="center" vertical="center" wrapText="1"/>
    </xf>
    <xf numFmtId="0" fontId="5" fillId="7" borderId="3" xfId="0" applyNumberFormat="1" applyFont="1" applyFill="1" applyBorder="1" applyAlignment="1">
      <alignment horizontal="center" vertical="center"/>
    </xf>
    <xf numFmtId="0" fontId="7" fillId="7" borderId="3" xfId="0" applyFont="1" applyFill="1" applyBorder="1" applyAlignment="1">
      <alignment horizontal="right" vertical="center" wrapText="1"/>
    </xf>
    <xf numFmtId="170" fontId="5" fillId="7" borderId="3" xfId="2" applyNumberFormat="1" applyFont="1" applyFill="1" applyBorder="1" applyAlignment="1">
      <alignment horizontal="justify" vertical="center"/>
    </xf>
    <xf numFmtId="0" fontId="6" fillId="0" borderId="0" xfId="0" applyFont="1" applyBorder="1"/>
    <xf numFmtId="0" fontId="3" fillId="0" borderId="1" xfId="0" applyFont="1" applyFill="1" applyBorder="1" applyAlignment="1">
      <alignment vertical="center" wrapText="1"/>
    </xf>
    <xf numFmtId="0" fontId="5" fillId="5" borderId="3" xfId="0" applyFont="1" applyFill="1" applyBorder="1" applyAlignment="1">
      <alignment horizontal="justify" vertical="center" wrapText="1"/>
    </xf>
    <xf numFmtId="0" fontId="5" fillId="5" borderId="3" xfId="0" applyFont="1" applyFill="1" applyBorder="1" applyAlignment="1">
      <alignment horizontal="center" vertical="center" wrapText="1"/>
    </xf>
    <xf numFmtId="0" fontId="5" fillId="5" borderId="3" xfId="0" applyNumberFormat="1" applyFont="1" applyFill="1" applyBorder="1" applyAlignment="1">
      <alignment horizontal="center" vertical="center"/>
    </xf>
    <xf numFmtId="0" fontId="7" fillId="5" borderId="3" xfId="0" applyFont="1" applyFill="1" applyBorder="1" applyAlignment="1">
      <alignment horizontal="right" vertical="center" wrapText="1"/>
    </xf>
    <xf numFmtId="170" fontId="5" fillId="5" borderId="3" xfId="2" applyNumberFormat="1" applyFont="1" applyFill="1" applyBorder="1" applyAlignment="1">
      <alignment horizontal="justify" vertical="center"/>
    </xf>
    <xf numFmtId="0" fontId="5" fillId="4" borderId="3" xfId="0" applyFont="1" applyFill="1" applyBorder="1" applyAlignment="1">
      <alignment horizontal="justify" vertical="center" wrapText="1"/>
    </xf>
    <xf numFmtId="0" fontId="5" fillId="4" borderId="3" xfId="0" applyFont="1" applyFill="1" applyBorder="1" applyAlignment="1">
      <alignment horizontal="center" vertical="center" wrapText="1"/>
    </xf>
    <xf numFmtId="0" fontId="5" fillId="4" borderId="3" xfId="0" applyNumberFormat="1" applyFont="1" applyFill="1" applyBorder="1" applyAlignment="1">
      <alignment horizontal="center" vertical="center"/>
    </xf>
    <xf numFmtId="0" fontId="7" fillId="4" borderId="3" xfId="0" applyFont="1" applyFill="1" applyBorder="1" applyAlignment="1">
      <alignment horizontal="right" vertical="center" wrapText="1"/>
    </xf>
    <xf numFmtId="170" fontId="5" fillId="4" borderId="3" xfId="2" applyNumberFormat="1" applyFont="1" applyFill="1" applyBorder="1" applyAlignment="1">
      <alignment horizontal="justify" vertical="center"/>
    </xf>
    <xf numFmtId="0" fontId="5" fillId="8" borderId="3" xfId="0" applyFont="1" applyFill="1" applyBorder="1" applyAlignment="1">
      <alignment horizontal="justify" vertical="center" wrapText="1"/>
    </xf>
    <xf numFmtId="0" fontId="5" fillId="8" borderId="3" xfId="0" applyFont="1" applyFill="1" applyBorder="1" applyAlignment="1">
      <alignment horizontal="center" vertical="center" wrapText="1"/>
    </xf>
    <xf numFmtId="0" fontId="5" fillId="8" borderId="3" xfId="0" applyNumberFormat="1" applyFont="1" applyFill="1" applyBorder="1" applyAlignment="1">
      <alignment horizontal="center" vertical="center"/>
    </xf>
    <xf numFmtId="0" fontId="7" fillId="8" borderId="3" xfId="0" applyFont="1" applyFill="1" applyBorder="1" applyAlignment="1">
      <alignment horizontal="right" vertical="center" wrapText="1"/>
    </xf>
    <xf numFmtId="170" fontId="5" fillId="8" borderId="3" xfId="2" applyNumberFormat="1" applyFont="1" applyFill="1" applyBorder="1" applyAlignment="1">
      <alignment horizontal="justify" vertical="center"/>
    </xf>
    <xf numFmtId="0" fontId="5" fillId="0" borderId="7" xfId="0" applyFont="1" applyFill="1" applyBorder="1" applyAlignment="1">
      <alignment horizontal="justify" vertical="center" wrapText="1"/>
    </xf>
    <xf numFmtId="0" fontId="5" fillId="0" borderId="11" xfId="0" applyFont="1" applyFill="1" applyBorder="1" applyAlignment="1">
      <alignment horizontal="justify" vertical="center" wrapText="1"/>
    </xf>
    <xf numFmtId="0" fontId="5" fillId="0" borderId="11" xfId="0" applyNumberFormat="1" applyFont="1" applyFill="1" applyBorder="1" applyAlignment="1">
      <alignment horizontal="center" vertical="center"/>
    </xf>
    <xf numFmtId="0" fontId="7" fillId="0" borderId="11" xfId="0" applyFont="1" applyFill="1" applyBorder="1" applyAlignment="1">
      <alignment horizontal="right" vertical="center" wrapText="1"/>
    </xf>
    <xf numFmtId="170" fontId="5" fillId="0" borderId="11" xfId="2" applyNumberFormat="1" applyFont="1" applyFill="1" applyBorder="1" applyAlignment="1">
      <alignment horizontal="justify" vertical="center"/>
    </xf>
    <xf numFmtId="170" fontId="5" fillId="2" borderId="11" xfId="2" applyNumberFormat="1" applyFont="1" applyFill="1" applyBorder="1" applyAlignment="1">
      <alignment horizontal="justify" vertical="center"/>
    </xf>
    <xf numFmtId="172" fontId="5" fillId="0" borderId="11" xfId="1" applyNumberFormat="1" applyFont="1" applyFill="1" applyBorder="1" applyAlignment="1">
      <alignment horizontal="center" vertical="center"/>
    </xf>
    <xf numFmtId="170" fontId="5" fillId="0" borderId="11" xfId="2" applyNumberFormat="1" applyFont="1" applyFill="1" applyBorder="1" applyAlignment="1">
      <alignment vertical="center"/>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11" xfId="0" applyFont="1" applyFill="1" applyBorder="1" applyAlignment="1">
      <alignment vertical="center" wrapText="1"/>
    </xf>
    <xf numFmtId="0" fontId="3" fillId="0" borderId="2" xfId="0" applyFont="1" applyFill="1" applyBorder="1" applyAlignment="1">
      <alignment vertical="center" wrapText="1"/>
    </xf>
    <xf numFmtId="0" fontId="3" fillId="7" borderId="7" xfId="0" applyFont="1" applyFill="1" applyBorder="1" applyAlignment="1">
      <alignment horizontal="justify" vertical="center" wrapText="1"/>
    </xf>
    <xf numFmtId="0" fontId="3" fillId="7" borderId="11" xfId="0" applyFont="1" applyFill="1" applyBorder="1" applyAlignment="1">
      <alignment vertical="center"/>
    </xf>
    <xf numFmtId="172" fontId="3" fillId="7" borderId="11" xfId="1" applyNumberFormat="1" applyFont="1" applyFill="1" applyBorder="1" applyAlignment="1">
      <alignment horizontal="center" vertical="center"/>
    </xf>
    <xf numFmtId="0" fontId="5" fillId="9" borderId="7" xfId="0" applyFont="1" applyFill="1" applyBorder="1" applyAlignment="1">
      <alignment horizontal="justify" vertical="center" wrapText="1"/>
    </xf>
    <xf numFmtId="0" fontId="5" fillId="9" borderId="11" xfId="0" applyFont="1" applyFill="1" applyBorder="1" applyAlignment="1">
      <alignment horizontal="center" vertical="center" wrapText="1"/>
    </xf>
    <xf numFmtId="0" fontId="5" fillId="9" borderId="11" xfId="0" applyFont="1" applyFill="1" applyBorder="1" applyAlignment="1">
      <alignment horizontal="justify" vertical="center" wrapText="1"/>
    </xf>
    <xf numFmtId="0" fontId="5" fillId="9" borderId="11" xfId="0" applyNumberFormat="1" applyFont="1" applyFill="1" applyBorder="1" applyAlignment="1">
      <alignment horizontal="center" vertical="center"/>
    </xf>
    <xf numFmtId="0" fontId="5" fillId="9" borderId="11" xfId="0" applyNumberFormat="1" applyFont="1" applyFill="1" applyBorder="1" applyAlignment="1">
      <alignment horizontal="justify" vertical="center"/>
    </xf>
    <xf numFmtId="0" fontId="7" fillId="9" borderId="11" xfId="0" applyFont="1" applyFill="1" applyBorder="1" applyAlignment="1">
      <alignment horizontal="right" vertical="center" wrapText="1"/>
    </xf>
    <xf numFmtId="170" fontId="5" fillId="9" borderId="3" xfId="2" applyNumberFormat="1" applyFont="1" applyFill="1" applyBorder="1" applyAlignment="1">
      <alignment horizontal="justify" vertical="center"/>
    </xf>
    <xf numFmtId="170" fontId="5" fillId="0" borderId="2" xfId="2" applyNumberFormat="1" applyFont="1" applyFill="1" applyBorder="1" applyAlignment="1">
      <alignment horizontal="justify" vertical="center"/>
    </xf>
    <xf numFmtId="0" fontId="3" fillId="9" borderId="11" xfId="0" applyFont="1" applyFill="1" applyBorder="1" applyAlignment="1">
      <alignment horizontal="justify" vertical="center" wrapText="1"/>
    </xf>
    <xf numFmtId="0" fontId="3" fillId="9" borderId="11" xfId="0" applyFont="1" applyFill="1" applyBorder="1" applyAlignment="1">
      <alignment horizontal="left" vertical="center"/>
    </xf>
    <xf numFmtId="0" fontId="3" fillId="9" borderId="11" xfId="0" applyFont="1" applyFill="1" applyBorder="1" applyAlignment="1">
      <alignment vertical="center"/>
    </xf>
    <xf numFmtId="172" fontId="3" fillId="9" borderId="11" xfId="1" applyNumberFormat="1" applyFont="1" applyFill="1" applyBorder="1" applyAlignment="1">
      <alignment horizontal="center" vertical="center"/>
    </xf>
    <xf numFmtId="0" fontId="5" fillId="5" borderId="11" xfId="0" applyFont="1" applyFill="1" applyBorder="1" applyAlignment="1">
      <alignment horizontal="justify" vertical="center" wrapText="1"/>
    </xf>
    <xf numFmtId="0" fontId="5" fillId="5" borderId="11" xfId="0" applyFont="1" applyFill="1" applyBorder="1" applyAlignment="1">
      <alignment horizontal="center" vertical="center" wrapText="1"/>
    </xf>
    <xf numFmtId="0" fontId="5" fillId="5" borderId="11" xfId="0" applyNumberFormat="1" applyFont="1" applyFill="1" applyBorder="1" applyAlignment="1">
      <alignment horizontal="center" vertical="center"/>
    </xf>
    <xf numFmtId="0" fontId="5" fillId="5" borderId="11" xfId="0" applyNumberFormat="1" applyFont="1" applyFill="1" applyBorder="1" applyAlignment="1">
      <alignment horizontal="justify" vertical="center"/>
    </xf>
    <xf numFmtId="0" fontId="7" fillId="5" borderId="11" xfId="0" applyFont="1" applyFill="1" applyBorder="1" applyAlignment="1">
      <alignment horizontal="right" vertical="center" wrapText="1"/>
    </xf>
    <xf numFmtId="170" fontId="5" fillId="5" borderId="11" xfId="2" applyNumberFormat="1" applyFont="1" applyFill="1" applyBorder="1" applyAlignment="1">
      <alignment horizontal="justify" vertical="center"/>
    </xf>
    <xf numFmtId="0" fontId="5" fillId="0" borderId="11" xfId="0" applyNumberFormat="1" applyFont="1" applyFill="1" applyBorder="1" applyAlignment="1">
      <alignment horizontal="justify" vertical="center"/>
    </xf>
    <xf numFmtId="0" fontId="5" fillId="0" borderId="6" xfId="0" applyFont="1" applyBorder="1" applyAlignment="1">
      <alignment vertical="center" wrapText="1"/>
    </xf>
    <xf numFmtId="0" fontId="5" fillId="0" borderId="11" xfId="0" applyFont="1" applyBorder="1" applyAlignment="1">
      <alignment horizontal="center" vertical="center" wrapText="1"/>
    </xf>
    <xf numFmtId="0" fontId="5" fillId="0" borderId="11" xfId="0" applyFont="1" applyBorder="1" applyAlignment="1">
      <alignment vertical="center" wrapText="1"/>
    </xf>
    <xf numFmtId="0" fontId="5" fillId="0" borderId="2" xfId="0" applyFont="1" applyBorder="1" applyAlignment="1">
      <alignment vertical="center" wrapText="1"/>
    </xf>
    <xf numFmtId="0" fontId="5" fillId="0" borderId="10" xfId="0" applyFont="1" applyBorder="1" applyAlignment="1">
      <alignment vertical="center" wrapText="1"/>
    </xf>
    <xf numFmtId="0" fontId="5" fillId="0" borderId="2" xfId="0" applyFont="1" applyBorder="1" applyAlignment="1">
      <alignment horizontal="center" vertical="center" wrapText="1"/>
    </xf>
    <xf numFmtId="0" fontId="5" fillId="7" borderId="6" xfId="0" applyFont="1" applyFill="1" applyBorder="1" applyAlignment="1">
      <alignment horizontal="justify" vertical="center" wrapText="1"/>
    </xf>
    <xf numFmtId="0" fontId="5" fillId="7" borderId="6" xfId="0" applyFont="1" applyFill="1" applyBorder="1" applyAlignment="1">
      <alignment horizontal="center" vertical="center" wrapText="1"/>
    </xf>
    <xf numFmtId="0" fontId="5" fillId="5" borderId="2" xfId="0" applyFont="1" applyFill="1" applyBorder="1" applyAlignment="1">
      <alignment horizontal="justify"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6" xfId="0" applyFont="1" applyFill="1" applyBorder="1" applyAlignment="1">
      <alignment horizontal="justify" vertical="center" wrapText="1"/>
    </xf>
    <xf numFmtId="0" fontId="5" fillId="5" borderId="6" xfId="0" applyFont="1" applyFill="1" applyBorder="1" applyAlignment="1">
      <alignment horizontal="center" vertical="center" wrapText="1"/>
    </xf>
    <xf numFmtId="0" fontId="5" fillId="0" borderId="12" xfId="0" applyFont="1" applyFill="1" applyBorder="1" applyAlignment="1">
      <alignment horizontal="justify" vertical="center" wrapText="1"/>
    </xf>
    <xf numFmtId="0" fontId="3" fillId="5" borderId="2" xfId="0" applyFont="1" applyFill="1" applyBorder="1" applyAlignment="1">
      <alignment horizontal="justify" vertical="center" wrapText="1"/>
    </xf>
    <xf numFmtId="0" fontId="3" fillId="5" borderId="7" xfId="0" applyFont="1" applyFill="1" applyBorder="1" applyAlignment="1">
      <alignment horizontal="center" vertical="center"/>
    </xf>
    <xf numFmtId="0" fontId="3" fillId="11" borderId="6" xfId="0" applyFont="1" applyFill="1" applyBorder="1" applyAlignment="1">
      <alignment horizontal="justify" vertical="center" wrapText="1"/>
    </xf>
    <xf numFmtId="0" fontId="3" fillId="11" borderId="7" xfId="0" applyFont="1" applyFill="1" applyBorder="1" applyAlignment="1">
      <alignment horizontal="left" vertical="center"/>
    </xf>
    <xf numFmtId="0" fontId="3" fillId="11" borderId="11" xfId="0" applyFont="1" applyFill="1" applyBorder="1" applyAlignment="1">
      <alignment vertical="center"/>
    </xf>
    <xf numFmtId="172" fontId="3" fillId="11" borderId="11" xfId="1" applyNumberFormat="1" applyFont="1" applyFill="1" applyBorder="1" applyAlignment="1">
      <alignment horizontal="center" vertical="center"/>
    </xf>
    <xf numFmtId="0" fontId="3" fillId="0" borderId="9" xfId="0" applyFont="1" applyFill="1" applyBorder="1" applyAlignment="1">
      <alignment vertical="center" wrapText="1"/>
    </xf>
    <xf numFmtId="0" fontId="9" fillId="2" borderId="0" xfId="0" applyFont="1" applyFill="1" applyBorder="1" applyAlignment="1">
      <alignment vertical="center"/>
    </xf>
    <xf numFmtId="0" fontId="5" fillId="0" borderId="4" xfId="0" applyFont="1" applyFill="1" applyBorder="1" applyAlignment="1">
      <alignment horizontal="justify" vertical="center" wrapText="1"/>
    </xf>
    <xf numFmtId="0" fontId="5" fillId="0" borderId="12" xfId="0" applyNumberFormat="1" applyFont="1" applyFill="1" applyBorder="1" applyAlignment="1">
      <alignment horizontal="center" vertical="center"/>
    </xf>
    <xf numFmtId="0" fontId="7" fillId="0" borderId="12" xfId="0" applyFont="1" applyFill="1" applyBorder="1" applyAlignment="1">
      <alignment horizontal="right" vertical="center" wrapText="1"/>
    </xf>
    <xf numFmtId="170" fontId="5" fillId="0" borderId="12" xfId="2" applyNumberFormat="1" applyFont="1" applyFill="1" applyBorder="1" applyAlignment="1">
      <alignment horizontal="justify" vertical="center"/>
    </xf>
    <xf numFmtId="170" fontId="5" fillId="2" borderId="12" xfId="2" applyNumberFormat="1" applyFont="1" applyFill="1" applyBorder="1" applyAlignment="1">
      <alignment horizontal="justify" vertical="center"/>
    </xf>
    <xf numFmtId="172" fontId="5" fillId="0" borderId="12" xfId="1" applyNumberFormat="1" applyFont="1" applyFill="1" applyBorder="1" applyAlignment="1">
      <alignment horizontal="center" vertical="center"/>
    </xf>
    <xf numFmtId="0" fontId="9" fillId="3" borderId="4" xfId="0" applyFont="1" applyFill="1" applyBorder="1" applyAlignment="1">
      <alignment horizontal="left" vertical="center"/>
    </xf>
    <xf numFmtId="0" fontId="9" fillId="3" borderId="12" xfId="0" applyFont="1" applyFill="1" applyBorder="1" applyAlignment="1">
      <alignment horizontal="left" vertical="center"/>
    </xf>
    <xf numFmtId="0" fontId="9" fillId="3" borderId="12" xfId="0" applyFont="1" applyFill="1" applyBorder="1" applyAlignment="1">
      <alignment horizontal="center" vertical="center"/>
    </xf>
    <xf numFmtId="172" fontId="9" fillId="3" borderId="12" xfId="1" applyNumberFormat="1" applyFont="1" applyFill="1" applyBorder="1" applyAlignment="1">
      <alignment horizontal="center" vertical="center"/>
    </xf>
    <xf numFmtId="0" fontId="9" fillId="3" borderId="12" xfId="0" applyFont="1" applyFill="1" applyBorder="1" applyAlignment="1">
      <alignment vertical="center"/>
    </xf>
    <xf numFmtId="0" fontId="3" fillId="5" borderId="11" xfId="0" applyFont="1" applyFill="1" applyBorder="1" applyAlignment="1">
      <alignment horizontal="justify" vertical="center" wrapText="1"/>
    </xf>
    <xf numFmtId="0" fontId="3" fillId="0" borderId="11" xfId="0" applyFont="1" applyFill="1" applyBorder="1" applyAlignment="1">
      <alignment horizontal="center" vertical="center" wrapText="1"/>
    </xf>
    <xf numFmtId="170" fontId="3" fillId="7" borderId="11" xfId="0" applyNumberFormat="1" applyFont="1" applyFill="1" applyBorder="1" applyAlignment="1">
      <alignment vertical="center"/>
    </xf>
    <xf numFmtId="0" fontId="5" fillId="0" borderId="3" xfId="0" applyFont="1" applyBorder="1" applyAlignment="1">
      <alignment vertical="center" wrapText="1"/>
    </xf>
    <xf numFmtId="172" fontId="5" fillId="7" borderId="3" xfId="1" applyNumberFormat="1" applyFont="1" applyFill="1" applyBorder="1" applyAlignment="1">
      <alignment horizontal="center" vertical="center"/>
    </xf>
    <xf numFmtId="170" fontId="5" fillId="7" borderId="3" xfId="2" applyNumberFormat="1" applyFont="1" applyFill="1" applyBorder="1" applyAlignment="1">
      <alignment vertical="center"/>
    </xf>
    <xf numFmtId="170" fontId="5" fillId="5" borderId="3" xfId="2" applyNumberFormat="1" applyFont="1" applyFill="1" applyBorder="1" applyAlignment="1">
      <alignment vertical="center"/>
    </xf>
    <xf numFmtId="172" fontId="5" fillId="4" borderId="3" xfId="1" applyNumberFormat="1" applyFont="1" applyFill="1" applyBorder="1" applyAlignment="1">
      <alignment horizontal="center" vertical="center"/>
    </xf>
    <xf numFmtId="172" fontId="5" fillId="8" borderId="3" xfId="1" applyNumberFormat="1" applyFont="1" applyFill="1" applyBorder="1" applyAlignment="1">
      <alignment horizontal="center" vertical="center"/>
    </xf>
    <xf numFmtId="0" fontId="3" fillId="5" borderId="7" xfId="0" applyFont="1" applyFill="1" applyBorder="1" applyAlignment="1">
      <alignment horizontal="justify" vertical="center" wrapText="1"/>
    </xf>
    <xf numFmtId="0" fontId="5" fillId="7" borderId="3" xfId="0" applyNumberFormat="1" applyFont="1" applyFill="1" applyBorder="1" applyAlignment="1">
      <alignment horizontal="center" vertical="center" wrapText="1"/>
    </xf>
    <xf numFmtId="170" fontId="5" fillId="2" borderId="3" xfId="2" applyNumberFormat="1" applyFont="1" applyFill="1" applyBorder="1" applyAlignment="1">
      <alignment horizontal="justify" vertical="center"/>
    </xf>
    <xf numFmtId="0" fontId="5" fillId="0" borderId="7" xfId="0" applyFont="1" applyFill="1" applyBorder="1" applyAlignment="1">
      <alignment horizontal="center" vertical="center" wrapText="1"/>
    </xf>
    <xf numFmtId="0" fontId="5" fillId="0" borderId="11" xfId="0" applyFont="1" applyFill="1" applyBorder="1" applyAlignment="1">
      <alignment vertical="center" wrapText="1"/>
    </xf>
    <xf numFmtId="0" fontId="5" fillId="0" borderId="2" xfId="0" applyFont="1" applyFill="1" applyBorder="1" applyAlignment="1">
      <alignment vertical="center" wrapText="1"/>
    </xf>
    <xf numFmtId="0" fontId="3" fillId="7" borderId="3" xfId="0" applyFont="1" applyFill="1" applyBorder="1" applyAlignment="1">
      <alignment horizontal="justify" vertical="center" wrapText="1"/>
    </xf>
    <xf numFmtId="170" fontId="5" fillId="7" borderId="3" xfId="0" applyNumberFormat="1" applyFont="1" applyFill="1" applyBorder="1" applyAlignment="1">
      <alignment horizontal="justify" vertical="center" wrapText="1"/>
    </xf>
    <xf numFmtId="170" fontId="5" fillId="7" borderId="3" xfId="0" applyNumberFormat="1" applyFont="1" applyFill="1" applyBorder="1" applyAlignment="1">
      <alignment horizontal="center" vertical="center" wrapText="1"/>
    </xf>
    <xf numFmtId="0" fontId="5" fillId="5" borderId="3" xfId="0" applyNumberFormat="1" applyFont="1" applyFill="1" applyBorder="1" applyAlignment="1">
      <alignment horizontal="center" vertical="center" wrapText="1"/>
    </xf>
    <xf numFmtId="0" fontId="5" fillId="4" borderId="2" xfId="0" applyFont="1" applyFill="1" applyBorder="1" applyAlignment="1">
      <alignment horizontal="justify" vertical="center" wrapText="1"/>
    </xf>
    <xf numFmtId="0" fontId="5" fillId="4" borderId="3"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170" fontId="5" fillId="2" borderId="0" xfId="2" applyNumberFormat="1" applyFont="1" applyFill="1" applyBorder="1" applyAlignment="1">
      <alignment horizontal="justify" vertical="center"/>
    </xf>
    <xf numFmtId="0" fontId="3" fillId="5" borderId="3" xfId="0" applyFont="1" applyFill="1" applyBorder="1" applyAlignment="1">
      <alignment horizontal="justify" vertical="center" wrapText="1"/>
    </xf>
    <xf numFmtId="3" fontId="3" fillId="7" borderId="11" xfId="0" applyNumberFormat="1" applyFont="1" applyFill="1" applyBorder="1" applyAlignment="1">
      <alignment vertical="center"/>
    </xf>
    <xf numFmtId="0" fontId="5" fillId="12" borderId="3" xfId="0" applyFont="1" applyFill="1" applyBorder="1" applyAlignment="1">
      <alignment horizontal="justify" vertical="center" wrapText="1"/>
    </xf>
    <xf numFmtId="0" fontId="5" fillId="12" borderId="3" xfId="0" applyFont="1" applyFill="1" applyBorder="1" applyAlignment="1">
      <alignment horizontal="center" vertical="center" wrapText="1"/>
    </xf>
    <xf numFmtId="0" fontId="5" fillId="12" borderId="3" xfId="0" applyNumberFormat="1" applyFont="1" applyFill="1" applyBorder="1" applyAlignment="1">
      <alignment horizontal="center" vertical="center" wrapText="1"/>
    </xf>
    <xf numFmtId="0" fontId="7" fillId="12" borderId="3" xfId="0" applyFont="1" applyFill="1" applyBorder="1" applyAlignment="1">
      <alignment horizontal="right" vertical="center" wrapText="1"/>
    </xf>
    <xf numFmtId="170" fontId="5" fillId="12" borderId="3" xfId="0" applyNumberFormat="1" applyFont="1" applyFill="1" applyBorder="1" applyAlignment="1">
      <alignment horizontal="justify" vertical="center" wrapText="1"/>
    </xf>
    <xf numFmtId="170" fontId="5" fillId="12" borderId="3" xfId="2" applyNumberFormat="1" applyFont="1" applyFill="1" applyBorder="1" applyAlignment="1">
      <alignment horizontal="justify" vertical="center"/>
    </xf>
    <xf numFmtId="0" fontId="5" fillId="8" borderId="3" xfId="0" applyNumberFormat="1" applyFont="1" applyFill="1" applyBorder="1" applyAlignment="1">
      <alignment horizontal="center" vertical="center" wrapText="1"/>
    </xf>
    <xf numFmtId="0" fontId="3" fillId="7" borderId="7" xfId="0" applyFont="1" applyFill="1" applyBorder="1" applyAlignment="1">
      <alignment vertical="center"/>
    </xf>
    <xf numFmtId="0" fontId="5" fillId="0" borderId="11" xfId="0" applyFont="1" applyFill="1" applyBorder="1" applyAlignment="1">
      <alignment horizontal="left" vertical="center" wrapText="1"/>
    </xf>
    <xf numFmtId="0" fontId="3" fillId="11" borderId="11" xfId="0" applyFont="1" applyFill="1" applyBorder="1" applyAlignment="1">
      <alignment horizontal="left" vertical="center" wrapText="1"/>
    </xf>
    <xf numFmtId="0" fontId="5" fillId="7" borderId="3" xfId="2" applyNumberFormat="1" applyFont="1" applyFill="1" applyBorder="1" applyAlignment="1">
      <alignment horizontal="center" vertical="center"/>
    </xf>
    <xf numFmtId="0" fontId="5" fillId="0" borderId="11" xfId="2" applyNumberFormat="1" applyFont="1" applyFill="1" applyBorder="1" applyAlignment="1">
      <alignment horizontal="center" vertical="center"/>
    </xf>
    <xf numFmtId="0" fontId="5" fillId="0" borderId="12" xfId="2" applyNumberFormat="1" applyFont="1" applyFill="1" applyBorder="1" applyAlignment="1">
      <alignment horizontal="center" vertical="center"/>
    </xf>
    <xf numFmtId="170" fontId="5" fillId="0" borderId="1" xfId="2" applyNumberFormat="1" applyFont="1" applyFill="1" applyBorder="1" applyAlignment="1">
      <alignment horizontal="justify" vertical="center"/>
    </xf>
    <xf numFmtId="172" fontId="5" fillId="0" borderId="1" xfId="1" applyNumberFormat="1" applyFont="1" applyFill="1" applyBorder="1" applyAlignment="1">
      <alignment horizontal="center" vertical="center"/>
    </xf>
    <xf numFmtId="0" fontId="3" fillId="7" borderId="12" xfId="0" applyFont="1" applyFill="1" applyBorder="1" applyAlignment="1">
      <alignment vertical="center"/>
    </xf>
    <xf numFmtId="172" fontId="3" fillId="7" borderId="12" xfId="1" applyNumberFormat="1" applyFont="1" applyFill="1" applyBorder="1" applyAlignment="1">
      <alignment horizontal="center" vertical="center"/>
    </xf>
    <xf numFmtId="170" fontId="5" fillId="0" borderId="1" xfId="2" applyNumberFormat="1" applyFont="1" applyFill="1" applyBorder="1" applyAlignment="1">
      <alignment vertical="center"/>
    </xf>
    <xf numFmtId="0" fontId="3" fillId="5" borderId="12" xfId="0" applyFont="1" applyFill="1" applyBorder="1" applyAlignment="1">
      <alignment horizontal="center" vertical="center"/>
    </xf>
    <xf numFmtId="0" fontId="3" fillId="5" borderId="12" xfId="0" applyFont="1" applyFill="1" applyBorder="1" applyAlignment="1">
      <alignment vertical="center"/>
    </xf>
    <xf numFmtId="172" fontId="3" fillId="5" borderId="12" xfId="1" applyNumberFormat="1"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2" xfId="0" applyFont="1" applyFill="1" applyBorder="1" applyAlignment="1">
      <alignment horizontal="left" vertical="center" wrapText="1"/>
    </xf>
    <xf numFmtId="172" fontId="5" fillId="0" borderId="0" xfId="1" applyNumberFormat="1" applyFont="1" applyFill="1" applyBorder="1" applyAlignment="1">
      <alignment horizontal="center" vertical="center"/>
    </xf>
    <xf numFmtId="170" fontId="5" fillId="0" borderId="0" xfId="2" applyNumberFormat="1" applyFont="1" applyFill="1" applyBorder="1" applyAlignment="1">
      <alignment vertical="center"/>
    </xf>
    <xf numFmtId="170" fontId="5" fillId="0" borderId="7" xfId="2" applyNumberFormat="1" applyFont="1" applyBorder="1" applyAlignment="1">
      <alignment horizontal="justify" vertical="center"/>
    </xf>
    <xf numFmtId="0" fontId="5" fillId="4" borderId="6" xfId="0" applyFont="1" applyFill="1" applyBorder="1" applyAlignment="1">
      <alignment horizontal="justify" vertical="center" wrapText="1"/>
    </xf>
    <xf numFmtId="0" fontId="5" fillId="4" borderId="6" xfId="0" applyFont="1" applyFill="1" applyBorder="1" applyAlignment="1">
      <alignment horizontal="center" vertical="center" wrapText="1"/>
    </xf>
    <xf numFmtId="0" fontId="3" fillId="4" borderId="11" xfId="0" applyFont="1" applyFill="1" applyBorder="1" applyAlignment="1">
      <alignment horizontal="justify" vertical="center" wrapText="1"/>
    </xf>
    <xf numFmtId="0" fontId="5" fillId="0" borderId="14" xfId="0" applyFont="1" applyBorder="1" applyAlignment="1">
      <alignment vertical="center" wrapText="1"/>
    </xf>
    <xf numFmtId="0" fontId="5" fillId="7" borderId="6" xfId="0" applyNumberFormat="1" applyFont="1" applyFill="1" applyBorder="1" applyAlignment="1">
      <alignment horizontal="center" vertical="center"/>
    </xf>
    <xf numFmtId="0" fontId="7" fillId="7" borderId="6" xfId="0" applyFont="1" applyFill="1" applyBorder="1" applyAlignment="1">
      <alignment horizontal="right" vertical="center" wrapText="1"/>
    </xf>
    <xf numFmtId="170" fontId="5" fillId="7" borderId="6" xfId="2" applyNumberFormat="1" applyFont="1" applyFill="1" applyBorder="1" applyAlignment="1">
      <alignment horizontal="justify" vertical="center"/>
    </xf>
    <xf numFmtId="0" fontId="3" fillId="5" borderId="3" xfId="0" applyFont="1" applyFill="1" applyBorder="1" applyAlignment="1">
      <alignment horizontal="center" vertical="center" wrapText="1"/>
    </xf>
    <xf numFmtId="0" fontId="3" fillId="6" borderId="7" xfId="0" applyFont="1" applyFill="1" applyBorder="1" applyAlignment="1">
      <alignment horizontal="justify" vertical="center" wrapText="1"/>
    </xf>
    <xf numFmtId="0" fontId="5" fillId="7" borderId="3" xfId="0" applyFont="1" applyFill="1" applyBorder="1" applyAlignment="1">
      <alignment horizontal="justify" vertical="center"/>
    </xf>
    <xf numFmtId="0" fontId="5" fillId="0" borderId="11" xfId="0" applyFont="1" applyFill="1" applyBorder="1" applyAlignment="1">
      <alignment horizontal="justify" vertical="center"/>
    </xf>
    <xf numFmtId="0" fontId="9" fillId="10" borderId="0" xfId="0" applyFont="1" applyFill="1" applyBorder="1" applyAlignment="1">
      <alignment vertical="center"/>
    </xf>
    <xf numFmtId="170" fontId="5" fillId="0" borderId="12" xfId="2" applyNumberFormat="1" applyFont="1" applyFill="1" applyBorder="1" applyAlignment="1">
      <alignment vertical="center"/>
    </xf>
    <xf numFmtId="172" fontId="9" fillId="3" borderId="3" xfId="1" applyNumberFormat="1" applyFont="1" applyFill="1" applyBorder="1" applyAlignment="1">
      <alignment horizontal="center" vertical="center"/>
    </xf>
    <xf numFmtId="172" fontId="5" fillId="0" borderId="10" xfId="1" applyNumberFormat="1" applyFont="1" applyFill="1" applyBorder="1" applyAlignment="1">
      <alignment horizontal="center" vertical="center"/>
    </xf>
    <xf numFmtId="170" fontId="5" fillId="0" borderId="10" xfId="2" applyNumberFormat="1" applyFont="1" applyFill="1" applyBorder="1" applyAlignment="1">
      <alignment vertical="center"/>
    </xf>
    <xf numFmtId="0" fontId="9" fillId="0" borderId="8" xfId="0" applyFont="1" applyFill="1" applyBorder="1" applyAlignment="1">
      <alignment horizontal="left" vertical="center"/>
    </xf>
    <xf numFmtId="37" fontId="7" fillId="0" borderId="3" xfId="2" applyNumberFormat="1" applyFont="1" applyFill="1" applyBorder="1" applyAlignment="1">
      <alignment horizontal="right" vertical="center"/>
    </xf>
    <xf numFmtId="170" fontId="5" fillId="0" borderId="8" xfId="2" applyNumberFormat="1" applyFont="1" applyFill="1" applyBorder="1" applyAlignment="1">
      <alignment horizontal="justify" vertical="center"/>
    </xf>
    <xf numFmtId="0" fontId="6" fillId="0" borderId="2" xfId="0" applyFont="1" applyFill="1" applyBorder="1" applyAlignment="1">
      <alignment horizontal="center" vertical="center"/>
    </xf>
    <xf numFmtId="0" fontId="6" fillId="0" borderId="15" xfId="0" applyFont="1" applyFill="1" applyBorder="1" applyAlignment="1">
      <alignment horizontal="center" vertical="center"/>
    </xf>
    <xf numFmtId="0" fontId="3" fillId="0" borderId="3" xfId="0" applyFont="1" applyFill="1" applyBorder="1" applyAlignment="1">
      <alignment horizontal="justify" vertical="center"/>
    </xf>
    <xf numFmtId="0" fontId="5" fillId="7" borderId="3" xfId="0" applyFont="1" applyFill="1" applyBorder="1" applyAlignment="1">
      <alignment horizontal="center" vertical="center"/>
    </xf>
    <xf numFmtId="0" fontId="3" fillId="0" borderId="1" xfId="0" applyFont="1" applyFill="1" applyBorder="1" applyAlignment="1">
      <alignment horizontal="justify" vertical="center"/>
    </xf>
    <xf numFmtId="0" fontId="3" fillId="0" borderId="1" xfId="0" applyFont="1" applyFill="1" applyBorder="1" applyAlignment="1">
      <alignment horizontal="center" vertical="center"/>
    </xf>
    <xf numFmtId="0" fontId="5" fillId="0" borderId="11" xfId="0" applyFont="1" applyFill="1" applyBorder="1" applyAlignment="1">
      <alignment horizontal="center" vertical="center"/>
    </xf>
    <xf numFmtId="0" fontId="3" fillId="0" borderId="10" xfId="0" applyFont="1" applyFill="1" applyBorder="1" applyAlignment="1">
      <alignment horizontal="justify" vertical="center"/>
    </xf>
    <xf numFmtId="0" fontId="3" fillId="0" borderId="10" xfId="0" applyFont="1" applyFill="1" applyBorder="1" applyAlignment="1">
      <alignment horizontal="center" vertical="center"/>
    </xf>
    <xf numFmtId="0" fontId="5" fillId="10" borderId="3" xfId="0" applyFont="1" applyFill="1" applyBorder="1" applyAlignment="1">
      <alignment horizontal="center" vertical="center"/>
    </xf>
    <xf numFmtId="0" fontId="5" fillId="10" borderId="3" xfId="0" applyFont="1" applyFill="1" applyBorder="1" applyAlignment="1">
      <alignment horizontal="center" vertical="center" wrapText="1"/>
    </xf>
    <xf numFmtId="170" fontId="5" fillId="0" borderId="3" xfId="2" applyNumberFormat="1" applyFont="1" applyBorder="1" applyAlignment="1">
      <alignment horizontal="justify" vertical="center"/>
    </xf>
    <xf numFmtId="0" fontId="5" fillId="0" borderId="9" xfId="0" applyFont="1" applyBorder="1" applyAlignment="1">
      <alignment horizontal="center" vertical="center" wrapText="1"/>
    </xf>
    <xf numFmtId="0" fontId="3" fillId="5" borderId="3" xfId="0" applyFont="1" applyFill="1" applyBorder="1" applyAlignment="1">
      <alignment horizontal="justify" vertical="center"/>
    </xf>
    <xf numFmtId="0" fontId="3" fillId="5" borderId="3" xfId="0" applyFont="1" applyFill="1" applyBorder="1" applyAlignment="1">
      <alignment horizontal="center" vertical="center"/>
    </xf>
    <xf numFmtId="0" fontId="5" fillId="5" borderId="3" xfId="0" applyFont="1" applyFill="1" applyBorder="1" applyAlignment="1">
      <alignment horizontal="center" vertical="center"/>
    </xf>
    <xf numFmtId="0" fontId="3" fillId="0" borderId="4"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11" borderId="7" xfId="0" applyFont="1" applyFill="1" applyBorder="1" applyAlignment="1">
      <alignment horizontal="left" vertical="center" wrapText="1"/>
    </xf>
    <xf numFmtId="170" fontId="5" fillId="2" borderId="3" xfId="2" applyNumberFormat="1" applyFont="1" applyFill="1" applyBorder="1" applyAlignment="1">
      <alignment vertical="center"/>
    </xf>
    <xf numFmtId="0" fontId="5" fillId="0" borderId="12" xfId="0" applyFont="1" applyFill="1" applyBorder="1" applyAlignment="1">
      <alignment horizontal="center" vertical="center"/>
    </xf>
    <xf numFmtId="0" fontId="5" fillId="0" borderId="3" xfId="0" applyFont="1" applyBorder="1" applyAlignment="1">
      <alignment horizontal="center" vertical="center"/>
    </xf>
    <xf numFmtId="0" fontId="3" fillId="0" borderId="8" xfId="0" applyFont="1" applyFill="1" applyBorder="1" applyAlignment="1">
      <alignment vertical="center" wrapText="1"/>
    </xf>
    <xf numFmtId="0" fontId="3" fillId="4" borderId="3" xfId="0" applyFont="1" applyFill="1" applyBorder="1" applyAlignment="1">
      <alignment horizontal="justify" vertical="center"/>
    </xf>
    <xf numFmtId="0" fontId="3" fillId="4" borderId="3" xfId="0" applyFont="1" applyFill="1" applyBorder="1" applyAlignment="1">
      <alignment horizontal="center" vertical="center"/>
    </xf>
    <xf numFmtId="0" fontId="5" fillId="4" borderId="3" xfId="0" applyFont="1" applyFill="1" applyBorder="1" applyAlignment="1">
      <alignment horizontal="center" vertical="center"/>
    </xf>
    <xf numFmtId="0" fontId="3" fillId="8" borderId="3" xfId="0" applyFont="1" applyFill="1" applyBorder="1" applyAlignment="1">
      <alignment horizontal="justify" vertical="center"/>
    </xf>
    <xf numFmtId="0" fontId="3" fillId="8" borderId="3" xfId="0" applyFont="1" applyFill="1" applyBorder="1" applyAlignment="1">
      <alignment horizontal="center" vertical="center"/>
    </xf>
    <xf numFmtId="0" fontId="5" fillId="8" borderId="3" xfId="0" applyFont="1" applyFill="1" applyBorder="1" applyAlignment="1">
      <alignment horizontal="center" vertical="center"/>
    </xf>
    <xf numFmtId="0" fontId="3" fillId="0" borderId="11" xfId="0" applyFont="1" applyFill="1" applyBorder="1" applyAlignment="1">
      <alignment horizontal="justify" vertical="center"/>
    </xf>
    <xf numFmtId="0" fontId="3" fillId="7" borderId="11" xfId="0" applyFont="1" applyFill="1" applyBorder="1" applyAlignment="1">
      <alignment horizontal="justify" vertical="center" wrapText="1"/>
    </xf>
    <xf numFmtId="0" fontId="5" fillId="2" borderId="3" xfId="0" applyNumberFormat="1" applyFont="1" applyFill="1" applyBorder="1" applyAlignment="1">
      <alignment horizontal="center" vertical="center" wrapText="1"/>
    </xf>
    <xf numFmtId="0" fontId="3" fillId="7" borderId="10" xfId="0" applyFont="1" applyFill="1" applyBorder="1" applyAlignment="1">
      <alignment horizontal="justify" vertical="center" wrapText="1"/>
    </xf>
    <xf numFmtId="0" fontId="3" fillId="0" borderId="11" xfId="0" applyFont="1" applyFill="1" applyBorder="1" applyAlignment="1">
      <alignment horizontal="left" vertical="center" wrapText="1"/>
    </xf>
    <xf numFmtId="0" fontId="3" fillId="7" borderId="0" xfId="0" applyFont="1" applyFill="1" applyBorder="1" applyAlignment="1">
      <alignment vertical="center"/>
    </xf>
    <xf numFmtId="0" fontId="5" fillId="2" borderId="3" xfId="0" applyNumberFormat="1" applyFont="1" applyFill="1" applyBorder="1" applyAlignment="1">
      <alignment horizontal="justify" vertical="center" wrapText="1"/>
    </xf>
    <xf numFmtId="0" fontId="9"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Border="1" applyAlignment="1">
      <alignment vertical="center"/>
    </xf>
    <xf numFmtId="0" fontId="9" fillId="3" borderId="11" xfId="0" applyFont="1" applyFill="1" applyBorder="1" applyAlignment="1">
      <alignment horizontal="left" vertical="center" wrapText="1"/>
    </xf>
    <xf numFmtId="0" fontId="9" fillId="3" borderId="11" xfId="0" applyFont="1" applyFill="1" applyBorder="1" applyAlignment="1">
      <alignment horizontal="center" vertical="center" wrapText="1"/>
    </xf>
    <xf numFmtId="172" fontId="9" fillId="3" borderId="11" xfId="1" applyNumberFormat="1" applyFont="1" applyFill="1" applyBorder="1" applyAlignment="1">
      <alignment horizontal="center" vertical="center" wrapText="1"/>
    </xf>
    <xf numFmtId="0" fontId="9" fillId="3" borderId="11" xfId="0" applyFont="1" applyFill="1" applyBorder="1" applyAlignment="1">
      <alignment vertical="center" wrapText="1"/>
    </xf>
    <xf numFmtId="43" fontId="5" fillId="0" borderId="14" xfId="2" applyFont="1" applyFill="1" applyBorder="1" applyAlignment="1">
      <alignment horizontal="center" vertical="center"/>
    </xf>
    <xf numFmtId="170" fontId="5" fillId="0" borderId="14" xfId="3" applyNumberFormat="1" applyFont="1" applyFill="1" applyBorder="1" applyAlignment="1">
      <alignment horizontal="center" vertical="center"/>
    </xf>
    <xf numFmtId="170" fontId="5" fillId="0" borderId="7" xfId="1" applyNumberFormat="1" applyFont="1" applyFill="1" applyBorder="1" applyAlignment="1">
      <alignment horizontal="center" vertical="center" wrapText="1"/>
    </xf>
    <xf numFmtId="3" fontId="5" fillId="0" borderId="3" xfId="2" applyNumberFormat="1" applyFont="1" applyFill="1" applyBorder="1" applyAlignment="1">
      <alignment vertical="center"/>
    </xf>
    <xf numFmtId="170" fontId="5" fillId="0" borderId="11" xfId="0" applyNumberFormat="1" applyFont="1" applyFill="1" applyBorder="1" applyAlignment="1">
      <alignment horizontal="justify" vertical="center" wrapText="1"/>
    </xf>
    <xf numFmtId="170" fontId="5" fillId="2" borderId="11" xfId="0" applyNumberFormat="1" applyFont="1" applyFill="1" applyBorder="1" applyAlignment="1">
      <alignment horizontal="justify" vertical="center" wrapText="1"/>
    </xf>
    <xf numFmtId="170" fontId="5" fillId="0" borderId="11" xfId="0" applyNumberFormat="1" applyFont="1" applyFill="1" applyBorder="1" applyAlignment="1">
      <alignment vertical="center" wrapText="1"/>
    </xf>
    <xf numFmtId="3" fontId="5" fillId="7" borderId="3" xfId="0" applyNumberFormat="1" applyFont="1" applyFill="1" applyBorder="1" applyAlignment="1">
      <alignment horizontal="justify" vertical="center" wrapText="1"/>
    </xf>
    <xf numFmtId="170" fontId="5" fillId="5" borderId="3" xfId="0" applyNumberFormat="1" applyFont="1" applyFill="1" applyBorder="1" applyAlignment="1">
      <alignment horizontal="justify" vertical="center" wrapText="1"/>
    </xf>
    <xf numFmtId="0" fontId="3" fillId="4" borderId="3" xfId="0" applyFont="1" applyFill="1" applyBorder="1" applyAlignment="1">
      <alignment horizontal="center" vertical="center" wrapText="1"/>
    </xf>
    <xf numFmtId="0" fontId="3" fillId="4" borderId="3" xfId="0" applyFont="1" applyFill="1" applyBorder="1" applyAlignment="1">
      <alignment vertical="center" wrapText="1"/>
    </xf>
    <xf numFmtId="0" fontId="7" fillId="6" borderId="3" xfId="0" applyFont="1" applyFill="1" applyBorder="1" applyAlignment="1">
      <alignment horizontal="right" vertical="center" wrapText="1"/>
    </xf>
    <xf numFmtId="170" fontId="5" fillId="6" borderId="3" xfId="1" applyNumberFormat="1" applyFont="1" applyFill="1" applyBorder="1" applyAlignment="1">
      <alignment horizontal="center" vertical="center"/>
    </xf>
    <xf numFmtId="0" fontId="3" fillId="7" borderId="11" xfId="0" applyFont="1" applyFill="1" applyBorder="1" applyAlignment="1">
      <alignment horizontal="center" vertical="center" wrapText="1"/>
    </xf>
    <xf numFmtId="0" fontId="5" fillId="7" borderId="11" xfId="0" applyFont="1" applyFill="1" applyBorder="1" applyAlignment="1">
      <alignment horizontal="justify" vertical="center" wrapText="1"/>
    </xf>
    <xf numFmtId="0" fontId="5" fillId="7" borderId="11" xfId="0" applyNumberFormat="1" applyFont="1" applyFill="1" applyBorder="1" applyAlignment="1">
      <alignment horizontal="center" vertical="center" wrapText="1"/>
    </xf>
    <xf numFmtId="0" fontId="7" fillId="7" borderId="11" xfId="0" applyFont="1" applyFill="1" applyBorder="1" applyAlignment="1">
      <alignment horizontal="right" vertical="center" wrapText="1"/>
    </xf>
    <xf numFmtId="0" fontId="5" fillId="7" borderId="11" xfId="0" applyFont="1" applyFill="1" applyBorder="1" applyAlignment="1">
      <alignment horizontal="center" vertical="center" wrapText="1"/>
    </xf>
    <xf numFmtId="170" fontId="5" fillId="7" borderId="11" xfId="2" applyNumberFormat="1" applyFont="1" applyFill="1" applyBorder="1" applyAlignment="1">
      <alignment horizontal="justify" vertical="center"/>
    </xf>
    <xf numFmtId="0" fontId="3" fillId="0" borderId="11" xfId="0" applyFont="1" applyFill="1" applyBorder="1" applyAlignment="1">
      <alignment horizontal="justify" vertical="center" wrapText="1"/>
    </xf>
    <xf numFmtId="0" fontId="5" fillId="0" borderId="14" xfId="0" applyFont="1" applyFill="1" applyBorder="1" applyAlignment="1">
      <alignment vertical="center"/>
    </xf>
    <xf numFmtId="170" fontId="5" fillId="0" borderId="3" xfId="2" applyNumberFormat="1" applyFont="1" applyFill="1" applyBorder="1" applyAlignment="1">
      <alignment horizontal="justify" vertical="center" wrapText="1"/>
    </xf>
    <xf numFmtId="0" fontId="5" fillId="0" borderId="10" xfId="0" applyFont="1" applyFill="1" applyBorder="1" applyAlignment="1">
      <alignment vertical="center"/>
    </xf>
    <xf numFmtId="0" fontId="7" fillId="7" borderId="3" xfId="0" applyFont="1" applyFill="1" applyBorder="1" applyAlignment="1">
      <alignment horizontal="right" vertical="center"/>
    </xf>
    <xf numFmtId="170" fontId="5" fillId="7" borderId="3" xfId="0" applyNumberFormat="1" applyFont="1" applyFill="1" applyBorder="1" applyAlignment="1">
      <alignment horizontal="justify" vertical="center"/>
    </xf>
    <xf numFmtId="0" fontId="7" fillId="0" borderId="11" xfId="0" applyFont="1" applyFill="1" applyBorder="1" applyAlignment="1">
      <alignment horizontal="right" vertical="center"/>
    </xf>
    <xf numFmtId="170" fontId="5" fillId="0" borderId="11" xfId="0" applyNumberFormat="1" applyFont="1" applyFill="1" applyBorder="1" applyAlignment="1">
      <alignment horizontal="justify" vertical="center"/>
    </xf>
    <xf numFmtId="170" fontId="5" fillId="0" borderId="11" xfId="0" applyNumberFormat="1" applyFont="1" applyFill="1" applyBorder="1" applyAlignment="1">
      <alignment vertical="center"/>
    </xf>
    <xf numFmtId="0" fontId="3" fillId="7" borderId="3" xfId="0" applyFont="1" applyFill="1" applyBorder="1" applyAlignment="1">
      <alignment horizontal="justify" vertical="center"/>
    </xf>
    <xf numFmtId="0" fontId="5" fillId="2" borderId="10" xfId="0" applyNumberFormat="1" applyFont="1" applyFill="1" applyBorder="1" applyAlignment="1">
      <alignment horizontal="center" vertical="center" wrapText="1"/>
    </xf>
    <xf numFmtId="0" fontId="5" fillId="7" borderId="6" xfId="0" applyNumberFormat="1" applyFont="1" applyFill="1" applyBorder="1" applyAlignment="1">
      <alignment horizontal="center" vertical="center" wrapText="1"/>
    </xf>
    <xf numFmtId="0" fontId="5" fillId="5" borderId="5" xfId="0" applyFont="1" applyFill="1" applyBorder="1" applyAlignment="1">
      <alignment horizontal="justify" vertical="center" wrapText="1"/>
    </xf>
    <xf numFmtId="0" fontId="5" fillId="5" borderId="6" xfId="0" applyNumberFormat="1" applyFont="1" applyFill="1" applyBorder="1" applyAlignment="1">
      <alignment horizontal="center" vertical="center" wrapText="1"/>
    </xf>
    <xf numFmtId="0" fontId="7" fillId="5" borderId="6" xfId="0" applyFont="1" applyFill="1" applyBorder="1" applyAlignment="1">
      <alignment horizontal="right" vertical="center" wrapText="1"/>
    </xf>
    <xf numFmtId="170" fontId="5" fillId="5" borderId="6" xfId="2" applyNumberFormat="1" applyFont="1" applyFill="1" applyBorder="1" applyAlignment="1">
      <alignment horizontal="justify" vertical="center"/>
    </xf>
    <xf numFmtId="0" fontId="5" fillId="4" borderId="5" xfId="0" applyFont="1" applyFill="1" applyBorder="1" applyAlignment="1">
      <alignment horizontal="justify" vertical="center" wrapText="1"/>
    </xf>
    <xf numFmtId="0" fontId="5" fillId="4" borderId="6" xfId="0" applyNumberFormat="1" applyFont="1" applyFill="1" applyBorder="1" applyAlignment="1">
      <alignment horizontal="center" vertical="center" wrapText="1"/>
    </xf>
    <xf numFmtId="0" fontId="7" fillId="4" borderId="6" xfId="0" applyFont="1" applyFill="1" applyBorder="1" applyAlignment="1">
      <alignment horizontal="right" vertical="center" wrapText="1"/>
    </xf>
    <xf numFmtId="170" fontId="5" fillId="4" borderId="6" xfId="2" applyNumberFormat="1" applyFont="1" applyFill="1" applyBorder="1" applyAlignment="1">
      <alignment horizontal="justify" vertical="center"/>
    </xf>
    <xf numFmtId="43" fontId="5" fillId="7" borderId="3" xfId="2" applyNumberFormat="1" applyFont="1" applyFill="1" applyBorder="1" applyAlignment="1">
      <alignment horizontal="justify" vertical="center"/>
    </xf>
    <xf numFmtId="43" fontId="5" fillId="5" borderId="3" xfId="2" applyNumberFormat="1" applyFont="1" applyFill="1" applyBorder="1" applyAlignment="1">
      <alignment horizontal="justify" vertical="center"/>
    </xf>
    <xf numFmtId="3" fontId="5" fillId="7" borderId="3" xfId="0" applyNumberFormat="1"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0" borderId="12" xfId="0" applyNumberFormat="1" applyFont="1" applyFill="1" applyBorder="1" applyAlignment="1">
      <alignment horizontal="center" vertical="center" wrapText="1"/>
    </xf>
    <xf numFmtId="170" fontId="3" fillId="7" borderId="11" xfId="1" applyNumberFormat="1" applyFont="1" applyFill="1" applyBorder="1" applyAlignment="1">
      <alignment vertical="center"/>
    </xf>
    <xf numFmtId="3" fontId="5" fillId="0" borderId="3" xfId="0" applyNumberFormat="1" applyFont="1" applyFill="1" applyBorder="1" applyAlignment="1">
      <alignment horizontal="left" vertical="center" wrapText="1"/>
    </xf>
    <xf numFmtId="43" fontId="5" fillId="0" borderId="3" xfId="2" applyFont="1" applyFill="1" applyBorder="1" applyAlignment="1">
      <alignment horizontal="justify" vertical="center"/>
    </xf>
    <xf numFmtId="10" fontId="5" fillId="5" borderId="3" xfId="0" applyNumberFormat="1" applyFont="1" applyFill="1" applyBorder="1" applyAlignment="1">
      <alignment horizontal="center" vertical="center" wrapText="1"/>
    </xf>
    <xf numFmtId="3" fontId="5" fillId="5" borderId="3" xfId="0" applyNumberFormat="1" applyFont="1" applyFill="1" applyBorder="1" applyAlignment="1">
      <alignment horizontal="center" vertical="center" wrapText="1"/>
    </xf>
    <xf numFmtId="0" fontId="3" fillId="7" borderId="12" xfId="0" applyFont="1" applyFill="1" applyBorder="1" applyAlignment="1">
      <alignment horizontal="justify" vertical="center" wrapText="1"/>
    </xf>
    <xf numFmtId="10" fontId="5" fillId="0" borderId="9" xfId="0" applyNumberFormat="1" applyFont="1" applyFill="1" applyBorder="1" applyAlignment="1">
      <alignment horizontal="center" vertical="center" wrapText="1"/>
    </xf>
    <xf numFmtId="0" fontId="5" fillId="7" borderId="2" xfId="0" applyFont="1" applyFill="1" applyBorder="1" applyAlignment="1">
      <alignment horizontal="justify" vertical="center" wrapText="1"/>
    </xf>
    <xf numFmtId="0" fontId="3" fillId="7" borderId="2" xfId="0" applyFont="1" applyFill="1" applyBorder="1" applyAlignment="1">
      <alignment horizontal="justify" vertical="center" wrapText="1"/>
    </xf>
    <xf numFmtId="3" fontId="5" fillId="7" borderId="3" xfId="0" applyNumberFormat="1" applyFont="1" applyFill="1" applyBorder="1" applyAlignment="1">
      <alignment horizontal="center" vertical="center"/>
    </xf>
    <xf numFmtId="9" fontId="5" fillId="0" borderId="10" xfId="0" applyNumberFormat="1" applyFont="1" applyFill="1" applyBorder="1" applyAlignment="1">
      <alignment vertical="center" wrapText="1"/>
    </xf>
    <xf numFmtId="10" fontId="5" fillId="0" borderId="3" xfId="0" applyNumberFormat="1" applyFont="1" applyBorder="1" applyAlignment="1">
      <alignment horizontal="center" vertical="center" wrapText="1"/>
    </xf>
    <xf numFmtId="0" fontId="5" fillId="0" borderId="1" xfId="0" applyFont="1" applyFill="1" applyBorder="1" applyAlignment="1">
      <alignment horizontal="justify" vertical="center" wrapText="1"/>
    </xf>
    <xf numFmtId="10"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0" fontId="7" fillId="0" borderId="0" xfId="0" applyFont="1" applyFill="1" applyBorder="1" applyAlignment="1">
      <alignment horizontal="right" vertical="center" wrapText="1"/>
    </xf>
    <xf numFmtId="0" fontId="5" fillId="0" borderId="0" xfId="0" applyFont="1" applyFill="1" applyBorder="1" applyAlignment="1">
      <alignment horizontal="justify" vertical="center" wrapText="1"/>
    </xf>
    <xf numFmtId="170" fontId="5" fillId="2" borderId="1" xfId="2" applyNumberFormat="1" applyFont="1" applyFill="1" applyBorder="1" applyAlignment="1">
      <alignment horizontal="justify" vertical="center"/>
    </xf>
    <xf numFmtId="10" fontId="5" fillId="0" borderId="10" xfId="0" applyNumberFormat="1" applyFont="1" applyFill="1" applyBorder="1" applyAlignment="1">
      <alignment vertical="center" wrapText="1"/>
    </xf>
    <xf numFmtId="0" fontId="6" fillId="0" borderId="0" xfId="0" applyFont="1" applyFill="1" applyBorder="1" applyAlignment="1">
      <alignment horizontal="left" vertical="center" wrapText="1"/>
    </xf>
    <xf numFmtId="13" fontId="5" fillId="0" borderId="14" xfId="0" applyNumberFormat="1" applyFont="1" applyFill="1" applyBorder="1" applyAlignment="1">
      <alignment horizontal="center" vertical="center" wrapText="1"/>
    </xf>
    <xf numFmtId="10" fontId="5" fillId="0" borderId="10" xfId="0" applyNumberFormat="1" applyFont="1" applyBorder="1" applyAlignment="1">
      <alignment horizontal="center" vertical="center" wrapText="1"/>
    </xf>
    <xf numFmtId="0" fontId="6" fillId="0" borderId="0" xfId="0" applyFont="1" applyBorder="1" applyAlignment="1">
      <alignment horizontal="left" vertical="center" wrapText="1"/>
    </xf>
    <xf numFmtId="0" fontId="5" fillId="5" borderId="9" xfId="0" applyFont="1" applyFill="1" applyBorder="1" applyAlignment="1">
      <alignment horizontal="justify" vertical="center" wrapText="1"/>
    </xf>
    <xf numFmtId="3" fontId="5" fillId="5" borderId="3" xfId="0" applyNumberFormat="1" applyFont="1" applyFill="1" applyBorder="1" applyAlignment="1">
      <alignment horizontal="center" vertical="center"/>
    </xf>
    <xf numFmtId="170" fontId="5" fillId="0" borderId="3" xfId="2" applyNumberFormat="1" applyFont="1" applyFill="1" applyBorder="1" applyAlignment="1">
      <alignment vertical="center" wrapText="1"/>
    </xf>
    <xf numFmtId="0" fontId="5" fillId="7" borderId="3" xfId="0" applyFont="1" applyFill="1" applyBorder="1" applyAlignment="1">
      <alignment horizontal="right" vertical="center" wrapText="1"/>
    </xf>
    <xf numFmtId="3" fontId="5" fillId="2" borderId="3" xfId="0" applyNumberFormat="1" applyFont="1" applyFill="1" applyBorder="1" applyAlignment="1">
      <alignment horizontal="center" vertical="center"/>
    </xf>
    <xf numFmtId="170" fontId="5" fillId="2" borderId="3" xfId="2" applyNumberFormat="1" applyFont="1" applyFill="1" applyBorder="1" applyAlignment="1">
      <alignment horizontal="justify" vertical="center" wrapText="1"/>
    </xf>
    <xf numFmtId="172" fontId="5" fillId="0" borderId="3" xfId="1" applyNumberFormat="1" applyFont="1" applyBorder="1" applyAlignment="1">
      <alignment horizontal="center" vertical="center" wrapText="1"/>
    </xf>
    <xf numFmtId="0" fontId="5" fillId="0" borderId="7" xfId="0" applyFont="1" applyBorder="1" applyAlignment="1">
      <alignment horizontal="justify" vertical="center" wrapText="1"/>
    </xf>
    <xf numFmtId="9" fontId="5" fillId="0" borderId="3" xfId="3" applyFont="1" applyFill="1" applyBorder="1" applyAlignment="1">
      <alignment horizontal="center" vertical="center" wrapText="1"/>
    </xf>
    <xf numFmtId="171" fontId="6" fillId="2" borderId="3" xfId="0" applyNumberFormat="1" applyFont="1" applyFill="1" applyBorder="1" applyAlignment="1">
      <alignment horizontal="right" vertical="center"/>
    </xf>
    <xf numFmtId="171" fontId="6" fillId="0" borderId="3" xfId="0" applyNumberFormat="1" applyFont="1" applyFill="1" applyBorder="1" applyAlignment="1">
      <alignment horizontal="right" vertical="center"/>
    </xf>
    <xf numFmtId="9" fontId="5" fillId="7" borderId="3" xfId="3" applyFont="1" applyFill="1" applyBorder="1" applyAlignment="1">
      <alignment horizontal="center" vertical="center" wrapText="1"/>
    </xf>
    <xf numFmtId="3" fontId="5" fillId="7" borderId="3" xfId="0" applyNumberFormat="1" applyFont="1" applyFill="1" applyBorder="1" applyAlignment="1">
      <alignment horizontal="right" vertical="center" wrapText="1"/>
    </xf>
    <xf numFmtId="3" fontId="5" fillId="0" borderId="3" xfId="0" applyNumberFormat="1" applyFont="1" applyBorder="1" applyAlignment="1">
      <alignment horizontal="center" vertical="center" wrapText="1"/>
    </xf>
    <xf numFmtId="3" fontId="6" fillId="0" borderId="6" xfId="0" applyNumberFormat="1" applyFont="1" applyFill="1" applyBorder="1" applyAlignment="1">
      <alignment horizontal="center" vertical="center"/>
    </xf>
    <xf numFmtId="170" fontId="6" fillId="2" borderId="3" xfId="0" applyNumberFormat="1" applyFont="1" applyFill="1" applyBorder="1" applyAlignment="1">
      <alignment horizontal="left" vertical="center" wrapText="1"/>
    </xf>
    <xf numFmtId="0" fontId="3" fillId="0" borderId="14" xfId="0" applyFont="1" applyFill="1" applyBorder="1" applyAlignment="1">
      <alignment horizontal="right" vertical="center" wrapText="1"/>
    </xf>
    <xf numFmtId="0" fontId="3" fillId="0" borderId="10" xfId="0" applyFont="1" applyFill="1" applyBorder="1" applyAlignment="1">
      <alignment horizontal="right" vertical="center" wrapText="1"/>
    </xf>
    <xf numFmtId="0" fontId="5" fillId="0" borderId="3" xfId="0" applyFont="1" applyBorder="1" applyAlignment="1">
      <alignment horizontal="right" vertical="center" wrapText="1"/>
    </xf>
    <xf numFmtId="0" fontId="5" fillId="0" borderId="3" xfId="0" applyFont="1" applyFill="1" applyBorder="1" applyAlignment="1">
      <alignment horizontal="right" vertical="center" wrapText="1"/>
    </xf>
    <xf numFmtId="3" fontId="5" fillId="7" borderId="3" xfId="0" applyNumberFormat="1" applyFont="1" applyFill="1" applyBorder="1" applyAlignment="1">
      <alignment horizontal="right" vertical="center"/>
    </xf>
    <xf numFmtId="0" fontId="9" fillId="0" borderId="0" xfId="0" applyFont="1" applyFill="1" applyBorder="1" applyAlignment="1">
      <alignment horizontal="right" vertical="center"/>
    </xf>
    <xf numFmtId="0" fontId="5" fillId="5" borderId="2" xfId="0" applyFont="1" applyFill="1" applyBorder="1" applyAlignment="1">
      <alignment horizontal="right" vertical="center" wrapText="1"/>
    </xf>
    <xf numFmtId="0" fontId="5" fillId="5" borderId="3" xfId="0"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xf>
    <xf numFmtId="0" fontId="6" fillId="0" borderId="0" xfId="0" applyFont="1" applyBorder="1" applyAlignment="1">
      <alignment horizontal="right"/>
    </xf>
    <xf numFmtId="49" fontId="5" fillId="10" borderId="2" xfId="0" applyNumberFormat="1" applyFont="1" applyFill="1" applyBorder="1" applyAlignment="1">
      <alignment horizontal="center" vertical="center" wrapText="1"/>
    </xf>
    <xf numFmtId="49" fontId="5" fillId="2" borderId="3" xfId="0" applyNumberFormat="1" applyFont="1" applyFill="1" applyBorder="1" applyAlignment="1">
      <alignment horizontal="justify" vertical="center" wrapText="1"/>
    </xf>
    <xf numFmtId="49" fontId="5" fillId="0" borderId="3" xfId="0" applyNumberFormat="1" applyFont="1" applyFill="1" applyBorder="1" applyAlignment="1">
      <alignment horizontal="justify" vertical="center" wrapText="1"/>
    </xf>
    <xf numFmtId="49" fontId="5" fillId="5" borderId="2" xfId="0" applyNumberFormat="1" applyFont="1" applyFill="1" applyBorder="1" applyAlignment="1">
      <alignment horizontal="justify" vertical="center" wrapText="1"/>
    </xf>
    <xf numFmtId="49" fontId="5" fillId="5" borderId="3" xfId="0" applyNumberFormat="1" applyFont="1" applyFill="1" applyBorder="1" applyAlignment="1">
      <alignment horizontal="center" vertical="center" wrapText="1"/>
    </xf>
    <xf numFmtId="49" fontId="5" fillId="5" borderId="3" xfId="0" applyNumberFormat="1" applyFont="1" applyFill="1" applyBorder="1" applyAlignment="1">
      <alignment horizontal="justify" vertical="center" wrapText="1"/>
    </xf>
    <xf numFmtId="0" fontId="6" fillId="2" borderId="0" xfId="0" applyFont="1" applyFill="1" applyBorder="1"/>
    <xf numFmtId="49" fontId="5" fillId="4" borderId="3" xfId="0" applyNumberFormat="1" applyFont="1" applyFill="1" applyBorder="1" applyAlignment="1">
      <alignment horizontal="justify" vertical="center" wrapText="1"/>
    </xf>
    <xf numFmtId="49" fontId="5" fillId="4" borderId="3" xfId="0" applyNumberFormat="1" applyFont="1" applyFill="1" applyBorder="1" applyAlignment="1">
      <alignment horizontal="center" vertical="center" wrapText="1"/>
    </xf>
    <xf numFmtId="10" fontId="5" fillId="4" borderId="3" xfId="0" applyNumberFormat="1" applyFont="1" applyFill="1" applyBorder="1" applyAlignment="1">
      <alignment horizontal="center" vertical="center" wrapText="1"/>
    </xf>
    <xf numFmtId="3" fontId="5" fillId="4" borderId="3" xfId="0" applyNumberFormat="1" applyFont="1" applyFill="1" applyBorder="1" applyAlignment="1">
      <alignment horizontal="center" vertical="center" wrapText="1"/>
    </xf>
    <xf numFmtId="0" fontId="3" fillId="0" borderId="3" xfId="0" applyFont="1" applyFill="1" applyBorder="1" applyAlignment="1">
      <alignment vertical="center" wrapText="1"/>
    </xf>
    <xf numFmtId="49" fontId="5" fillId="0" borderId="11" xfId="0" applyNumberFormat="1" applyFont="1" applyFill="1" applyBorder="1" applyAlignment="1">
      <alignment horizontal="justify" vertical="center" wrapText="1"/>
    </xf>
    <xf numFmtId="49" fontId="5" fillId="0" borderId="11" xfId="0" applyNumberFormat="1" applyFont="1" applyFill="1" applyBorder="1" applyAlignment="1">
      <alignment horizontal="center" vertical="center" wrapText="1"/>
    </xf>
    <xf numFmtId="49" fontId="5" fillId="10" borderId="6" xfId="0" applyNumberFormat="1" applyFont="1" applyFill="1" applyBorder="1" applyAlignment="1">
      <alignment vertical="center" wrapText="1"/>
    </xf>
    <xf numFmtId="49" fontId="5" fillId="10" borderId="14" xfId="0" applyNumberFormat="1" applyFont="1" applyFill="1" applyBorder="1" applyAlignment="1">
      <alignment vertical="center" wrapText="1"/>
    </xf>
    <xf numFmtId="0" fontId="5" fillId="2" borderId="2" xfId="0" applyFont="1" applyFill="1" applyBorder="1" applyAlignment="1">
      <alignment horizontal="center" vertical="center" wrapText="1"/>
    </xf>
    <xf numFmtId="170" fontId="5" fillId="2" borderId="7" xfId="2" applyNumberFormat="1" applyFont="1" applyFill="1" applyBorder="1" applyAlignment="1">
      <alignment horizontal="justify"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2" xfId="0" applyFont="1" applyBorder="1" applyAlignment="1">
      <alignment horizontal="center" vertical="center" wrapText="1"/>
    </xf>
    <xf numFmtId="49" fontId="5" fillId="0" borderId="14" xfId="0" applyNumberFormat="1" applyFont="1" applyFill="1" applyBorder="1" applyAlignment="1">
      <alignment vertical="center" wrapText="1"/>
    </xf>
    <xf numFmtId="0" fontId="8" fillId="2" borderId="3" xfId="0" applyFont="1" applyFill="1" applyBorder="1" applyAlignment="1">
      <alignment horizontal="justify" vertical="center" wrapText="1"/>
    </xf>
    <xf numFmtId="10" fontId="8" fillId="2" borderId="3" xfId="0" applyNumberFormat="1" applyFont="1" applyFill="1" applyBorder="1" applyAlignment="1">
      <alignment horizontal="center" vertical="center" wrapText="1"/>
    </xf>
    <xf numFmtId="9" fontId="6" fillId="0" borderId="3" xfId="0" applyNumberFormat="1" applyFont="1" applyBorder="1" applyAlignment="1">
      <alignment horizontal="center" vertical="center"/>
    </xf>
    <xf numFmtId="0" fontId="8" fillId="0" borderId="3" xfId="0" applyFont="1" applyFill="1" applyBorder="1" applyAlignment="1">
      <alignment horizontal="center" vertical="center" wrapText="1"/>
    </xf>
    <xf numFmtId="49" fontId="5" fillId="10" borderId="10" xfId="0" applyNumberFormat="1" applyFont="1" applyFill="1" applyBorder="1" applyAlignment="1">
      <alignment vertical="center" wrapText="1"/>
    </xf>
    <xf numFmtId="0" fontId="5" fillId="10" borderId="3" xfId="0" applyFont="1" applyFill="1" applyBorder="1" applyAlignment="1">
      <alignment horizontal="justify" vertical="center" wrapText="1"/>
    </xf>
    <xf numFmtId="0" fontId="8" fillId="0" borderId="3" xfId="0" applyFont="1" applyFill="1" applyBorder="1" applyAlignment="1">
      <alignment horizontal="center" vertical="center"/>
    </xf>
    <xf numFmtId="9" fontId="8" fillId="0" borderId="3" xfId="0" applyNumberFormat="1" applyFont="1" applyFill="1" applyBorder="1" applyAlignment="1">
      <alignment horizontal="center" vertical="center"/>
    </xf>
    <xf numFmtId="9" fontId="8" fillId="0" borderId="3" xfId="0" applyNumberFormat="1" applyFont="1" applyFill="1" applyBorder="1" applyAlignment="1">
      <alignment horizontal="center" vertical="center" wrapText="1"/>
    </xf>
    <xf numFmtId="49" fontId="5" fillId="10" borderId="3" xfId="0" applyNumberFormat="1" applyFont="1" applyFill="1" applyBorder="1" applyAlignment="1">
      <alignment horizontal="center" vertical="center" wrapText="1"/>
    </xf>
    <xf numFmtId="0" fontId="5" fillId="7" borderId="3" xfId="0" applyFont="1" applyFill="1" applyBorder="1" applyAlignment="1">
      <alignment vertical="center" wrapText="1"/>
    </xf>
    <xf numFmtId="0" fontId="5" fillId="5" borderId="3" xfId="0" applyFont="1" applyFill="1" applyBorder="1" applyAlignment="1">
      <alignment vertical="center" wrapText="1"/>
    </xf>
    <xf numFmtId="0" fontId="5" fillId="4" borderId="3" xfId="0" applyFont="1" applyFill="1" applyBorder="1" applyAlignment="1">
      <alignment vertical="center" wrapText="1"/>
    </xf>
    <xf numFmtId="0" fontId="5" fillId="8" borderId="3" xfId="0" applyFont="1" applyFill="1" applyBorder="1" applyAlignment="1">
      <alignment horizontal="justify" vertical="center"/>
    </xf>
    <xf numFmtId="9" fontId="8" fillId="2" borderId="3" xfId="0" applyNumberFormat="1" applyFont="1" applyFill="1" applyBorder="1" applyAlignment="1">
      <alignment horizontal="center" vertical="center" wrapText="1"/>
    </xf>
    <xf numFmtId="0" fontId="5" fillId="0" borderId="3" xfId="0" applyNumberFormat="1" applyFont="1" applyBorder="1" applyAlignment="1">
      <alignment horizontal="center" vertical="center"/>
    </xf>
    <xf numFmtId="0" fontId="10" fillId="0" borderId="0" xfId="0" applyFont="1" applyBorder="1"/>
    <xf numFmtId="0" fontId="5" fillId="7" borderId="10" xfId="0" applyFont="1" applyFill="1" applyBorder="1" applyAlignment="1">
      <alignment horizontal="justify" vertical="center" wrapText="1"/>
    </xf>
    <xf numFmtId="0" fontId="5" fillId="7" borderId="10" xfId="0" applyFont="1" applyFill="1" applyBorder="1" applyAlignment="1">
      <alignment horizontal="center" vertical="center" wrapText="1"/>
    </xf>
    <xf numFmtId="0" fontId="6" fillId="0" borderId="6" xfId="0" applyFont="1" applyBorder="1" applyAlignment="1">
      <alignment horizontal="center"/>
    </xf>
    <xf numFmtId="0" fontId="6" fillId="0" borderId="6" xfId="0" applyFont="1" applyBorder="1"/>
    <xf numFmtId="172" fontId="5" fillId="0" borderId="3" xfId="1" applyNumberFormat="1" applyFont="1" applyBorder="1" applyAlignment="1">
      <alignment horizontal="center" vertical="center"/>
    </xf>
    <xf numFmtId="170" fontId="5" fillId="0" borderId="3" xfId="2" applyNumberFormat="1" applyFont="1" applyBorder="1" applyAlignment="1">
      <alignment vertical="center"/>
    </xf>
    <xf numFmtId="0" fontId="3" fillId="5" borderId="12" xfId="0" applyFont="1" applyFill="1" applyBorder="1" applyAlignment="1">
      <alignment horizontal="justify" vertical="center" wrapText="1"/>
    </xf>
    <xf numFmtId="3" fontId="5" fillId="2" borderId="3" xfId="2" applyNumberFormat="1" applyFont="1" applyFill="1" applyBorder="1" applyAlignment="1">
      <alignment horizontal="center" vertical="center"/>
    </xf>
    <xf numFmtId="3" fontId="5" fillId="0" borderId="3" xfId="2" applyNumberFormat="1" applyFont="1" applyFill="1" applyBorder="1" applyAlignment="1">
      <alignment horizontal="center" vertical="center"/>
    </xf>
    <xf numFmtId="37" fontId="5" fillId="0" borderId="3" xfId="1" applyNumberFormat="1" applyFont="1" applyFill="1" applyBorder="1" applyAlignment="1">
      <alignment horizontal="center" vertical="center"/>
    </xf>
    <xf numFmtId="0" fontId="15" fillId="2" borderId="3" xfId="0" applyFont="1" applyFill="1" applyBorder="1" applyAlignment="1">
      <alignment horizontal="justify" vertical="center" wrapText="1"/>
    </xf>
    <xf numFmtId="9" fontId="8" fillId="2" borderId="3" xfId="0" applyNumberFormat="1" applyFont="1" applyFill="1" applyBorder="1" applyAlignment="1">
      <alignment horizontal="center" vertical="center"/>
    </xf>
    <xf numFmtId="10" fontId="8" fillId="0" borderId="3" xfId="0" applyNumberFormat="1" applyFont="1" applyFill="1" applyBorder="1" applyAlignment="1">
      <alignment horizontal="center" vertical="center" wrapText="1"/>
    </xf>
    <xf numFmtId="0" fontId="5" fillId="7" borderId="3" xfId="2" applyNumberFormat="1" applyFont="1" applyFill="1" applyBorder="1" applyAlignment="1">
      <alignment horizontal="center" vertical="center" wrapText="1"/>
    </xf>
    <xf numFmtId="0" fontId="5" fillId="0" borderId="6" xfId="0" applyFont="1" applyFill="1" applyBorder="1" applyAlignment="1">
      <alignment vertical="center"/>
    </xf>
    <xf numFmtId="1" fontId="5" fillId="0" borderId="3" xfId="3" applyNumberFormat="1" applyFont="1" applyFill="1" applyBorder="1" applyAlignment="1">
      <alignment horizontal="center" vertical="center" wrapText="1"/>
    </xf>
    <xf numFmtId="0" fontId="8" fillId="0" borderId="6" xfId="0" applyFont="1" applyFill="1" applyBorder="1" applyAlignment="1">
      <alignment vertical="center" wrapText="1"/>
    </xf>
    <xf numFmtId="9" fontId="8" fillId="0" borderId="6" xfId="0" applyNumberFormat="1" applyFont="1" applyFill="1" applyBorder="1" applyAlignment="1">
      <alignment vertical="center" wrapText="1"/>
    </xf>
    <xf numFmtId="9" fontId="5" fillId="0" borderId="6" xfId="0" applyNumberFormat="1" applyFont="1" applyFill="1" applyBorder="1" applyAlignment="1">
      <alignment vertical="center" wrapText="1"/>
    </xf>
    <xf numFmtId="0" fontId="5" fillId="2" borderId="11" xfId="0" applyFont="1" applyFill="1" applyBorder="1" applyAlignment="1">
      <alignment horizontal="center" vertical="center" wrapText="1"/>
    </xf>
    <xf numFmtId="0" fontId="8" fillId="2" borderId="3" xfId="0" applyFont="1" applyFill="1" applyBorder="1" applyAlignment="1">
      <alignment vertical="center" wrapText="1"/>
    </xf>
    <xf numFmtId="1" fontId="5" fillId="0" borderId="3" xfId="0" applyNumberFormat="1" applyFont="1" applyFill="1" applyBorder="1" applyAlignment="1">
      <alignment horizontal="center" vertical="center" wrapText="1"/>
    </xf>
    <xf numFmtId="0" fontId="8" fillId="0" borderId="3" xfId="0" applyFont="1" applyFill="1" applyBorder="1" applyAlignment="1">
      <alignment vertical="center" wrapText="1"/>
    </xf>
    <xf numFmtId="0" fontId="6" fillId="0" borderId="3" xfId="0" applyFont="1" applyBorder="1"/>
    <xf numFmtId="9" fontId="5" fillId="2" borderId="3" xfId="0" applyNumberFormat="1" applyFont="1" applyFill="1" applyBorder="1" applyAlignment="1">
      <alignment horizontal="center" vertical="center" wrapText="1"/>
    </xf>
    <xf numFmtId="1" fontId="5" fillId="2" borderId="3" xfId="0" applyNumberFormat="1" applyFont="1" applyFill="1" applyBorder="1" applyAlignment="1">
      <alignment horizontal="center" vertical="center" wrapText="1"/>
    </xf>
    <xf numFmtId="1" fontId="5" fillId="7" borderId="3" xfId="0" applyNumberFormat="1" applyFont="1" applyFill="1" applyBorder="1" applyAlignment="1">
      <alignment horizontal="center" vertical="center" wrapText="1"/>
    </xf>
    <xf numFmtId="1" fontId="5" fillId="5" borderId="3" xfId="0" applyNumberFormat="1" applyFont="1" applyFill="1" applyBorder="1" applyAlignment="1">
      <alignment horizontal="center" vertical="center" wrapText="1"/>
    </xf>
    <xf numFmtId="0" fontId="3" fillId="5" borderId="12" xfId="0" applyNumberFormat="1" applyFont="1" applyFill="1" applyBorder="1" applyAlignment="1">
      <alignment horizontal="justify" vertical="center" wrapText="1"/>
    </xf>
    <xf numFmtId="0" fontId="3" fillId="7" borderId="3" xfId="0" applyFont="1" applyFill="1" applyBorder="1" applyAlignment="1">
      <alignment vertical="center"/>
    </xf>
    <xf numFmtId="3" fontId="5" fillId="2" borderId="3" xfId="0" applyNumberFormat="1" applyFont="1" applyFill="1" applyBorder="1" applyAlignment="1">
      <alignment horizontal="right" vertical="center" wrapText="1"/>
    </xf>
    <xf numFmtId="170" fontId="5" fillId="0" borderId="3" xfId="2" applyNumberFormat="1" applyFont="1" applyFill="1" applyBorder="1" applyAlignment="1">
      <alignment horizontal="right" vertical="center"/>
    </xf>
    <xf numFmtId="0" fontId="3" fillId="5" borderId="3" xfId="0" applyFont="1" applyFill="1" applyBorder="1" applyAlignment="1">
      <alignment vertical="center"/>
    </xf>
    <xf numFmtId="1" fontId="8" fillId="2" borderId="3" xfId="0" applyNumberFormat="1" applyFont="1" applyFill="1" applyBorder="1" applyAlignment="1">
      <alignment horizontal="center" vertical="center" wrapText="1"/>
    </xf>
    <xf numFmtId="9" fontId="5" fillId="2" borderId="3" xfId="3" applyFont="1" applyFill="1" applyBorder="1" applyAlignment="1">
      <alignment horizontal="center" vertical="center" wrapText="1"/>
    </xf>
    <xf numFmtId="0" fontId="5" fillId="13" borderId="3" xfId="0" applyFont="1" applyFill="1" applyBorder="1" applyAlignment="1">
      <alignment horizontal="center" vertical="center" wrapText="1"/>
    </xf>
    <xf numFmtId="170" fontId="3" fillId="13" borderId="3" xfId="2" applyNumberFormat="1" applyFont="1" applyFill="1" applyBorder="1" applyAlignment="1">
      <alignment horizontal="justify" vertical="center"/>
    </xf>
    <xf numFmtId="0" fontId="5" fillId="2" borderId="0" xfId="0" applyFont="1" applyFill="1" applyBorder="1" applyAlignment="1">
      <alignment horizontal="justify" vertical="center" wrapText="1"/>
    </xf>
    <xf numFmtId="0" fontId="5" fillId="2" borderId="0" xfId="0" applyFont="1" applyFill="1" applyBorder="1" applyAlignment="1">
      <alignment horizontal="center" vertical="center" wrapText="1"/>
    </xf>
    <xf numFmtId="0" fontId="7" fillId="2" borderId="0" xfId="0" applyFont="1" applyFill="1" applyBorder="1" applyAlignment="1">
      <alignment horizontal="right" vertical="center" wrapText="1"/>
    </xf>
    <xf numFmtId="170" fontId="3" fillId="2" borderId="0" xfId="2" applyNumberFormat="1" applyFont="1" applyFill="1" applyBorder="1" applyAlignment="1">
      <alignment horizontal="justify" vertical="center"/>
    </xf>
    <xf numFmtId="0" fontId="16" fillId="3" borderId="7" xfId="0" applyFont="1" applyFill="1" applyBorder="1" applyAlignment="1">
      <alignment horizontal="left" vertical="center"/>
    </xf>
    <xf numFmtId="0" fontId="16" fillId="3" borderId="11" xfId="0" applyFont="1" applyFill="1" applyBorder="1" applyAlignment="1">
      <alignment horizontal="left" vertical="center"/>
    </xf>
    <xf numFmtId="0" fontId="16" fillId="3" borderId="11" xfId="0" applyFont="1" applyFill="1" applyBorder="1" applyAlignment="1">
      <alignment horizontal="center" vertical="center"/>
    </xf>
    <xf numFmtId="172" fontId="16" fillId="3" borderId="11" xfId="1" applyNumberFormat="1" applyFont="1" applyFill="1" applyBorder="1" applyAlignment="1">
      <alignment horizontal="center" vertical="center"/>
    </xf>
    <xf numFmtId="0" fontId="16" fillId="3" borderId="11" xfId="0" applyFont="1" applyFill="1" applyBorder="1" applyAlignment="1">
      <alignment vertical="center"/>
    </xf>
    <xf numFmtId="0" fontId="3" fillId="4" borderId="3" xfId="0" applyFont="1" applyFill="1" applyBorder="1" applyAlignment="1">
      <alignment vertical="center"/>
    </xf>
    <xf numFmtId="172" fontId="8" fillId="0" borderId="3" xfId="1" applyNumberFormat="1" applyFont="1" applyFill="1" applyBorder="1" applyAlignment="1">
      <alignment horizontal="center" vertical="center"/>
    </xf>
    <xf numFmtId="170" fontId="6" fillId="0" borderId="3" xfId="2" applyNumberFormat="1" applyFont="1" applyFill="1" applyBorder="1" applyAlignment="1">
      <alignment horizontal="justify" vertical="center"/>
    </xf>
    <xf numFmtId="0" fontId="6" fillId="0" borderId="3" xfId="0" applyFont="1" applyFill="1" applyBorder="1" applyAlignment="1">
      <alignment horizontal="justify" vertical="center"/>
    </xf>
    <xf numFmtId="0" fontId="5" fillId="0" borderId="5" xfId="0" applyFont="1" applyBorder="1" applyAlignment="1">
      <alignment horizontal="center" vertical="center" wrapText="1"/>
    </xf>
    <xf numFmtId="0" fontId="7" fillId="5" borderId="3" xfId="0" applyFont="1" applyFill="1" applyBorder="1" applyAlignment="1">
      <alignment horizontal="right" vertical="center"/>
    </xf>
    <xf numFmtId="0" fontId="5" fillId="5" borderId="3" xfId="0" applyFont="1" applyFill="1" applyBorder="1" applyAlignment="1">
      <alignment horizontal="justify" vertical="center"/>
    </xf>
    <xf numFmtId="0" fontId="3" fillId="5" borderId="11" xfId="0" applyNumberFormat="1" applyFont="1" applyFill="1" applyBorder="1" applyAlignment="1">
      <alignment horizontal="justify" vertical="center" wrapText="1"/>
    </xf>
    <xf numFmtId="3" fontId="5" fillId="0" borderId="3" xfId="2" applyNumberFormat="1" applyFont="1" applyFill="1" applyBorder="1" applyAlignment="1">
      <alignment horizontal="right" vertical="center"/>
    </xf>
    <xf numFmtId="0" fontId="5" fillId="7" borderId="6" xfId="0" applyFont="1" applyFill="1" applyBorder="1" applyAlignment="1">
      <alignment horizontal="center" vertical="center"/>
    </xf>
    <xf numFmtId="0" fontId="7" fillId="7" borderId="6" xfId="0" applyFont="1" applyFill="1" applyBorder="1" applyAlignment="1">
      <alignment horizontal="right" vertical="center"/>
    </xf>
    <xf numFmtId="0" fontId="5" fillId="7" borderId="6" xfId="0" applyFont="1" applyFill="1" applyBorder="1" applyAlignment="1">
      <alignment horizontal="justify" vertical="center"/>
    </xf>
    <xf numFmtId="170" fontId="5" fillId="2" borderId="6" xfId="2" applyNumberFormat="1" applyFont="1" applyFill="1" applyBorder="1" applyAlignment="1">
      <alignment horizontal="justify" vertical="center"/>
    </xf>
    <xf numFmtId="3" fontId="5" fillId="0" borderId="6" xfId="0" applyNumberFormat="1" applyFont="1" applyFill="1" applyBorder="1" applyAlignment="1">
      <alignment horizontal="right" vertical="center"/>
    </xf>
    <xf numFmtId="0" fontId="5" fillId="5" borderId="6" xfId="0" applyFont="1" applyFill="1" applyBorder="1" applyAlignment="1">
      <alignment horizontal="center" vertical="center"/>
    </xf>
    <xf numFmtId="0" fontId="7" fillId="5" borderId="6" xfId="0" applyFont="1" applyFill="1" applyBorder="1" applyAlignment="1">
      <alignment horizontal="right" vertical="center"/>
    </xf>
    <xf numFmtId="0" fontId="5" fillId="5" borderId="6" xfId="0" applyFont="1" applyFill="1" applyBorder="1" applyAlignment="1">
      <alignment horizontal="justify" vertical="center"/>
    </xf>
    <xf numFmtId="1" fontId="3" fillId="5" borderId="11" xfId="0" applyNumberFormat="1" applyFont="1" applyFill="1" applyBorder="1" applyAlignment="1">
      <alignment horizontal="justify" vertical="center" wrapText="1"/>
    </xf>
    <xf numFmtId="0" fontId="6" fillId="2" borderId="3" xfId="0" applyFont="1" applyFill="1" applyBorder="1" applyAlignment="1">
      <alignment horizontal="justify" vertical="center" wrapText="1"/>
    </xf>
    <xf numFmtId="0" fontId="7" fillId="4" borderId="3" xfId="0" applyFont="1" applyFill="1" applyBorder="1" applyAlignment="1">
      <alignment horizontal="right" vertical="center"/>
    </xf>
    <xf numFmtId="0" fontId="5" fillId="4" borderId="3" xfId="0" applyFont="1" applyFill="1" applyBorder="1" applyAlignment="1">
      <alignment horizontal="justify" vertical="center"/>
    </xf>
    <xf numFmtId="0" fontId="7" fillId="8" borderId="3" xfId="0" applyFont="1" applyFill="1" applyBorder="1" applyAlignment="1">
      <alignment horizontal="right" vertical="center"/>
    </xf>
    <xf numFmtId="0" fontId="5" fillId="2" borderId="0" xfId="0" applyFont="1" applyFill="1" applyBorder="1" applyAlignment="1">
      <alignment vertical="center" wrapText="1"/>
    </xf>
    <xf numFmtId="172" fontId="5" fillId="2" borderId="0" xfId="1" applyNumberFormat="1" applyFont="1" applyFill="1" applyBorder="1" applyAlignment="1">
      <alignment horizontal="center" vertical="center" wrapText="1"/>
    </xf>
    <xf numFmtId="0" fontId="9" fillId="3" borderId="3" xfId="0" applyFont="1" applyFill="1" applyBorder="1" applyAlignment="1">
      <alignment horizontal="left" vertical="center"/>
    </xf>
    <xf numFmtId="0" fontId="9" fillId="3" borderId="3" xfId="0" applyFont="1" applyFill="1" applyBorder="1" applyAlignment="1">
      <alignment horizontal="center" vertical="center"/>
    </xf>
    <xf numFmtId="170" fontId="9" fillId="3" borderId="3" xfId="0" applyNumberFormat="1" applyFont="1" applyFill="1" applyBorder="1" applyAlignment="1">
      <alignment horizontal="left" vertical="center"/>
    </xf>
    <xf numFmtId="0" fontId="3" fillId="4" borderId="11" xfId="0" applyFont="1" applyFill="1" applyBorder="1" applyAlignment="1">
      <alignment vertical="center" wrapText="1"/>
    </xf>
    <xf numFmtId="0" fontId="3" fillId="4" borderId="11" xfId="0" applyFont="1" applyFill="1" applyBorder="1" applyAlignment="1">
      <alignment horizontal="center" vertical="center" wrapText="1"/>
    </xf>
    <xf numFmtId="172" fontId="3" fillId="4" borderId="11" xfId="1" applyNumberFormat="1" applyFont="1" applyFill="1" applyBorder="1" applyAlignment="1">
      <alignment horizontal="center" vertical="center" wrapText="1"/>
    </xf>
    <xf numFmtId="0" fontId="3" fillId="0" borderId="3" xfId="0" applyFont="1" applyFill="1" applyBorder="1" applyAlignment="1">
      <alignment vertical="center"/>
    </xf>
    <xf numFmtId="0" fontId="3" fillId="5" borderId="11" xfId="0" applyFont="1" applyFill="1" applyBorder="1" applyAlignment="1">
      <alignment vertical="center" wrapText="1"/>
    </xf>
    <xf numFmtId="0" fontId="3" fillId="5" borderId="11" xfId="0" applyFont="1" applyFill="1" applyBorder="1" applyAlignment="1">
      <alignment horizontal="center" vertical="center" wrapText="1"/>
    </xf>
    <xf numFmtId="172" fontId="3" fillId="5" borderId="11" xfId="1" applyNumberFormat="1" applyFont="1" applyFill="1" applyBorder="1" applyAlignment="1">
      <alignment horizontal="center" vertical="center" wrapText="1"/>
    </xf>
    <xf numFmtId="0" fontId="3" fillId="5" borderId="3" xfId="0" applyFont="1" applyFill="1" applyBorder="1" applyAlignment="1">
      <alignment vertical="center" wrapText="1"/>
    </xf>
    <xf numFmtId="43" fontId="6" fillId="2" borderId="7" xfId="2" applyFont="1" applyFill="1" applyBorder="1"/>
    <xf numFmtId="172" fontId="18" fillId="0" borderId="18" xfId="1" applyNumberFormat="1" applyFont="1" applyFill="1" applyBorder="1" applyAlignment="1">
      <alignment horizontal="center" vertical="center" wrapText="1"/>
    </xf>
    <xf numFmtId="173" fontId="18" fillId="0" borderId="6" xfId="0" applyNumberFormat="1" applyFont="1" applyFill="1" applyBorder="1" applyAlignment="1">
      <alignment horizontal="center" vertical="center" wrapText="1"/>
    </xf>
    <xf numFmtId="0" fontId="5" fillId="8" borderId="2" xfId="0" applyFont="1" applyFill="1" applyBorder="1" applyAlignment="1">
      <alignment horizontal="justify" vertical="center" wrapText="1"/>
    </xf>
    <xf numFmtId="0" fontId="5" fillId="2" borderId="0" xfId="0" applyNumberFormat="1" applyFont="1" applyFill="1" applyBorder="1" applyAlignment="1">
      <alignment horizontal="center" vertical="center" wrapText="1"/>
    </xf>
    <xf numFmtId="172" fontId="5" fillId="2" borderId="0" xfId="1" applyNumberFormat="1" applyFont="1" applyFill="1" applyBorder="1" applyAlignment="1">
      <alignment horizontal="center" vertical="center"/>
    </xf>
    <xf numFmtId="0" fontId="5"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5" fillId="14" borderId="3" xfId="0" applyFont="1" applyFill="1" applyBorder="1" applyAlignment="1">
      <alignment horizontal="justify" vertical="center" wrapText="1"/>
    </xf>
    <xf numFmtId="0" fontId="5" fillId="14" borderId="3" xfId="0" applyFont="1" applyFill="1" applyBorder="1" applyAlignment="1">
      <alignment horizontal="center" vertical="center" wrapText="1"/>
    </xf>
    <xf numFmtId="0" fontId="5" fillId="14" borderId="2" xfId="0" applyFont="1" applyFill="1" applyBorder="1" applyAlignment="1">
      <alignment horizontal="justify" vertical="center" wrapText="1"/>
    </xf>
    <xf numFmtId="0" fontId="5" fillId="14" borderId="3" xfId="0" applyNumberFormat="1" applyFont="1" applyFill="1" applyBorder="1" applyAlignment="1">
      <alignment horizontal="center" vertical="center"/>
    </xf>
    <xf numFmtId="0" fontId="7" fillId="14" borderId="3" xfId="0" applyFont="1" applyFill="1" applyBorder="1" applyAlignment="1">
      <alignment horizontal="right" vertical="center" wrapText="1"/>
    </xf>
    <xf numFmtId="170" fontId="5" fillId="14" borderId="3" xfId="2" applyNumberFormat="1" applyFont="1" applyFill="1" applyBorder="1" applyAlignment="1">
      <alignment horizontal="justify" vertical="center"/>
    </xf>
    <xf numFmtId="172" fontId="5" fillId="14" borderId="3" xfId="1" applyNumberFormat="1" applyFont="1" applyFill="1" applyBorder="1" applyAlignment="1">
      <alignment horizontal="center" vertical="center"/>
    </xf>
    <xf numFmtId="0" fontId="6" fillId="0" borderId="0" xfId="0" applyFont="1" applyBorder="1" applyAlignment="1">
      <alignment horizontal="justify" wrapText="1"/>
    </xf>
    <xf numFmtId="0" fontId="6" fillId="0" borderId="0" xfId="0" applyFont="1" applyBorder="1" applyAlignment="1">
      <alignment horizontal="center" wrapText="1"/>
    </xf>
    <xf numFmtId="0" fontId="6" fillId="0" borderId="0" xfId="0" applyFont="1" applyBorder="1" applyAlignment="1">
      <alignment wrapText="1"/>
    </xf>
    <xf numFmtId="0" fontId="6" fillId="0" borderId="0" xfId="0" applyFont="1" applyBorder="1" applyAlignment="1">
      <alignment horizontal="justify" vertical="center" wrapText="1"/>
    </xf>
    <xf numFmtId="0" fontId="6" fillId="0" borderId="0" xfId="0" applyFont="1" applyBorder="1" applyAlignment="1">
      <alignment horizontal="center" vertical="center" wrapText="1"/>
    </xf>
    <xf numFmtId="0" fontId="6" fillId="0" borderId="0" xfId="0" applyFont="1" applyBorder="1" applyAlignment="1">
      <alignment horizontal="justify"/>
    </xf>
    <xf numFmtId="0" fontId="6" fillId="0" borderId="0" xfId="0" applyNumberFormat="1" applyFont="1" applyBorder="1" applyAlignment="1">
      <alignment horizontal="center" vertical="center"/>
    </xf>
    <xf numFmtId="0" fontId="6" fillId="0" borderId="0" xfId="0" applyFont="1" applyFill="1" applyBorder="1" applyAlignment="1">
      <alignment horizontal="justify" vertical="center" wrapText="1"/>
    </xf>
    <xf numFmtId="0" fontId="6" fillId="0" borderId="0" xfId="0" applyFont="1" applyFill="1" applyBorder="1" applyAlignment="1">
      <alignment horizontal="center" vertical="center" wrapText="1"/>
    </xf>
    <xf numFmtId="170" fontId="6" fillId="0" borderId="0" xfId="2" applyNumberFormat="1" applyFont="1" applyBorder="1"/>
    <xf numFmtId="170" fontId="6" fillId="2" borderId="0" xfId="2" applyNumberFormat="1" applyFont="1" applyFill="1" applyBorder="1"/>
    <xf numFmtId="172" fontId="6" fillId="0" borderId="0" xfId="1" applyNumberFormat="1" applyFont="1" applyBorder="1" applyAlignment="1">
      <alignment horizontal="center"/>
    </xf>
    <xf numFmtId="170" fontId="6" fillId="0" borderId="0" xfId="2" applyNumberFormat="1" applyFont="1" applyBorder="1" applyAlignment="1"/>
    <xf numFmtId="0" fontId="7" fillId="0" borderId="0" xfId="0" applyFont="1" applyAlignment="1">
      <alignment horizontal="right"/>
    </xf>
    <xf numFmtId="0" fontId="6" fillId="2" borderId="0" xfId="0" applyFont="1" applyFill="1"/>
    <xf numFmtId="172" fontId="6" fillId="0" borderId="0" xfId="1" applyNumberFormat="1" applyFont="1" applyAlignment="1">
      <alignment horizontal="center"/>
    </xf>
    <xf numFmtId="170" fontId="6" fillId="0" borderId="0" xfId="0" applyNumberFormat="1" applyFont="1"/>
    <xf numFmtId="170" fontId="20" fillId="15" borderId="0" xfId="2" applyNumberFormat="1" applyFont="1" applyFill="1" applyBorder="1"/>
    <xf numFmtId="170" fontId="5" fillId="0" borderId="6" xfId="1" applyNumberFormat="1" applyFont="1" applyFill="1" applyBorder="1" applyAlignment="1">
      <alignment horizontal="center" vertical="center"/>
    </xf>
    <xf numFmtId="3" fontId="5" fillId="7" borderId="10" xfId="0" applyNumberFormat="1" applyFont="1" applyFill="1" applyBorder="1" applyAlignment="1">
      <alignment horizontal="center" vertical="center" wrapText="1"/>
    </xf>
    <xf numFmtId="3" fontId="5" fillId="7" borderId="10" xfId="0" applyNumberFormat="1" applyFont="1" applyFill="1" applyBorder="1" applyAlignment="1">
      <alignment horizontal="center" vertical="center"/>
    </xf>
    <xf numFmtId="0" fontId="7" fillId="7" borderId="10" xfId="0" applyFont="1" applyFill="1" applyBorder="1" applyAlignment="1">
      <alignment horizontal="right" vertical="center" wrapText="1"/>
    </xf>
    <xf numFmtId="170" fontId="5" fillId="7" borderId="10" xfId="2" applyNumberFormat="1" applyFont="1" applyFill="1" applyBorder="1" applyAlignment="1">
      <alignment horizontal="justify" vertical="center"/>
    </xf>
    <xf numFmtId="0" fontId="3" fillId="0" borderId="6" xfId="0" applyFont="1" applyFill="1" applyBorder="1" applyAlignment="1">
      <alignment vertical="center"/>
    </xf>
    <xf numFmtId="0" fontId="3" fillId="0" borderId="14" xfId="0" applyFont="1" applyFill="1" applyBorder="1" applyAlignment="1">
      <alignment vertical="center"/>
    </xf>
    <xf numFmtId="0" fontId="3" fillId="0" borderId="10" xfId="0" applyFont="1" applyFill="1" applyBorder="1" applyAlignment="1">
      <alignment vertical="center"/>
    </xf>
    <xf numFmtId="0" fontId="3" fillId="7" borderId="4" xfId="0" applyFont="1" applyFill="1" applyBorder="1" applyAlignment="1">
      <alignment vertical="center"/>
    </xf>
    <xf numFmtId="0" fontId="3" fillId="6" borderId="3" xfId="0" applyFont="1" applyFill="1" applyBorder="1" applyAlignment="1">
      <alignment vertical="center" wrapText="1"/>
    </xf>
    <xf numFmtId="10" fontId="5" fillId="6" borderId="3" xfId="0" applyNumberFormat="1" applyFont="1" applyFill="1" applyBorder="1" applyAlignment="1">
      <alignment horizontal="center" vertical="center" wrapText="1"/>
    </xf>
    <xf numFmtId="9" fontId="5" fillId="6" borderId="3" xfId="0" applyNumberFormat="1" applyFont="1" applyFill="1" applyBorder="1" applyAlignment="1">
      <alignment horizontal="center" vertical="center" wrapText="1"/>
    </xf>
    <xf numFmtId="0" fontId="5" fillId="6" borderId="7" xfId="1" applyNumberFormat="1" applyFont="1" applyFill="1" applyBorder="1" applyAlignment="1">
      <alignment horizontal="center" vertical="center" wrapText="1"/>
    </xf>
    <xf numFmtId="0" fontId="5" fillId="6" borderId="11" xfId="0" applyFont="1" applyFill="1" applyBorder="1" applyAlignment="1">
      <alignment horizontal="justify" vertical="center" wrapText="1"/>
    </xf>
    <xf numFmtId="0" fontId="5" fillId="6" borderId="11" xfId="0" applyNumberFormat="1" applyFont="1" applyFill="1" applyBorder="1" applyAlignment="1">
      <alignment horizontal="center" vertical="center" wrapText="1"/>
    </xf>
    <xf numFmtId="170" fontId="5" fillId="6" borderId="11" xfId="0" applyNumberFormat="1" applyFont="1" applyFill="1" applyBorder="1" applyAlignment="1">
      <alignment horizontal="justify" vertical="center" wrapText="1"/>
    </xf>
    <xf numFmtId="0" fontId="5" fillId="6" borderId="11" xfId="0" applyFont="1" applyFill="1" applyBorder="1" applyAlignment="1">
      <alignment horizontal="center" vertical="center" wrapText="1"/>
    </xf>
    <xf numFmtId="0" fontId="3" fillId="0" borderId="214" xfId="0" applyFont="1" applyFill="1" applyBorder="1" applyAlignment="1">
      <alignment vertical="center" wrapText="1"/>
    </xf>
    <xf numFmtId="10" fontId="5" fillId="0" borderId="214" xfId="0" applyNumberFormat="1" applyFont="1" applyFill="1" applyBorder="1" applyAlignment="1">
      <alignment horizontal="center" vertical="center" wrapText="1"/>
    </xf>
    <xf numFmtId="9" fontId="5" fillId="0" borderId="214" xfId="0" applyNumberFormat="1" applyFont="1" applyFill="1" applyBorder="1" applyAlignment="1">
      <alignment horizontal="center" vertical="center" wrapText="1"/>
    </xf>
    <xf numFmtId="0" fontId="5" fillId="0" borderId="214" xfId="1" applyNumberFormat="1" applyFont="1" applyFill="1" applyBorder="1" applyAlignment="1">
      <alignment horizontal="center" vertical="center" wrapText="1"/>
    </xf>
    <xf numFmtId="0" fontId="5" fillId="0" borderId="214" xfId="0" applyNumberFormat="1" applyFont="1" applyFill="1" applyBorder="1" applyAlignment="1">
      <alignment horizontal="center" vertical="center" wrapText="1"/>
    </xf>
    <xf numFmtId="170" fontId="5" fillId="0" borderId="214" xfId="0" applyNumberFormat="1" applyFont="1" applyFill="1" applyBorder="1" applyAlignment="1">
      <alignment horizontal="justify" vertical="center" wrapText="1"/>
    </xf>
    <xf numFmtId="170" fontId="5" fillId="0" borderId="214" xfId="2" applyNumberFormat="1" applyFont="1" applyFill="1" applyBorder="1" applyAlignment="1">
      <alignment horizontal="justify" vertical="center"/>
    </xf>
    <xf numFmtId="170" fontId="5" fillId="0" borderId="215" xfId="2" applyNumberFormat="1" applyFont="1" applyFill="1" applyBorder="1" applyAlignment="1">
      <alignment horizontal="justify" vertical="center"/>
    </xf>
    <xf numFmtId="170" fontId="5" fillId="0" borderId="215" xfId="1" applyNumberFormat="1" applyFont="1" applyFill="1" applyBorder="1" applyAlignment="1">
      <alignment horizontal="center" vertical="center"/>
    </xf>
    <xf numFmtId="172" fontId="5" fillId="0" borderId="214" xfId="1" applyNumberFormat="1" applyFont="1" applyFill="1" applyBorder="1" applyAlignment="1">
      <alignment horizontal="center" vertical="center"/>
    </xf>
    <xf numFmtId="170" fontId="5" fillId="0" borderId="214" xfId="2" applyNumberFormat="1" applyFont="1" applyFill="1" applyBorder="1" applyAlignment="1">
      <alignment vertical="center"/>
    </xf>
    <xf numFmtId="0" fontId="5" fillId="0" borderId="8" xfId="1"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0" xfId="0" applyFont="1" applyFill="1" applyBorder="1" applyAlignment="1">
      <alignment horizontal="right" vertical="center"/>
    </xf>
    <xf numFmtId="170" fontId="5" fillId="0" borderId="1" xfId="0" applyNumberFormat="1" applyFont="1" applyFill="1" applyBorder="1" applyAlignment="1">
      <alignment horizontal="justify" vertical="center" wrapText="1"/>
    </xf>
    <xf numFmtId="170" fontId="5" fillId="0" borderId="1" xfId="1" applyNumberFormat="1" applyFont="1" applyFill="1" applyBorder="1" applyAlignment="1">
      <alignment horizontal="center" vertical="center"/>
    </xf>
    <xf numFmtId="0" fontId="5" fillId="6" borderId="2" xfId="0" applyFont="1" applyFill="1" applyBorder="1" applyAlignment="1">
      <alignment vertical="center" wrapText="1"/>
    </xf>
    <xf numFmtId="0" fontId="7" fillId="6" borderId="11" xfId="0" applyFont="1" applyFill="1" applyBorder="1" applyAlignment="1">
      <alignment horizontal="right" vertical="center"/>
    </xf>
    <xf numFmtId="3" fontId="5" fillId="0" borderId="3" xfId="0" applyNumberFormat="1" applyFont="1" applyFill="1" applyBorder="1" applyAlignment="1">
      <alignment vertical="center"/>
    </xf>
    <xf numFmtId="1" fontId="7" fillId="0" borderId="3" xfId="0" applyNumberFormat="1" applyFont="1" applyFill="1" applyBorder="1" applyAlignment="1">
      <alignment horizontal="right" vertical="center" wrapText="1"/>
    </xf>
    <xf numFmtId="1" fontId="6" fillId="0" borderId="3" xfId="0" applyNumberFormat="1"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18" xfId="0" applyFont="1" applyFill="1" applyBorder="1" applyAlignment="1">
      <alignment horizontal="center" vertical="center" wrapText="1"/>
    </xf>
    <xf numFmtId="43" fontId="12" fillId="3" borderId="3" xfId="0" applyNumberFormat="1" applyFont="1" applyFill="1" applyBorder="1" applyAlignment="1">
      <alignment horizontal="left" vertical="center"/>
    </xf>
    <xf numFmtId="164" fontId="6" fillId="0" borderId="3" xfId="1361" applyFont="1" applyFill="1" applyBorder="1"/>
    <xf numFmtId="43" fontId="3" fillId="7" borderId="3" xfId="0" applyNumberFormat="1" applyFont="1" applyFill="1" applyBorder="1" applyAlignment="1">
      <alignment vertical="center"/>
    </xf>
    <xf numFmtId="43" fontId="3" fillId="5" borderId="3" xfId="0" applyNumberFormat="1" applyFont="1" applyFill="1" applyBorder="1" applyAlignment="1">
      <alignment vertical="center"/>
    </xf>
    <xf numFmtId="0" fontId="7" fillId="3" borderId="11" xfId="0" applyFont="1" applyFill="1" applyBorder="1" applyAlignment="1">
      <alignment horizontal="right" vertical="center"/>
    </xf>
    <xf numFmtId="0" fontId="7" fillId="4" borderId="11" xfId="0" applyFont="1" applyFill="1" applyBorder="1" applyAlignment="1">
      <alignment horizontal="right" vertical="center"/>
    </xf>
    <xf numFmtId="0" fontId="7" fillId="5" borderId="11" xfId="0" applyFont="1" applyFill="1" applyBorder="1" applyAlignment="1">
      <alignment horizontal="right" vertical="center"/>
    </xf>
    <xf numFmtId="0" fontId="7" fillId="7" borderId="11" xfId="0" applyFont="1" applyFill="1" applyBorder="1" applyAlignment="1">
      <alignment horizontal="right" vertical="center"/>
    </xf>
    <xf numFmtId="0" fontId="7" fillId="9" borderId="11" xfId="0" applyFont="1" applyFill="1" applyBorder="1" applyAlignment="1">
      <alignment horizontal="right" vertical="center"/>
    </xf>
    <xf numFmtId="0" fontId="7" fillId="11" borderId="11" xfId="0" applyFont="1" applyFill="1" applyBorder="1" applyAlignment="1">
      <alignment horizontal="right" vertical="center"/>
    </xf>
    <xf numFmtId="0" fontId="7" fillId="3" borderId="12" xfId="0" applyFont="1" applyFill="1" applyBorder="1" applyAlignment="1">
      <alignment horizontal="right" vertical="center"/>
    </xf>
    <xf numFmtId="0" fontId="5" fillId="7" borderId="12" xfId="0" applyFont="1" applyFill="1" applyBorder="1" applyAlignment="1">
      <alignment vertical="center"/>
    </xf>
    <xf numFmtId="0" fontId="5" fillId="11" borderId="11" xfId="0" applyFont="1" applyFill="1" applyBorder="1" applyAlignment="1">
      <alignment vertical="center"/>
    </xf>
    <xf numFmtId="0" fontId="5" fillId="7" borderId="11" xfId="0" applyFont="1" applyFill="1" applyBorder="1" applyAlignment="1">
      <alignment vertical="center"/>
    </xf>
    <xf numFmtId="0" fontId="7" fillId="5" borderId="12" xfId="0" applyFont="1" applyFill="1" applyBorder="1" applyAlignment="1">
      <alignment horizontal="right" vertical="center"/>
    </xf>
    <xf numFmtId="0" fontId="5" fillId="6" borderId="11" xfId="0" applyFont="1" applyFill="1" applyBorder="1" applyAlignment="1">
      <alignment vertical="center"/>
    </xf>
    <xf numFmtId="0" fontId="7" fillId="3" borderId="11" xfId="0" applyFont="1" applyFill="1" applyBorder="1" applyAlignment="1">
      <alignment horizontal="right" vertical="center" wrapText="1"/>
    </xf>
    <xf numFmtId="0" fontId="7" fillId="4" borderId="11" xfId="0" applyFont="1" applyFill="1" applyBorder="1" applyAlignment="1">
      <alignment horizontal="right" vertical="center" wrapText="1"/>
    </xf>
    <xf numFmtId="170" fontId="6" fillId="15" borderId="0" xfId="2" applyNumberFormat="1" applyFont="1" applyFill="1" applyBorder="1"/>
    <xf numFmtId="170" fontId="5" fillId="0" borderId="3" xfId="1361" applyNumberFormat="1" applyFont="1" applyFill="1" applyBorder="1" applyAlignment="1" applyProtection="1">
      <alignment horizontal="right" vertical="center"/>
      <protection locked="0"/>
    </xf>
    <xf numFmtId="3" fontId="47" fillId="0" borderId="3" xfId="0" applyNumberFormat="1" applyFont="1" applyFill="1" applyBorder="1" applyAlignment="1">
      <alignment vertical="center"/>
    </xf>
    <xf numFmtId="172" fontId="5" fillId="0" borderId="3" xfId="142" applyNumberFormat="1" applyFont="1" applyFill="1" applyBorder="1" applyAlignment="1">
      <alignment horizontal="center" vertical="center"/>
    </xf>
    <xf numFmtId="0" fontId="3" fillId="7" borderId="11" xfId="0" applyFont="1" applyFill="1" applyBorder="1" applyAlignment="1">
      <alignment horizontal="center" vertical="center"/>
    </xf>
    <xf numFmtId="0" fontId="3" fillId="7" borderId="7" xfId="0" applyFont="1" applyFill="1" applyBorder="1" applyAlignment="1">
      <alignment horizontal="left" vertical="center"/>
    </xf>
    <xf numFmtId="0" fontId="5" fillId="0" borderId="214" xfId="0" applyFont="1" applyFill="1" applyBorder="1" applyAlignment="1">
      <alignment horizontal="center" vertical="center" wrapText="1"/>
    </xf>
    <xf numFmtId="0" fontId="5" fillId="0" borderId="214" xfId="0" applyFont="1" applyFill="1" applyBorder="1" applyAlignment="1">
      <alignment horizontal="justify" vertical="center" wrapText="1"/>
    </xf>
    <xf numFmtId="43" fontId="6" fillId="0" borderId="3" xfId="0" applyNumberFormat="1" applyFont="1" applyFill="1" applyBorder="1" applyAlignment="1">
      <alignment horizontal="center" vertical="center"/>
    </xf>
    <xf numFmtId="182" fontId="6" fillId="0" borderId="7" xfId="0" applyNumberFormat="1" applyFont="1" applyFill="1" applyBorder="1" applyAlignment="1">
      <alignment horizontal="center" vertical="center" wrapText="1"/>
    </xf>
    <xf numFmtId="3" fontId="8" fillId="0" borderId="3" xfId="0" applyNumberFormat="1" applyFont="1" applyFill="1" applyBorder="1" applyAlignment="1">
      <alignment horizontal="center" vertical="center"/>
    </xf>
    <xf numFmtId="3" fontId="8" fillId="0" borderId="3" xfId="0" applyNumberFormat="1" applyFont="1" applyFill="1" applyBorder="1" applyAlignment="1">
      <alignment vertical="center"/>
    </xf>
    <xf numFmtId="3" fontId="6" fillId="0" borderId="0" xfId="1" applyNumberFormat="1" applyFont="1" applyFill="1" applyBorder="1" applyAlignment="1">
      <alignment horizontal="right" vertical="center"/>
    </xf>
    <xf numFmtId="172" fontId="6" fillId="0" borderId="3" xfId="142" applyNumberFormat="1" applyFont="1" applyFill="1" applyBorder="1" applyAlignment="1">
      <alignment vertical="center"/>
    </xf>
    <xf numFmtId="0" fontId="3" fillId="9" borderId="3" xfId="0" applyFont="1" applyFill="1" applyBorder="1" applyAlignment="1">
      <alignment vertical="center"/>
    </xf>
    <xf numFmtId="0" fontId="3" fillId="11" borderId="3" xfId="0" applyFont="1" applyFill="1" applyBorder="1" applyAlignment="1">
      <alignment vertical="center"/>
    </xf>
    <xf numFmtId="172" fontId="5" fillId="0" borderId="3" xfId="142" applyNumberFormat="1" applyFont="1" applyFill="1" applyBorder="1" applyAlignment="1">
      <alignment horizontal="justify" vertical="center"/>
    </xf>
    <xf numFmtId="43" fontId="5" fillId="4" borderId="3" xfId="2" applyNumberFormat="1" applyFont="1" applyFill="1" applyBorder="1" applyAlignment="1">
      <alignment horizontal="justify" vertical="center"/>
    </xf>
    <xf numFmtId="170" fontId="3" fillId="0" borderId="3" xfId="2" applyNumberFormat="1" applyFont="1" applyFill="1" applyBorder="1" applyAlignment="1">
      <alignment vertical="center"/>
    </xf>
    <xf numFmtId="170" fontId="9" fillId="3" borderId="3" xfId="0" applyNumberFormat="1" applyFont="1" applyFill="1" applyBorder="1" applyAlignment="1">
      <alignment horizontal="left" vertical="center" wrapText="1"/>
    </xf>
    <xf numFmtId="170" fontId="5" fillId="0" borderId="3" xfId="0" applyNumberFormat="1" applyFont="1" applyFill="1" applyBorder="1" applyAlignment="1">
      <alignment horizontal="justify" vertical="center" wrapText="1"/>
    </xf>
    <xf numFmtId="3" fontId="5" fillId="4" borderId="3" xfId="0" applyNumberFormat="1" applyFont="1" applyFill="1" applyBorder="1" applyAlignment="1">
      <alignment vertical="center" wrapText="1"/>
    </xf>
    <xf numFmtId="170" fontId="5" fillId="6" borderId="3" xfId="142" applyNumberFormat="1" applyFont="1" applyFill="1" applyBorder="1" applyAlignment="1">
      <alignment horizontal="center" vertical="center"/>
    </xf>
    <xf numFmtId="170" fontId="5" fillId="0" borderId="3" xfId="0" applyNumberFormat="1" applyFont="1" applyFill="1" applyBorder="1" applyAlignment="1">
      <alignment horizontal="justify" vertical="center"/>
    </xf>
    <xf numFmtId="170" fontId="5" fillId="7" borderId="3" xfId="142" applyNumberFormat="1" applyFont="1" applyFill="1" applyBorder="1" applyAlignment="1">
      <alignment horizontal="center" vertical="center"/>
    </xf>
    <xf numFmtId="170" fontId="5" fillId="5" borderId="3" xfId="142" applyNumberFormat="1" applyFont="1" applyFill="1" applyBorder="1" applyAlignment="1">
      <alignment horizontal="center" vertical="center"/>
    </xf>
    <xf numFmtId="170" fontId="5" fillId="4" borderId="3" xfId="142" applyNumberFormat="1" applyFont="1" applyFill="1" applyBorder="1" applyAlignment="1">
      <alignment horizontal="center" vertical="center"/>
    </xf>
    <xf numFmtId="43" fontId="3" fillId="7" borderId="3" xfId="142" applyFont="1" applyFill="1" applyBorder="1" applyAlignment="1">
      <alignment vertical="center"/>
    </xf>
    <xf numFmtId="170" fontId="5" fillId="7" borderId="3" xfId="142" applyNumberFormat="1" applyFont="1" applyFill="1" applyBorder="1" applyAlignment="1">
      <alignment horizontal="right" vertical="center" wrapText="1"/>
    </xf>
    <xf numFmtId="172" fontId="5" fillId="7" borderId="3" xfId="142" applyNumberFormat="1" applyFont="1" applyFill="1" applyBorder="1" applyAlignment="1">
      <alignment horizontal="right" vertical="center" wrapText="1"/>
    </xf>
    <xf numFmtId="170" fontId="12" fillId="2" borderId="3" xfId="1361" applyNumberFormat="1" applyFont="1" applyFill="1" applyBorder="1" applyAlignment="1">
      <alignment horizontal="right" vertical="center"/>
    </xf>
    <xf numFmtId="170" fontId="11" fillId="0" borderId="3" xfId="2" applyNumberFormat="1" applyFont="1" applyFill="1" applyBorder="1" applyAlignment="1">
      <alignment horizontal="justify" vertical="center"/>
    </xf>
    <xf numFmtId="172" fontId="5" fillId="7" borderId="3" xfId="142" applyNumberFormat="1" applyFont="1" applyFill="1" applyBorder="1" applyAlignment="1">
      <alignment horizontal="justify" vertical="center"/>
    </xf>
    <xf numFmtId="172" fontId="5" fillId="5" borderId="3" xfId="142" applyNumberFormat="1" applyFont="1" applyFill="1" applyBorder="1" applyAlignment="1">
      <alignment horizontal="justify" vertical="center"/>
    </xf>
    <xf numFmtId="172" fontId="5" fillId="4" borderId="3" xfId="142" applyNumberFormat="1" applyFont="1" applyFill="1" applyBorder="1" applyAlignment="1">
      <alignment horizontal="justify" vertical="center"/>
    </xf>
    <xf numFmtId="172" fontId="5" fillId="8" borderId="3" xfId="142" applyNumberFormat="1" applyFont="1" applyFill="1" applyBorder="1" applyAlignment="1">
      <alignment horizontal="justify" vertical="center"/>
    </xf>
    <xf numFmtId="172" fontId="7" fillId="2" borderId="3" xfId="142" applyNumberFormat="1" applyFont="1" applyFill="1" applyBorder="1" applyAlignment="1">
      <alignment vertical="center" wrapText="1"/>
    </xf>
    <xf numFmtId="170" fontId="3" fillId="7" borderId="3" xfId="0" applyNumberFormat="1" applyFont="1" applyFill="1" applyBorder="1" applyAlignment="1">
      <alignment vertical="center"/>
    </xf>
    <xf numFmtId="170" fontId="3" fillId="2" borderId="3" xfId="2" applyNumberFormat="1" applyFont="1" applyFill="1" applyBorder="1" applyAlignment="1">
      <alignment horizontal="justify" vertical="center"/>
    </xf>
    <xf numFmtId="170" fontId="13" fillId="0" borderId="3" xfId="2" applyNumberFormat="1" applyFont="1" applyBorder="1"/>
    <xf numFmtId="170" fontId="20" fillId="15" borderId="3" xfId="2" applyNumberFormat="1" applyFont="1" applyFill="1" applyBorder="1" applyAlignment="1">
      <alignment vertical="center"/>
    </xf>
    <xf numFmtId="170" fontId="6" fillId="0" borderId="0" xfId="142" applyNumberFormat="1" applyFont="1"/>
    <xf numFmtId="0" fontId="6" fillId="0" borderId="0" xfId="0" applyFont="1" applyFill="1"/>
    <xf numFmtId="183" fontId="6" fillId="0" borderId="0" xfId="0" applyNumberFormat="1" applyFont="1" applyFill="1" applyBorder="1"/>
    <xf numFmtId="165" fontId="3" fillId="4" borderId="3" xfId="1362" applyFont="1" applyFill="1" applyBorder="1" applyAlignment="1">
      <alignment vertical="center"/>
    </xf>
    <xf numFmtId="43" fontId="3" fillId="13" borderId="3" xfId="2" applyNumberFormat="1" applyFont="1" applyFill="1" applyBorder="1" applyAlignment="1">
      <alignment horizontal="justify" vertical="center"/>
    </xf>
    <xf numFmtId="185" fontId="5" fillId="0" borderId="3" xfId="1" applyNumberFormat="1" applyFont="1" applyFill="1" applyBorder="1" applyAlignment="1">
      <alignment horizontal="center" vertical="center"/>
    </xf>
    <xf numFmtId="184" fontId="5" fillId="8" borderId="3" xfId="2" applyNumberFormat="1" applyFont="1" applyFill="1" applyBorder="1" applyAlignment="1">
      <alignment horizontal="justify" vertical="center"/>
    </xf>
    <xf numFmtId="43" fontId="5" fillId="8" borderId="3" xfId="2" applyNumberFormat="1" applyFont="1" applyFill="1" applyBorder="1" applyAlignment="1">
      <alignment horizontal="justify" vertical="center"/>
    </xf>
    <xf numFmtId="167" fontId="3" fillId="7" borderId="11" xfId="1" applyNumberFormat="1" applyFont="1" applyFill="1" applyBorder="1" applyAlignment="1">
      <alignment horizontal="center" vertical="center"/>
    </xf>
    <xf numFmtId="167" fontId="5" fillId="0" borderId="7" xfId="1" applyNumberFormat="1" applyFont="1" applyFill="1" applyBorder="1" applyAlignment="1">
      <alignment horizontal="center" vertical="center" wrapText="1"/>
    </xf>
    <xf numFmtId="167" fontId="5" fillId="7" borderId="3" xfId="2" applyNumberFormat="1" applyFont="1" applyFill="1" applyBorder="1" applyAlignment="1">
      <alignment horizontal="justify" vertical="center"/>
    </xf>
    <xf numFmtId="167" fontId="5" fillId="0" borderId="11" xfId="1" applyNumberFormat="1" applyFont="1" applyFill="1" applyBorder="1" applyAlignment="1">
      <alignment horizontal="center" vertical="center"/>
    </xf>
    <xf numFmtId="167" fontId="5" fillId="7" borderId="3" xfId="0" applyNumberFormat="1" applyFont="1" applyFill="1" applyBorder="1" applyAlignment="1">
      <alignment horizontal="justify" vertical="center" wrapText="1"/>
    </xf>
    <xf numFmtId="167" fontId="5" fillId="0" borderId="11" xfId="1" applyNumberFormat="1" applyFont="1" applyFill="1" applyBorder="1" applyAlignment="1">
      <alignment horizontal="center" vertical="center" wrapText="1"/>
    </xf>
    <xf numFmtId="167" fontId="5" fillId="0" borderId="3" xfId="1" applyNumberFormat="1" applyFont="1" applyFill="1" applyBorder="1" applyAlignment="1">
      <alignment horizontal="center" vertical="center" wrapText="1"/>
    </xf>
    <xf numFmtId="167" fontId="5" fillId="0" borderId="7" xfId="1" applyNumberFormat="1" applyFont="1" applyFill="1" applyBorder="1" applyAlignment="1">
      <alignment horizontal="center" vertical="center"/>
    </xf>
    <xf numFmtId="167" fontId="5" fillId="5" borderId="3" xfId="0" applyNumberFormat="1" applyFont="1" applyFill="1" applyBorder="1" applyAlignment="1">
      <alignment horizontal="justify" vertical="center" wrapText="1"/>
    </xf>
    <xf numFmtId="167" fontId="3" fillId="4" borderId="3" xfId="0" applyNumberFormat="1" applyFont="1" applyFill="1" applyBorder="1" applyAlignment="1">
      <alignment vertical="center" wrapText="1"/>
    </xf>
    <xf numFmtId="167" fontId="3" fillId="4" borderId="11" xfId="1" applyNumberFormat="1" applyFont="1" applyFill="1" applyBorder="1" applyAlignment="1">
      <alignment horizontal="center" vertical="center"/>
    </xf>
    <xf numFmtId="167" fontId="3" fillId="5" borderId="11" xfId="1" applyNumberFormat="1" applyFont="1" applyFill="1" applyBorder="1" applyAlignment="1">
      <alignment horizontal="center" vertical="center"/>
    </xf>
    <xf numFmtId="167" fontId="5" fillId="6" borderId="3" xfId="2" applyNumberFormat="1" applyFont="1" applyFill="1" applyBorder="1" applyAlignment="1">
      <alignment horizontal="justify" vertical="center"/>
    </xf>
    <xf numFmtId="167" fontId="5" fillId="6" borderId="3" xfId="1" applyNumberFormat="1" applyFont="1" applyFill="1" applyBorder="1" applyAlignment="1">
      <alignment horizontal="center" vertical="center"/>
    </xf>
    <xf numFmtId="167" fontId="5" fillId="7" borderId="11" xfId="2" applyNumberFormat="1" applyFont="1" applyFill="1" applyBorder="1" applyAlignment="1">
      <alignment horizontal="justify" vertical="center"/>
    </xf>
    <xf numFmtId="167" fontId="5" fillId="2" borderId="3" xfId="1" applyNumberFormat="1" applyFont="1" applyFill="1" applyBorder="1" applyAlignment="1">
      <alignment horizontal="center" vertical="center"/>
    </xf>
    <xf numFmtId="167" fontId="5" fillId="7" borderId="3" xfId="0" applyNumberFormat="1" applyFont="1" applyFill="1" applyBorder="1" applyAlignment="1">
      <alignment horizontal="justify" vertical="center"/>
    </xf>
    <xf numFmtId="167" fontId="5" fillId="0" borderId="3" xfId="2" applyNumberFormat="1" applyFont="1" applyFill="1" applyBorder="1" applyAlignment="1">
      <alignment horizontal="justify" vertical="center"/>
    </xf>
    <xf numFmtId="167" fontId="5" fillId="5" borderId="3" xfId="2" applyNumberFormat="1" applyFont="1" applyFill="1" applyBorder="1" applyAlignment="1">
      <alignment horizontal="justify" vertical="center"/>
    </xf>
    <xf numFmtId="167" fontId="5" fillId="4" borderId="3" xfId="2" applyNumberFormat="1" applyFont="1" applyFill="1" applyBorder="1" applyAlignment="1">
      <alignment horizontal="justify" vertical="center"/>
    </xf>
    <xf numFmtId="167" fontId="5" fillId="0" borderId="6" xfId="1" applyNumberFormat="1" applyFont="1" applyFill="1" applyBorder="1" applyAlignment="1">
      <alignment horizontal="center" vertical="center"/>
    </xf>
    <xf numFmtId="184" fontId="5" fillId="8" borderId="3" xfId="142" applyNumberFormat="1" applyFont="1" applyFill="1" applyBorder="1" applyAlignment="1">
      <alignment horizontal="center" vertical="center"/>
    </xf>
    <xf numFmtId="43" fontId="5" fillId="8" borderId="3" xfId="0" applyNumberFormat="1" applyFont="1" applyFill="1" applyBorder="1" applyAlignment="1">
      <alignment horizontal="justify" vertical="center" wrapText="1"/>
    </xf>
    <xf numFmtId="43" fontId="5" fillId="8" borderId="3" xfId="0" applyNumberFormat="1" applyFont="1" applyFill="1" applyBorder="1" applyAlignment="1">
      <alignment horizontal="center" vertical="center" wrapText="1"/>
    </xf>
    <xf numFmtId="43" fontId="5" fillId="8" borderId="3" xfId="0" applyNumberFormat="1" applyFont="1" applyFill="1" applyBorder="1" applyAlignment="1">
      <alignment horizontal="justify" vertical="center"/>
    </xf>
    <xf numFmtId="43" fontId="5" fillId="8" borderId="3" xfId="0" applyNumberFormat="1" applyFont="1" applyFill="1" applyBorder="1" applyAlignment="1">
      <alignment horizontal="center" vertical="center"/>
    </xf>
    <xf numFmtId="43" fontId="7" fillId="8" borderId="3" xfId="0" applyNumberFormat="1" applyFont="1" applyFill="1" applyBorder="1" applyAlignment="1">
      <alignment horizontal="right" vertical="center" wrapText="1"/>
    </xf>
    <xf numFmtId="43" fontId="5" fillId="0" borderId="11" xfId="2" applyNumberFormat="1" applyFont="1" applyFill="1" applyBorder="1" applyAlignment="1">
      <alignment horizontal="justify" vertical="center"/>
    </xf>
    <xf numFmtId="43" fontId="7" fillId="8" borderId="3" xfId="2" applyNumberFormat="1" applyFont="1" applyFill="1" applyBorder="1" applyAlignment="1">
      <alignment horizontal="justify" vertical="center"/>
    </xf>
    <xf numFmtId="43" fontId="5" fillId="0" borderId="3" xfId="2" applyNumberFormat="1" applyFont="1" applyFill="1" applyBorder="1" applyAlignment="1">
      <alignment horizontal="justify" vertical="center"/>
    </xf>
    <xf numFmtId="186" fontId="7" fillId="7" borderId="3" xfId="0" applyNumberFormat="1" applyFont="1" applyFill="1" applyBorder="1" applyAlignment="1">
      <alignment horizontal="right" vertical="center" wrapText="1"/>
    </xf>
    <xf numFmtId="186" fontId="5" fillId="7" borderId="3" xfId="0" applyNumberFormat="1" applyFont="1" applyFill="1" applyBorder="1" applyAlignment="1">
      <alignment horizontal="justify" vertical="center" wrapText="1"/>
    </xf>
    <xf numFmtId="186" fontId="5" fillId="7" borderId="3" xfId="0" applyNumberFormat="1" applyFont="1" applyFill="1" applyBorder="1" applyAlignment="1">
      <alignment horizontal="center" vertical="center" wrapText="1"/>
    </xf>
    <xf numFmtId="186" fontId="5" fillId="7" borderId="3" xfId="2" applyNumberFormat="1" applyFont="1" applyFill="1" applyBorder="1" applyAlignment="1">
      <alignment horizontal="justify" vertical="center"/>
    </xf>
    <xf numFmtId="186" fontId="7" fillId="5" borderId="3" xfId="0" applyNumberFormat="1" applyFont="1" applyFill="1" applyBorder="1" applyAlignment="1">
      <alignment horizontal="right" vertical="center" wrapText="1"/>
    </xf>
    <xf numFmtId="186" fontId="5" fillId="5" borderId="3" xfId="0" applyNumberFormat="1" applyFont="1" applyFill="1" applyBorder="1" applyAlignment="1">
      <alignment horizontal="justify" vertical="center" wrapText="1"/>
    </xf>
    <xf numFmtId="186" fontId="5" fillId="5" borderId="3" xfId="0" applyNumberFormat="1" applyFont="1" applyFill="1" applyBorder="1" applyAlignment="1">
      <alignment horizontal="center" vertical="center" wrapText="1"/>
    </xf>
    <xf numFmtId="186" fontId="5" fillId="5" borderId="3" xfId="2" applyNumberFormat="1" applyFont="1" applyFill="1" applyBorder="1" applyAlignment="1">
      <alignment horizontal="justify" vertical="center"/>
    </xf>
    <xf numFmtId="186" fontId="7" fillId="4" borderId="3" xfId="0" applyNumberFormat="1" applyFont="1" applyFill="1" applyBorder="1" applyAlignment="1">
      <alignment horizontal="right" vertical="center" wrapText="1"/>
    </xf>
    <xf numFmtId="186" fontId="5" fillId="4" borderId="3" xfId="0" applyNumberFormat="1" applyFont="1" applyFill="1" applyBorder="1" applyAlignment="1">
      <alignment horizontal="justify" vertical="center" wrapText="1"/>
    </xf>
    <xf numFmtId="186" fontId="5" fillId="4" borderId="3" xfId="0" applyNumberFormat="1" applyFont="1" applyFill="1" applyBorder="1" applyAlignment="1">
      <alignment horizontal="center" vertical="center" wrapText="1"/>
    </xf>
    <xf numFmtId="186" fontId="5" fillId="4" borderId="3" xfId="2" applyNumberFormat="1" applyFont="1" applyFill="1" applyBorder="1" applyAlignment="1">
      <alignment horizontal="justify" vertical="center"/>
    </xf>
    <xf numFmtId="186" fontId="7" fillId="8" borderId="3" xfId="0" applyNumberFormat="1" applyFont="1" applyFill="1" applyBorder="1" applyAlignment="1">
      <alignment horizontal="right" vertical="center" wrapText="1"/>
    </xf>
    <xf numFmtId="186" fontId="5" fillId="8" borderId="3" xfId="0" applyNumberFormat="1" applyFont="1" applyFill="1" applyBorder="1" applyAlignment="1">
      <alignment horizontal="justify" vertical="center" wrapText="1"/>
    </xf>
    <xf numFmtId="186" fontId="5" fillId="8" borderId="3" xfId="2" applyNumberFormat="1" applyFont="1" applyFill="1" applyBorder="1" applyAlignment="1">
      <alignment horizontal="justify" vertical="center"/>
    </xf>
    <xf numFmtId="43" fontId="5" fillId="0" borderId="3" xfId="142" applyNumberFormat="1" applyFont="1" applyFill="1" applyBorder="1" applyAlignment="1">
      <alignment horizontal="justify" vertical="center"/>
    </xf>
    <xf numFmtId="3" fontId="5" fillId="0" borderId="3" xfId="0" applyNumberFormat="1" applyFont="1" applyFill="1" applyBorder="1" applyAlignment="1">
      <alignment horizontal="left" vertical="center"/>
    </xf>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justify" vertical="center" wrapText="1"/>
    </xf>
    <xf numFmtId="0" fontId="5" fillId="0" borderId="14" xfId="0" applyFont="1" applyFill="1" applyBorder="1" applyAlignment="1">
      <alignment horizontal="justify" vertical="center" wrapText="1"/>
    </xf>
    <xf numFmtId="0" fontId="5" fillId="0" borderId="10" xfId="0" applyFont="1" applyFill="1" applyBorder="1" applyAlignment="1">
      <alignment horizontal="justify" vertical="center" wrapText="1"/>
    </xf>
    <xf numFmtId="0" fontId="5" fillId="0" borderId="1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 fillId="7" borderId="11" xfId="0" applyFont="1" applyFill="1" applyBorder="1" applyAlignment="1">
      <alignment horizontal="left" vertical="center"/>
    </xf>
    <xf numFmtId="0" fontId="5" fillId="0" borderId="6"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10" fontId="5" fillId="0" borderId="6" xfId="0" applyNumberFormat="1" applyFont="1" applyFill="1" applyBorder="1" applyAlignment="1">
      <alignment horizontal="center" vertical="center" wrapText="1"/>
    </xf>
    <xf numFmtId="10" fontId="5" fillId="0" borderId="14" xfId="0" applyNumberFormat="1" applyFont="1" applyFill="1" applyBorder="1" applyAlignment="1">
      <alignment horizontal="center" vertical="center" wrapText="1"/>
    </xf>
    <xf numFmtId="10" fontId="5" fillId="0" borderId="10" xfId="0"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9" fontId="5" fillId="0" borderId="14" xfId="0" applyNumberFormat="1" applyFont="1" applyFill="1" applyBorder="1" applyAlignment="1">
      <alignment horizontal="center" vertical="center" wrapText="1"/>
    </xf>
    <xf numFmtId="9" fontId="5" fillId="0" borderId="10"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justify" vertical="center" wrapText="1"/>
    </xf>
    <xf numFmtId="0" fontId="5" fillId="2" borderId="10" xfId="0" applyFont="1" applyFill="1" applyBorder="1" applyAlignment="1">
      <alignment horizontal="center" vertical="center" wrapText="1"/>
    </xf>
    <xf numFmtId="0" fontId="5" fillId="2" borderId="10" xfId="0" applyFont="1" applyFill="1" applyBorder="1" applyAlignment="1">
      <alignment horizontal="justify" vertical="center"/>
    </xf>
    <xf numFmtId="16" fontId="5" fillId="2" borderId="10" xfId="0" applyNumberFormat="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Fill="1" applyBorder="1" applyAlignment="1">
      <alignment horizontal="justify" vertical="center"/>
    </xf>
    <xf numFmtId="16" fontId="5" fillId="0" borderId="10" xfId="0" applyNumberFormat="1"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7" fillId="0" borderId="6" xfId="0" applyFont="1" applyFill="1" applyBorder="1" applyAlignment="1">
      <alignment horizontal="right" vertical="center" wrapText="1"/>
    </xf>
    <xf numFmtId="0" fontId="7" fillId="0" borderId="10" xfId="0" applyFont="1" applyFill="1" applyBorder="1" applyAlignment="1">
      <alignment horizontal="right" vertical="center" wrapText="1"/>
    </xf>
    <xf numFmtId="0" fontId="5" fillId="0" borderId="6" xfId="0" applyFont="1" applyBorder="1" applyAlignment="1">
      <alignment horizontal="justify" vertical="center" wrapText="1"/>
    </xf>
    <xf numFmtId="0" fontId="5" fillId="0" borderId="10" xfId="0" applyFont="1" applyBorder="1" applyAlignment="1">
      <alignment horizontal="justify" vertical="center" wrapText="1"/>
    </xf>
    <xf numFmtId="0" fontId="8" fillId="2" borderId="14"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10" xfId="0" applyFont="1" applyFill="1" applyBorder="1" applyAlignment="1">
      <alignment horizontal="center" vertical="center"/>
    </xf>
    <xf numFmtId="0" fontId="8" fillId="2" borderId="6" xfId="0" applyFont="1" applyFill="1" applyBorder="1" applyAlignment="1">
      <alignment horizontal="justify" vertical="center" wrapText="1"/>
    </xf>
    <xf numFmtId="0" fontId="8" fillId="2" borderId="10" xfId="0" applyFont="1" applyFill="1" applyBorder="1" applyAlignment="1">
      <alignment horizontal="justify" vertical="center" wrapText="1"/>
    </xf>
    <xf numFmtId="9" fontId="5" fillId="2" borderId="10"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6" fillId="0" borderId="6" xfId="0" applyFont="1" applyFill="1" applyBorder="1" applyAlignment="1">
      <alignment horizontal="justify" vertical="center" wrapText="1"/>
    </xf>
    <xf numFmtId="170" fontId="19" fillId="0" borderId="0" xfId="2" applyNumberFormat="1" applyFont="1" applyBorder="1" applyAlignment="1">
      <alignment horizontal="center" wrapText="1"/>
    </xf>
    <xf numFmtId="0" fontId="3" fillId="0" borderId="3"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3" xfId="0" applyFont="1" applyFill="1" applyBorder="1" applyAlignment="1">
      <alignment horizontal="right" vertical="center"/>
    </xf>
    <xf numFmtId="0" fontId="7" fillId="0" borderId="214" xfId="0" applyFont="1" applyFill="1" applyBorder="1" applyAlignment="1">
      <alignment horizontal="right" vertical="center"/>
    </xf>
    <xf numFmtId="183" fontId="11" fillId="0" borderId="3" xfId="0" applyNumberFormat="1" applyFont="1" applyFill="1" applyBorder="1" applyAlignment="1">
      <alignment horizontal="right" vertical="center"/>
    </xf>
    <xf numFmtId="0" fontId="6" fillId="0" borderId="0" xfId="0" applyFont="1" applyFill="1" applyBorder="1" applyAlignment="1"/>
    <xf numFmtId="173" fontId="17" fillId="0" borderId="214" xfId="0" applyNumberFormat="1" applyFont="1" applyFill="1" applyBorder="1" applyAlignment="1">
      <alignment horizontal="center" vertical="center" wrapText="1"/>
    </xf>
    <xf numFmtId="173" fontId="17" fillId="0" borderId="0" xfId="0" applyNumberFormat="1" applyFont="1" applyFill="1" applyBorder="1" applyAlignment="1">
      <alignment horizontal="center" vertical="center" wrapText="1"/>
    </xf>
    <xf numFmtId="173" fontId="17" fillId="0" borderId="3"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1" fontId="7" fillId="0" borderId="10" xfId="0" applyNumberFormat="1" applyFont="1" applyFill="1" applyBorder="1" applyAlignment="1">
      <alignment horizontal="right" vertical="center" wrapText="1"/>
    </xf>
    <xf numFmtId="1" fontId="7" fillId="0" borderId="11" xfId="0" applyNumberFormat="1" applyFont="1" applyFill="1" applyBorder="1" applyAlignment="1">
      <alignment horizontal="right" vertical="center"/>
    </xf>
    <xf numFmtId="170" fontId="12" fillId="41" borderId="3" xfId="2" applyNumberFormat="1" applyFont="1" applyFill="1" applyBorder="1" applyAlignment="1">
      <alignment horizontal="center" vertical="center" wrapText="1"/>
    </xf>
    <xf numFmtId="172" fontId="12" fillId="41" borderId="3" xfId="142" applyNumberFormat="1" applyFont="1" applyFill="1" applyBorder="1" applyAlignment="1">
      <alignment horizontal="center" vertical="center" wrapText="1"/>
    </xf>
    <xf numFmtId="170" fontId="4" fillId="41" borderId="3" xfId="2" applyNumberFormat="1" applyFont="1" applyFill="1" applyBorder="1" applyAlignment="1">
      <alignment horizontal="center" vertical="center" wrapText="1"/>
    </xf>
    <xf numFmtId="0" fontId="12" fillId="41" borderId="3" xfId="0" applyNumberFormat="1" applyFont="1" applyFill="1" applyBorder="1" applyAlignment="1">
      <alignment horizontal="center" vertical="center" wrapText="1"/>
    </xf>
    <xf numFmtId="0" fontId="12" fillId="41" borderId="3" xfId="0" applyFont="1" applyFill="1" applyBorder="1" applyAlignment="1">
      <alignment horizontal="center" vertical="center" wrapText="1"/>
    </xf>
    <xf numFmtId="0" fontId="11" fillId="41" borderId="3" xfId="0" applyFont="1" applyFill="1" applyBorder="1" applyAlignment="1">
      <alignment horizontal="center" vertical="center" wrapText="1"/>
    </xf>
    <xf numFmtId="0" fontId="5" fillId="0" borderId="10" xfId="0" applyFont="1" applyFill="1" applyBorder="1" applyAlignment="1">
      <alignment horizontal="justify" vertical="center" wrapText="1"/>
    </xf>
    <xf numFmtId="0" fontId="46" fillId="41" borderId="3" xfId="0" applyFont="1" applyFill="1" applyBorder="1" applyAlignment="1">
      <alignment horizontal="center" vertical="center" wrapText="1"/>
    </xf>
    <xf numFmtId="0" fontId="3" fillId="0" borderId="3" xfId="0" applyFont="1" applyBorder="1" applyAlignment="1">
      <alignment vertical="center"/>
    </xf>
    <xf numFmtId="0" fontId="3" fillId="0" borderId="3" xfId="0" applyFont="1" applyBorder="1" applyAlignment="1">
      <alignment horizontal="left" vertical="center"/>
    </xf>
    <xf numFmtId="3" fontId="3" fillId="10" borderId="3" xfId="0" applyNumberFormat="1" applyFont="1" applyFill="1" applyBorder="1" applyAlignment="1">
      <alignment horizontal="left" vertical="center" wrapText="1"/>
    </xf>
    <xf numFmtId="0" fontId="12" fillId="41" borderId="214"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5" borderId="7" xfId="0" applyFont="1" applyFill="1" applyBorder="1" applyAlignment="1">
      <alignment vertical="center"/>
    </xf>
    <xf numFmtId="43" fontId="3" fillId="2" borderId="0" xfId="2" applyNumberFormat="1" applyFont="1" applyFill="1" applyBorder="1" applyAlignment="1">
      <alignment horizontal="justify" vertical="center"/>
    </xf>
    <xf numFmtId="0" fontId="3" fillId="0" borderId="215" xfId="0" applyFont="1" applyFill="1" applyBorder="1" applyAlignment="1">
      <alignment horizontal="center" vertical="center" wrapText="1"/>
    </xf>
    <xf numFmtId="0" fontId="3" fillId="0" borderId="222" xfId="0" applyFont="1" applyFill="1" applyBorder="1" applyAlignment="1">
      <alignment horizontal="center" vertical="center" wrapText="1"/>
    </xf>
    <xf numFmtId="0" fontId="3" fillId="0" borderId="22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5" fillId="0" borderId="6" xfId="0" applyFont="1" applyFill="1" applyBorder="1" applyAlignment="1">
      <alignment horizontal="justify" vertical="center" wrapText="1"/>
    </xf>
    <xf numFmtId="0" fontId="5" fillId="0" borderId="10" xfId="0" applyFont="1" applyFill="1" applyBorder="1" applyAlignment="1">
      <alignment horizontal="justify" vertical="center" wrapText="1"/>
    </xf>
    <xf numFmtId="0" fontId="5" fillId="0" borderId="6"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0" fontId="7" fillId="0" borderId="6" xfId="0" applyFont="1" applyFill="1" applyBorder="1" applyAlignment="1">
      <alignment horizontal="right" vertical="center" wrapText="1"/>
    </xf>
    <xf numFmtId="0" fontId="7" fillId="0" borderId="14" xfId="0" applyFont="1" applyFill="1" applyBorder="1" applyAlignment="1">
      <alignment horizontal="right" vertical="center" wrapText="1"/>
    </xf>
    <xf numFmtId="0" fontId="7" fillId="0" borderId="10" xfId="0" applyFont="1" applyFill="1" applyBorder="1" applyAlignment="1">
      <alignment horizontal="right" vertical="center" wrapText="1"/>
    </xf>
    <xf numFmtId="0" fontId="5" fillId="0" borderId="14" xfId="0" applyFont="1" applyFill="1" applyBorder="1" applyAlignment="1">
      <alignment horizontal="justify"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Border="1" applyAlignment="1">
      <alignment horizontal="justify" vertical="center" wrapText="1"/>
    </xf>
    <xf numFmtId="0" fontId="5" fillId="0" borderId="10" xfId="0" applyFont="1" applyBorder="1" applyAlignment="1">
      <alignment horizontal="justify" vertical="center" wrapText="1"/>
    </xf>
    <xf numFmtId="9" fontId="5" fillId="0" borderId="6" xfId="0" applyNumberFormat="1" applyFont="1" applyBorder="1" applyAlignment="1">
      <alignment horizontal="center" vertical="center" wrapText="1"/>
    </xf>
    <xf numFmtId="9" fontId="5" fillId="0" borderId="10" xfId="0" applyNumberFormat="1" applyFont="1" applyBorder="1" applyAlignment="1">
      <alignment horizontal="center" vertical="center" wrapText="1"/>
    </xf>
    <xf numFmtId="170" fontId="19" fillId="0" borderId="0" xfId="2" applyNumberFormat="1" applyFont="1" applyBorder="1" applyAlignment="1">
      <alignment horizontal="center" wrapText="1"/>
    </xf>
    <xf numFmtId="0" fontId="5" fillId="0" borderId="6" xfId="0" applyFont="1" applyBorder="1" applyAlignment="1">
      <alignment horizontal="center" vertical="center" wrapText="1"/>
    </xf>
    <xf numFmtId="0" fontId="5" fillId="0" borderId="14" xfId="0" applyFont="1" applyBorder="1" applyAlignment="1">
      <alignment horizontal="center" vertical="center" wrapText="1"/>
    </xf>
    <xf numFmtId="0" fontId="8" fillId="2" borderId="6"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7" fillId="0" borderId="6" xfId="0" applyFont="1" applyFill="1" applyBorder="1" applyAlignment="1">
      <alignment horizontal="right" vertical="center"/>
    </xf>
    <xf numFmtId="0" fontId="7" fillId="0" borderId="14" xfId="0" applyFont="1" applyFill="1" applyBorder="1" applyAlignment="1">
      <alignment horizontal="right" vertical="center"/>
    </xf>
    <xf numFmtId="0" fontId="7" fillId="0" borderId="10" xfId="0" applyFont="1" applyFill="1" applyBorder="1" applyAlignment="1">
      <alignment horizontal="right" vertical="center"/>
    </xf>
    <xf numFmtId="0" fontId="5" fillId="0" borderId="15" xfId="0" applyFont="1" applyFill="1" applyBorder="1" applyAlignment="1">
      <alignment horizontal="center" vertical="center" wrapText="1"/>
    </xf>
    <xf numFmtId="0" fontId="8" fillId="0" borderId="6" xfId="0" applyFont="1" applyFill="1" applyBorder="1" applyAlignment="1">
      <alignment horizontal="justify" vertical="center" wrapText="1"/>
    </xf>
    <xf numFmtId="0" fontId="8" fillId="0" borderId="14" xfId="0" applyFont="1" applyFill="1" applyBorder="1" applyAlignment="1">
      <alignment horizontal="justify" vertical="center" wrapText="1"/>
    </xf>
    <xf numFmtId="0" fontId="8" fillId="0" borderId="10" xfId="0" applyFont="1" applyFill="1" applyBorder="1" applyAlignment="1">
      <alignment horizontal="justify" vertical="center" wrapText="1"/>
    </xf>
    <xf numFmtId="9" fontId="8" fillId="0" borderId="6" xfId="0" applyNumberFormat="1" applyFont="1" applyFill="1" applyBorder="1" applyAlignment="1">
      <alignment horizontal="center" vertical="center"/>
    </xf>
    <xf numFmtId="9" fontId="8" fillId="0" borderId="14" xfId="0" applyNumberFormat="1" applyFont="1" applyFill="1" applyBorder="1" applyAlignment="1">
      <alignment horizontal="center" vertical="center"/>
    </xf>
    <xf numFmtId="9" fontId="8" fillId="0" borderId="10" xfId="0" applyNumberFormat="1" applyFont="1" applyFill="1" applyBorder="1" applyAlignment="1">
      <alignment horizontal="center" vertical="center"/>
    </xf>
    <xf numFmtId="9" fontId="8" fillId="0" borderId="6" xfId="0" applyNumberFormat="1" applyFont="1" applyFill="1" applyBorder="1" applyAlignment="1">
      <alignment horizontal="center" vertical="center" wrapText="1"/>
    </xf>
    <xf numFmtId="9" fontId="8" fillId="0" borderId="14" xfId="0" applyNumberFormat="1" applyFont="1" applyFill="1" applyBorder="1" applyAlignment="1">
      <alignment horizontal="center" vertical="center" wrapText="1"/>
    </xf>
    <xf numFmtId="9" fontId="8" fillId="0" borderId="10" xfId="0" applyNumberFormat="1" applyFont="1" applyFill="1" applyBorder="1" applyAlignment="1">
      <alignment horizontal="center" vertical="center" wrapText="1"/>
    </xf>
    <xf numFmtId="0" fontId="6" fillId="0" borderId="6" xfId="0" applyFont="1" applyFill="1" applyBorder="1" applyAlignment="1">
      <alignment horizontal="justify" vertical="center" wrapText="1"/>
    </xf>
    <xf numFmtId="0" fontId="6" fillId="0" borderId="14" xfId="0" applyFont="1" applyFill="1" applyBorder="1" applyAlignment="1">
      <alignment horizontal="justify" vertical="center" wrapText="1"/>
    </xf>
    <xf numFmtId="0" fontId="6" fillId="0" borderId="10" xfId="0" applyFont="1" applyFill="1" applyBorder="1" applyAlignment="1">
      <alignment horizontal="justify" vertical="center" wrapText="1"/>
    </xf>
    <xf numFmtId="0" fontId="3" fillId="0" borderId="3"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3" fillId="5" borderId="3" xfId="0" applyFont="1" applyFill="1" applyBorder="1" applyAlignment="1">
      <alignment horizontal="left" vertical="center" wrapText="1"/>
    </xf>
    <xf numFmtId="170" fontId="5" fillId="0" borderId="6" xfId="0" applyNumberFormat="1" applyFont="1" applyFill="1" applyBorder="1" applyAlignment="1">
      <alignment horizontal="justify" vertical="center" wrapText="1"/>
    </xf>
    <xf numFmtId="170" fontId="5" fillId="0" borderId="14" xfId="0" applyNumberFormat="1" applyFont="1" applyFill="1" applyBorder="1" applyAlignment="1">
      <alignment horizontal="justify" vertical="center" wrapText="1"/>
    </xf>
    <xf numFmtId="170" fontId="5" fillId="0" borderId="10" xfId="0" applyNumberFormat="1" applyFont="1" applyFill="1" applyBorder="1" applyAlignment="1">
      <alignment horizontal="justify" vertical="center" wrapText="1"/>
    </xf>
    <xf numFmtId="0" fontId="3" fillId="13" borderId="7" xfId="0" applyFont="1" applyFill="1" applyBorder="1" applyAlignment="1">
      <alignment horizontal="left" vertical="center" wrapText="1"/>
    </xf>
    <xf numFmtId="0" fontId="3" fillId="13" borderId="11" xfId="0" applyFont="1" applyFill="1" applyBorder="1" applyAlignment="1">
      <alignment horizontal="left" vertical="center" wrapText="1"/>
    </xf>
    <xf numFmtId="0" fontId="3" fillId="13" borderId="2" xfId="0" applyFont="1" applyFill="1" applyBorder="1" applyAlignment="1">
      <alignment horizontal="left" vertical="center" wrapText="1"/>
    </xf>
    <xf numFmtId="3" fontId="5" fillId="0" borderId="6" xfId="0" applyNumberFormat="1" applyFont="1" applyFill="1" applyBorder="1" applyAlignment="1">
      <alignment horizontal="justify" vertical="center"/>
    </xf>
    <xf numFmtId="3" fontId="5" fillId="0" borderId="10" xfId="0" applyNumberFormat="1" applyFont="1" applyFill="1" applyBorder="1" applyAlignment="1">
      <alignment horizontal="justify" vertical="center"/>
    </xf>
    <xf numFmtId="0" fontId="8" fillId="0" borderId="6"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3" fillId="7" borderId="11" xfId="0" applyFont="1" applyFill="1" applyBorder="1" applyAlignment="1">
      <alignment horizontal="left" vertical="center"/>
    </xf>
    <xf numFmtId="1" fontId="5" fillId="0" borderId="6" xfId="3" applyNumberFormat="1" applyFont="1" applyFill="1" applyBorder="1" applyAlignment="1">
      <alignment horizontal="center" vertical="center" wrapText="1"/>
    </xf>
    <xf numFmtId="1" fontId="5" fillId="0" borderId="10" xfId="3"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8" fillId="2" borderId="6" xfId="0" applyFont="1" applyFill="1" applyBorder="1" applyAlignment="1">
      <alignment horizontal="justify" vertical="center" wrapText="1"/>
    </xf>
    <xf numFmtId="0" fontId="8" fillId="2" borderId="14" xfId="0" applyFont="1" applyFill="1" applyBorder="1" applyAlignment="1">
      <alignment horizontal="justify" vertical="center" wrapText="1"/>
    </xf>
    <xf numFmtId="0" fontId="8" fillId="2" borderId="10" xfId="0" applyFont="1" applyFill="1" applyBorder="1" applyAlignment="1">
      <alignment horizontal="justify" vertical="center" wrapText="1"/>
    </xf>
    <xf numFmtId="10" fontId="8" fillId="2" borderId="6" xfId="0" applyNumberFormat="1" applyFont="1" applyFill="1" applyBorder="1" applyAlignment="1">
      <alignment horizontal="center" vertical="center" wrapText="1"/>
    </xf>
    <xf numFmtId="10" fontId="8" fillId="2" borderId="14" xfId="0" applyNumberFormat="1" applyFont="1" applyFill="1" applyBorder="1" applyAlignment="1">
      <alignment horizontal="center" vertical="center" wrapText="1"/>
    </xf>
    <xf numFmtId="10" fontId="8" fillId="2" borderId="10" xfId="0" applyNumberFormat="1" applyFont="1" applyFill="1" applyBorder="1" applyAlignment="1">
      <alignment horizontal="center" vertical="center" wrapText="1"/>
    </xf>
    <xf numFmtId="9" fontId="5" fillId="2" borderId="6" xfId="0" applyNumberFormat="1" applyFont="1" applyFill="1" applyBorder="1" applyAlignment="1">
      <alignment horizontal="center" vertical="center" wrapText="1"/>
    </xf>
    <xf numFmtId="9" fontId="5" fillId="2" borderId="14" xfId="0" applyNumberFormat="1" applyFont="1" applyFill="1" applyBorder="1" applyAlignment="1">
      <alignment horizontal="center" vertical="center" wrapText="1"/>
    </xf>
    <xf numFmtId="9" fontId="5" fillId="2" borderId="10" xfId="0" applyNumberFormat="1" applyFont="1" applyFill="1" applyBorder="1" applyAlignment="1">
      <alignment horizontal="center" vertical="center" wrapText="1"/>
    </xf>
    <xf numFmtId="1" fontId="5" fillId="2" borderId="6" xfId="0" applyNumberFormat="1" applyFont="1" applyFill="1" applyBorder="1" applyAlignment="1">
      <alignment horizontal="center" vertical="center" wrapText="1"/>
    </xf>
    <xf numFmtId="1" fontId="5" fillId="2" borderId="14" xfId="0" applyNumberFormat="1" applyFont="1" applyFill="1" applyBorder="1" applyAlignment="1">
      <alignment horizontal="center" vertical="center" wrapText="1"/>
    </xf>
    <xf numFmtId="1" fontId="5" fillId="2" borderId="10"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9" fontId="5" fillId="0" borderId="14" xfId="0" applyNumberFormat="1" applyFont="1" applyFill="1" applyBorder="1" applyAlignment="1">
      <alignment horizontal="center" vertical="center" wrapText="1"/>
    </xf>
    <xf numFmtId="9" fontId="5" fillId="0" borderId="10"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5" fillId="2" borderId="6" xfId="0" applyFont="1" applyFill="1" applyBorder="1" applyAlignment="1">
      <alignment horizontal="justify" vertical="center" wrapText="1"/>
    </xf>
    <xf numFmtId="0" fontId="15" fillId="2" borderId="10" xfId="0" applyFont="1" applyFill="1" applyBorder="1" applyAlignment="1">
      <alignment horizontal="justify" vertical="center" wrapText="1"/>
    </xf>
    <xf numFmtId="9" fontId="8" fillId="2" borderId="6" xfId="0" applyNumberFormat="1" applyFont="1" applyFill="1" applyBorder="1" applyAlignment="1">
      <alignment horizontal="center" vertical="center" wrapText="1"/>
    </xf>
    <xf numFmtId="9" fontId="8" fillId="2" borderId="10"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justify" vertical="center" wrapText="1"/>
    </xf>
    <xf numFmtId="0" fontId="5" fillId="2" borderId="14" xfId="0" applyFont="1" applyFill="1" applyBorder="1" applyAlignment="1">
      <alignment horizontal="justify" vertical="center" wrapText="1"/>
    </xf>
    <xf numFmtId="0" fontId="5" fillId="2" borderId="10" xfId="0" applyFont="1" applyFill="1" applyBorder="1" applyAlignment="1">
      <alignment horizontal="justify" vertical="center" wrapText="1"/>
    </xf>
    <xf numFmtId="0" fontId="8" fillId="2" borderId="10" xfId="0" applyFont="1" applyFill="1" applyBorder="1" applyAlignment="1">
      <alignment horizontal="center" vertical="center" wrapText="1"/>
    </xf>
    <xf numFmtId="0" fontId="5" fillId="2" borderId="14" xfId="0" applyFont="1" applyFill="1" applyBorder="1" applyAlignment="1">
      <alignment horizontal="center" vertical="center" wrapText="1"/>
    </xf>
    <xf numFmtId="1" fontId="5" fillId="0" borderId="14" xfId="3" applyNumberFormat="1" applyFont="1" applyFill="1" applyBorder="1" applyAlignment="1">
      <alignment horizontal="center" vertical="center" wrapText="1"/>
    </xf>
    <xf numFmtId="170" fontId="8" fillId="0" borderId="6" xfId="1" applyNumberFormat="1" applyFont="1" applyFill="1" applyBorder="1" applyAlignment="1">
      <alignment vertical="center" wrapText="1"/>
    </xf>
    <xf numFmtId="170" fontId="8" fillId="0" borderId="10" xfId="1" applyNumberFormat="1" applyFont="1" applyFill="1" applyBorder="1" applyAlignment="1">
      <alignment vertical="center" wrapText="1"/>
    </xf>
    <xf numFmtId="170" fontId="5" fillId="0" borderId="6" xfId="1" applyNumberFormat="1" applyFont="1" applyFill="1" applyBorder="1" applyAlignment="1">
      <alignment vertical="center" wrapText="1"/>
    </xf>
    <xf numFmtId="170" fontId="5" fillId="0" borderId="10" xfId="1" applyNumberFormat="1" applyFont="1" applyFill="1" applyBorder="1" applyAlignment="1">
      <alignment vertical="center" wrapText="1"/>
    </xf>
    <xf numFmtId="0" fontId="3" fillId="7" borderId="11" xfId="0" applyFont="1" applyFill="1" applyBorder="1" applyAlignment="1">
      <alignment horizontal="center" vertical="center"/>
    </xf>
    <xf numFmtId="0" fontId="5" fillId="0" borderId="10" xfId="0" applyFont="1" applyBorder="1" applyAlignment="1">
      <alignment horizontal="center" vertical="center" wrapText="1"/>
    </xf>
    <xf numFmtId="0" fontId="5" fillId="0" borderId="6" xfId="0" applyFont="1" applyFill="1" applyBorder="1" applyAlignment="1">
      <alignment horizontal="justify" vertical="center"/>
    </xf>
    <xf numFmtId="0" fontId="5" fillId="0" borderId="14" xfId="0" applyFont="1" applyFill="1" applyBorder="1" applyAlignment="1">
      <alignment horizontal="justify" vertical="center"/>
    </xf>
    <xf numFmtId="0" fontId="5" fillId="0" borderId="10" xfId="0" applyFont="1" applyFill="1" applyBorder="1" applyAlignment="1">
      <alignment horizontal="justify" vertical="center"/>
    </xf>
    <xf numFmtId="49" fontId="5" fillId="0" borderId="5"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6" xfId="0" applyNumberFormat="1" applyFont="1" applyFill="1" applyBorder="1" applyAlignment="1">
      <alignment horizontal="justify" vertical="center" wrapText="1"/>
    </xf>
    <xf numFmtId="49" fontId="5" fillId="0" borderId="10" xfId="0" applyNumberFormat="1" applyFont="1" applyFill="1" applyBorder="1" applyAlignment="1">
      <alignment horizontal="justify" vertical="center" wrapText="1"/>
    </xf>
    <xf numFmtId="10" fontId="5" fillId="0" borderId="6" xfId="0" applyNumberFormat="1" applyFont="1" applyFill="1" applyBorder="1" applyAlignment="1">
      <alignment horizontal="center" vertical="center" wrapText="1"/>
    </xf>
    <xf numFmtId="10" fontId="5" fillId="0" borderId="10" xfId="0" applyNumberFormat="1" applyFont="1" applyFill="1" applyBorder="1" applyAlignment="1">
      <alignment horizontal="center" vertical="center" wrapText="1"/>
    </xf>
    <xf numFmtId="0" fontId="5" fillId="0" borderId="14" xfId="0" applyFont="1" applyBorder="1" applyAlignment="1">
      <alignment horizontal="justify" vertical="center" wrapText="1"/>
    </xf>
    <xf numFmtId="3" fontId="5" fillId="2" borderId="6"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3" fontId="7" fillId="0" borderId="6" xfId="3" applyNumberFormat="1" applyFont="1" applyFill="1" applyBorder="1" applyAlignment="1">
      <alignment horizontal="right" vertical="center" wrapText="1"/>
    </xf>
    <xf numFmtId="3" fontId="7" fillId="0" borderId="10" xfId="3" applyNumberFormat="1" applyFont="1" applyFill="1" applyBorder="1" applyAlignment="1">
      <alignment horizontal="right" vertical="center" wrapText="1"/>
    </xf>
    <xf numFmtId="3" fontId="5" fillId="0" borderId="6" xfId="0" applyNumberFormat="1" applyFont="1" applyFill="1" applyBorder="1" applyAlignment="1">
      <alignment horizontal="left" vertical="center"/>
    </xf>
    <xf numFmtId="3" fontId="5" fillId="0" borderId="10" xfId="0" applyNumberFormat="1" applyFont="1" applyFill="1" applyBorder="1" applyAlignment="1">
      <alignment horizontal="left" vertical="center"/>
    </xf>
    <xf numFmtId="3" fontId="5" fillId="0" borderId="6" xfId="0" applyNumberFormat="1" applyFont="1" applyFill="1" applyBorder="1" applyAlignment="1">
      <alignment horizontal="center" vertical="center"/>
    </xf>
    <xf numFmtId="3" fontId="5" fillId="0" borderId="14" xfId="0" applyNumberFormat="1" applyFont="1" applyFill="1" applyBorder="1" applyAlignment="1">
      <alignment horizontal="center" vertical="center"/>
    </xf>
    <xf numFmtId="3" fontId="5" fillId="0" borderId="14" xfId="0" applyNumberFormat="1" applyFont="1" applyFill="1" applyBorder="1" applyAlignment="1">
      <alignment horizontal="left" vertical="center"/>
    </xf>
    <xf numFmtId="3" fontId="6" fillId="0" borderId="6" xfId="0" applyNumberFormat="1" applyFont="1" applyFill="1" applyBorder="1" applyAlignment="1">
      <alignment horizontal="left" vertical="center"/>
    </xf>
    <xf numFmtId="3" fontId="6" fillId="0" borderId="14" xfId="0" applyNumberFormat="1" applyFont="1" applyFill="1" applyBorder="1" applyAlignment="1">
      <alignment horizontal="left" vertical="center"/>
    </xf>
    <xf numFmtId="3" fontId="6" fillId="0" borderId="10" xfId="0" applyNumberFormat="1" applyFont="1" applyFill="1" applyBorder="1" applyAlignment="1">
      <alignment horizontal="left" vertical="center"/>
    </xf>
    <xf numFmtId="3" fontId="5" fillId="0" borderId="6" xfId="0" applyNumberFormat="1" applyFont="1" applyFill="1" applyBorder="1" applyAlignment="1">
      <alignment horizontal="justify" vertical="center" wrapText="1"/>
    </xf>
    <xf numFmtId="3" fontId="5" fillId="0" borderId="14" xfId="0" applyNumberFormat="1" applyFont="1" applyFill="1" applyBorder="1" applyAlignment="1">
      <alignment horizontal="justify" vertical="center" wrapText="1"/>
    </xf>
    <xf numFmtId="3" fontId="5" fillId="0" borderId="10" xfId="0" applyNumberFormat="1" applyFont="1" applyFill="1" applyBorder="1" applyAlignment="1">
      <alignment horizontal="justify" vertical="center" wrapText="1"/>
    </xf>
    <xf numFmtId="3" fontId="5" fillId="0" borderId="6" xfId="0" applyNumberFormat="1" applyFont="1" applyFill="1" applyBorder="1" applyAlignment="1">
      <alignment horizontal="left" vertical="center" wrapText="1"/>
    </xf>
    <xf numFmtId="3" fontId="5" fillId="0" borderId="14" xfId="0" applyNumberFormat="1" applyFont="1" applyFill="1" applyBorder="1" applyAlignment="1">
      <alignment horizontal="left" vertical="center" wrapText="1"/>
    </xf>
    <xf numFmtId="3" fontId="5" fillId="0" borderId="10" xfId="0" applyNumberFormat="1" applyFont="1" applyFill="1" applyBorder="1" applyAlignment="1">
      <alignment horizontal="left" vertical="center" wrapText="1"/>
    </xf>
    <xf numFmtId="0" fontId="5" fillId="0" borderId="6"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2" borderId="6" xfId="0" applyNumberFormat="1" applyFont="1" applyFill="1" applyBorder="1" applyAlignment="1">
      <alignment horizontal="justify" vertical="center" wrapText="1"/>
    </xf>
    <xf numFmtId="0" fontId="5" fillId="2" borderId="14" xfId="0" applyNumberFormat="1" applyFont="1" applyFill="1" applyBorder="1" applyAlignment="1">
      <alignment horizontal="justify" vertical="center" wrapText="1"/>
    </xf>
    <xf numFmtId="0" fontId="5" fillId="2" borderId="10" xfId="0" applyNumberFormat="1" applyFont="1" applyFill="1" applyBorder="1" applyAlignment="1">
      <alignment horizontal="justify"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2" borderId="14" xfId="0" applyNumberFormat="1" applyFont="1" applyFill="1" applyBorder="1" applyAlignment="1">
      <alignment horizontal="center" vertical="center" wrapText="1"/>
    </xf>
    <xf numFmtId="0" fontId="5" fillId="0" borderId="6" xfId="0" applyNumberFormat="1" applyFont="1" applyFill="1" applyBorder="1" applyAlignment="1">
      <alignment horizontal="justify" vertical="center" wrapText="1"/>
    </xf>
    <xf numFmtId="0" fontId="5" fillId="0" borderId="10" xfId="0" applyNumberFormat="1"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19" xfId="0" applyFont="1" applyFill="1" applyBorder="1" applyAlignment="1">
      <alignment horizontal="justify" vertical="center" wrapText="1"/>
    </xf>
    <xf numFmtId="0" fontId="5" fillId="2" borderId="6" xfId="0" applyFont="1" applyFill="1" applyBorder="1" applyAlignment="1">
      <alignment horizontal="justify" vertical="center"/>
    </xf>
    <xf numFmtId="0" fontId="5" fillId="2" borderId="10" xfId="0" applyFont="1" applyFill="1" applyBorder="1" applyAlignment="1">
      <alignment horizontal="justify" vertical="center"/>
    </xf>
    <xf numFmtId="16" fontId="5" fillId="2" borderId="6" xfId="0" applyNumberFormat="1" applyFont="1" applyFill="1" applyBorder="1" applyAlignment="1">
      <alignment horizontal="center" vertical="center" wrapText="1"/>
    </xf>
    <xf numFmtId="16" fontId="5" fillId="2" borderId="10" xfId="0" applyNumberFormat="1" applyFont="1" applyFill="1" applyBorder="1" applyAlignment="1">
      <alignment horizontal="center" vertical="center" wrapText="1"/>
    </xf>
    <xf numFmtId="16" fontId="5" fillId="0" borderId="6" xfId="0" applyNumberFormat="1" applyFont="1" applyFill="1" applyBorder="1" applyAlignment="1">
      <alignment horizontal="center" vertical="center" wrapText="1"/>
    </xf>
    <xf numFmtId="16" fontId="5" fillId="0" borderId="14" xfId="0" applyNumberFormat="1" applyFont="1" applyFill="1" applyBorder="1" applyAlignment="1">
      <alignment horizontal="center" vertical="center" wrapText="1"/>
    </xf>
    <xf numFmtId="16" fontId="5" fillId="0" borderId="10" xfId="0" applyNumberFormat="1" applyFont="1" applyFill="1" applyBorder="1" applyAlignment="1">
      <alignment horizontal="center" vertical="center" wrapText="1"/>
    </xf>
    <xf numFmtId="0" fontId="5" fillId="0" borderId="6" xfId="0" applyNumberFormat="1" applyFont="1" applyFill="1" applyBorder="1" applyAlignment="1">
      <alignment horizontal="justify" vertical="center"/>
    </xf>
    <xf numFmtId="0" fontId="5" fillId="0" borderId="14" xfId="0" applyNumberFormat="1" applyFont="1" applyFill="1" applyBorder="1" applyAlignment="1">
      <alignment horizontal="justify" vertical="center"/>
    </xf>
    <xf numFmtId="0" fontId="5" fillId="0" borderId="10" xfId="0" applyNumberFormat="1" applyFont="1" applyFill="1" applyBorder="1" applyAlignment="1">
      <alignment horizontal="justify" vertical="center"/>
    </xf>
    <xf numFmtId="0" fontId="5" fillId="0" borderId="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10" fontId="5" fillId="0" borderId="14" xfId="0"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170" fontId="5" fillId="0" borderId="6" xfId="2" applyNumberFormat="1" applyFont="1" applyFill="1" applyBorder="1" applyAlignment="1">
      <alignment horizontal="justify" vertical="center" wrapText="1"/>
    </xf>
    <xf numFmtId="170" fontId="5" fillId="0" borderId="14" xfId="2" applyNumberFormat="1" applyFont="1" applyFill="1" applyBorder="1" applyAlignment="1">
      <alignment horizontal="justify" vertical="center" wrapText="1"/>
    </xf>
    <xf numFmtId="170" fontId="5" fillId="0" borderId="10" xfId="2" applyNumberFormat="1" applyFont="1" applyFill="1" applyBorder="1" applyAlignment="1">
      <alignment horizontal="justify" vertical="center" wrapText="1"/>
    </xf>
    <xf numFmtId="0" fontId="5" fillId="0" borderId="14" xfId="0" applyNumberFormat="1" applyFont="1" applyFill="1" applyBorder="1" applyAlignment="1">
      <alignment horizontal="justify" vertical="center" wrapText="1"/>
    </xf>
    <xf numFmtId="0" fontId="12" fillId="41" borderId="3" xfId="0" applyFont="1" applyFill="1" applyBorder="1" applyAlignment="1">
      <alignment horizontal="center" vertical="center"/>
    </xf>
    <xf numFmtId="0" fontId="12" fillId="41" borderId="3" xfId="0" applyFont="1" applyFill="1" applyBorder="1" applyAlignment="1">
      <alignment horizontal="center" vertical="center" wrapText="1"/>
    </xf>
    <xf numFmtId="0" fontId="3" fillId="0" borderId="7" xfId="0" applyFont="1" applyFill="1" applyBorder="1" applyAlignment="1">
      <alignment horizontal="center" vertical="center"/>
    </xf>
  </cellXfs>
  <cellStyles count="1363">
    <cellStyle name="‡" xfId="24"/>
    <cellStyle name="20% - Accent1" xfId="25"/>
    <cellStyle name="20% - Accent1 2" xfId="26"/>
    <cellStyle name="20% - Accent2" xfId="27"/>
    <cellStyle name="20% - Accent2 2" xfId="28"/>
    <cellStyle name="20% - Accent3" xfId="29"/>
    <cellStyle name="20% - Accent3 2" xfId="30"/>
    <cellStyle name="20% - Accent4" xfId="31"/>
    <cellStyle name="20% - Accent4 2" xfId="32"/>
    <cellStyle name="20% - Accent5" xfId="33"/>
    <cellStyle name="20% - Accent5 2" xfId="34"/>
    <cellStyle name="20% - Accent6" xfId="35"/>
    <cellStyle name="20% - Accent6 2" xfId="36"/>
    <cellStyle name="20% - Énfasis1 2" xfId="37"/>
    <cellStyle name="20% - Énfasis1 3" xfId="38"/>
    <cellStyle name="20% - Énfasis2 2" xfId="39"/>
    <cellStyle name="20% - Énfasis2 3" xfId="40"/>
    <cellStyle name="20% - Énfasis3 2" xfId="41"/>
    <cellStyle name="20% - Énfasis3 3" xfId="42"/>
    <cellStyle name="20% - Énfasis4 2" xfId="43"/>
    <cellStyle name="20% - Énfasis4 3" xfId="44"/>
    <cellStyle name="20% - Énfasis5 2" xfId="45"/>
    <cellStyle name="20% - Énfasis5 3" xfId="46"/>
    <cellStyle name="20% - Énfasis6 2" xfId="47"/>
    <cellStyle name="20% - Énfasis6 3" xfId="48"/>
    <cellStyle name="40% - Accent1" xfId="49"/>
    <cellStyle name="40% - Accent1 2" xfId="50"/>
    <cellStyle name="40% - Accent2" xfId="51"/>
    <cellStyle name="40% - Accent2 2" xfId="52"/>
    <cellStyle name="40% - Accent3" xfId="53"/>
    <cellStyle name="40% - Accent3 2" xfId="54"/>
    <cellStyle name="40% - Accent4" xfId="55"/>
    <cellStyle name="40% - Accent4 2" xfId="56"/>
    <cellStyle name="40% - Accent5" xfId="57"/>
    <cellStyle name="40% - Accent5 2" xfId="58"/>
    <cellStyle name="40% - Accent6" xfId="59"/>
    <cellStyle name="40% - Accent6 2" xfId="60"/>
    <cellStyle name="40% - Énfasis1 2" xfId="61"/>
    <cellStyle name="40% - Énfasis1 3" xfId="62"/>
    <cellStyle name="40% - Énfasis2 2" xfId="63"/>
    <cellStyle name="40% - Énfasis2 3" xfId="64"/>
    <cellStyle name="40% - Énfasis3 2" xfId="65"/>
    <cellStyle name="40% - Énfasis3 3" xfId="66"/>
    <cellStyle name="40% - Énfasis4 2" xfId="67"/>
    <cellStyle name="40% - Énfasis4 3" xfId="68"/>
    <cellStyle name="40% - Énfasis5 2" xfId="69"/>
    <cellStyle name="40% - Énfasis5 3" xfId="70"/>
    <cellStyle name="40% - Énfasis6 2" xfId="71"/>
    <cellStyle name="40% - Énfasis6 3" xfId="72"/>
    <cellStyle name="60% - Accent1" xfId="73"/>
    <cellStyle name="60% - Accent2" xfId="74"/>
    <cellStyle name="60% - Accent3" xfId="75"/>
    <cellStyle name="60% - Accent4" xfId="76"/>
    <cellStyle name="60% - Accent5" xfId="77"/>
    <cellStyle name="60% - Accent6" xfId="78"/>
    <cellStyle name="60% - Énfasis1 2" xfId="79"/>
    <cellStyle name="60% - Énfasis1 3" xfId="80"/>
    <cellStyle name="60% - Énfasis2 2" xfId="81"/>
    <cellStyle name="60% - Énfasis2 3" xfId="82"/>
    <cellStyle name="60% - Énfasis3 2" xfId="83"/>
    <cellStyle name="60% - Énfasis3 3" xfId="84"/>
    <cellStyle name="60% - Énfasis4 2" xfId="85"/>
    <cellStyle name="60% - Énfasis4 3" xfId="86"/>
    <cellStyle name="60% - Énfasis5 2" xfId="87"/>
    <cellStyle name="60% - Énfasis5 3" xfId="88"/>
    <cellStyle name="60% - Énfasis6 2" xfId="89"/>
    <cellStyle name="60% - Énfasis6 3" xfId="90"/>
    <cellStyle name="Accent1" xfId="91"/>
    <cellStyle name="Accent2" xfId="92"/>
    <cellStyle name="Accent3" xfId="93"/>
    <cellStyle name="Accent4" xfId="94"/>
    <cellStyle name="Accent5" xfId="95"/>
    <cellStyle name="Accent6" xfId="96"/>
    <cellStyle name="Bad" xfId="97"/>
    <cellStyle name="Buena 2" xfId="98"/>
    <cellStyle name="Buena 3" xfId="99"/>
    <cellStyle name="Calculation" xfId="100"/>
    <cellStyle name="Calculation 10" xfId="486"/>
    <cellStyle name="Calculation 10 2" xfId="1066"/>
    <cellStyle name="Calculation 11" xfId="604"/>
    <cellStyle name="Calculation 11 2" xfId="1166"/>
    <cellStyle name="Calculation 12" xfId="616"/>
    <cellStyle name="Calculation 12 2" xfId="1177"/>
    <cellStyle name="Calculation 13" xfId="548"/>
    <cellStyle name="Calculation 13 2" xfId="1121"/>
    <cellStyle name="Calculation 14" xfId="648"/>
    <cellStyle name="Calculation 14 2" xfId="1205"/>
    <cellStyle name="Calculation 15" xfId="659"/>
    <cellStyle name="Calculation 15 2" xfId="1214"/>
    <cellStyle name="Calculation 16" xfId="670"/>
    <cellStyle name="Calculation 16 2" xfId="1222"/>
    <cellStyle name="Calculation 17" xfId="681"/>
    <cellStyle name="Calculation 17 2" xfId="1231"/>
    <cellStyle name="Calculation 18" xfId="617"/>
    <cellStyle name="Calculation 18 2" xfId="1178"/>
    <cellStyle name="Calculation 19" xfId="710"/>
    <cellStyle name="Calculation 19 2" xfId="1255"/>
    <cellStyle name="Calculation 2" xfId="345"/>
    <cellStyle name="Calculation 2 2" xfId="935"/>
    <cellStyle name="Calculation 20" xfId="720"/>
    <cellStyle name="Calculation 20 2" xfId="1264"/>
    <cellStyle name="Calculation 21" xfId="730"/>
    <cellStyle name="Calculation 21 2" xfId="1272"/>
    <cellStyle name="Calculation 22" xfId="695"/>
    <cellStyle name="Calculation 22 2" xfId="1242"/>
    <cellStyle name="Calculation 23" xfId="754"/>
    <cellStyle name="Calculation 23 2" xfId="1291"/>
    <cellStyle name="Calculation 24" xfId="711"/>
    <cellStyle name="Calculation 24 2" xfId="1256"/>
    <cellStyle name="Calculation 25" xfId="782"/>
    <cellStyle name="Calculation 25 2" xfId="1315"/>
    <cellStyle name="Calculation 26" xfId="791"/>
    <cellStyle name="Calculation 26 2" xfId="1322"/>
    <cellStyle name="Calculation 27" xfId="800"/>
    <cellStyle name="Calculation 27 2" xfId="1327"/>
    <cellStyle name="Calculation 28" xfId="807"/>
    <cellStyle name="Calculation 28 2" xfId="1332"/>
    <cellStyle name="Calculation 29" xfId="814"/>
    <cellStyle name="Calculation 29 2" xfId="1337"/>
    <cellStyle name="Calculation 3" xfId="483"/>
    <cellStyle name="Calculation 3 2" xfId="1063"/>
    <cellStyle name="Calculation 30" xfId="820"/>
    <cellStyle name="Calculation 30 2" xfId="1342"/>
    <cellStyle name="Calculation 31" xfId="826"/>
    <cellStyle name="Calculation 31 2" xfId="1346"/>
    <cellStyle name="Calculation 32" xfId="831"/>
    <cellStyle name="Calculation 32 2" xfId="1350"/>
    <cellStyle name="Calculation 33" xfId="836"/>
    <cellStyle name="Calculation 33 2" xfId="1353"/>
    <cellStyle name="Calculation 34" xfId="840"/>
    <cellStyle name="Calculation 34 2" xfId="1355"/>
    <cellStyle name="Calculation 35" xfId="843"/>
    <cellStyle name="Calculation 35 2" xfId="1357"/>
    <cellStyle name="Calculation 36" xfId="846"/>
    <cellStyle name="Calculation 36 2" xfId="1358"/>
    <cellStyle name="Calculation 37" xfId="860"/>
    <cellStyle name="Calculation 38" xfId="848"/>
    <cellStyle name="Calculation 4" xfId="499"/>
    <cellStyle name="Calculation 4 2" xfId="1078"/>
    <cellStyle name="Calculation 5" xfId="512"/>
    <cellStyle name="Calculation 5 2" xfId="1089"/>
    <cellStyle name="Calculation 6" xfId="428"/>
    <cellStyle name="Calculation 6 2" xfId="1012"/>
    <cellStyle name="Calculation 7" xfId="405"/>
    <cellStyle name="Calculation 7 2" xfId="990"/>
    <cellStyle name="Calculation 8" xfId="314"/>
    <cellStyle name="Calculation 8 2" xfId="906"/>
    <cellStyle name="Calculation 9" xfId="575"/>
    <cellStyle name="Calculation 9 2" xfId="1143"/>
    <cellStyle name="Cálculo 2" xfId="101"/>
    <cellStyle name="Cálculo 2 10" xfId="288"/>
    <cellStyle name="Cálculo 2 10 2" xfId="881"/>
    <cellStyle name="Cálculo 2 11" xfId="393"/>
    <cellStyle name="Cálculo 2 11 2" xfId="979"/>
    <cellStyle name="Cálculo 2 12" xfId="380"/>
    <cellStyle name="Cálculo 2 12 2" xfId="968"/>
    <cellStyle name="Cálculo 2 13" xfId="367"/>
    <cellStyle name="Cálculo 2 13 2" xfId="956"/>
    <cellStyle name="Cálculo 2 14" xfId="456"/>
    <cellStyle name="Cálculo 2 14 2" xfId="1036"/>
    <cellStyle name="Cálculo 2 15" xfId="414"/>
    <cellStyle name="Cálculo 2 15 2" xfId="999"/>
    <cellStyle name="Cálculo 2 16" xfId="627"/>
    <cellStyle name="Cálculo 2 16 2" xfId="1185"/>
    <cellStyle name="Cálculo 2 17" xfId="530"/>
    <cellStyle name="Cálculo 2 17 2" xfId="1105"/>
    <cellStyle name="Cálculo 2 18" xfId="633"/>
    <cellStyle name="Cálculo 2 18 2" xfId="1191"/>
    <cellStyle name="Cálculo 2 19" xfId="494"/>
    <cellStyle name="Cálculo 2 19 2" xfId="1073"/>
    <cellStyle name="Cálculo 2 2" xfId="346"/>
    <cellStyle name="Cálculo 2 2 2" xfId="936"/>
    <cellStyle name="Cálculo 2 20" xfId="310"/>
    <cellStyle name="Cálculo 2 20 2" xfId="903"/>
    <cellStyle name="Cálculo 2 21" xfId="690"/>
    <cellStyle name="Cálculo 2 21 2" xfId="1237"/>
    <cellStyle name="Cálculo 2 22" xfId="22"/>
    <cellStyle name="Cálculo 2 22 2" xfId="858"/>
    <cellStyle name="Cálculo 2 23" xfId="620"/>
    <cellStyle name="Cálculo 2 23 2" xfId="1181"/>
    <cellStyle name="Cálculo 2 24" xfId="552"/>
    <cellStyle name="Cálculo 2 24 2" xfId="1125"/>
    <cellStyle name="Cálculo 2 25" xfId="677"/>
    <cellStyle name="Cálculo 2 25 2" xfId="1228"/>
    <cellStyle name="Cálculo 2 26" xfId="460"/>
    <cellStyle name="Cálculo 2 26 2" xfId="1040"/>
    <cellStyle name="Cálculo 2 27" xfId="420"/>
    <cellStyle name="Cálculo 2 27 2" xfId="1005"/>
    <cellStyle name="Cálculo 2 28" xfId="708"/>
    <cellStyle name="Cálculo 2 28 2" xfId="1253"/>
    <cellStyle name="Cálculo 2 29" xfId="376"/>
    <cellStyle name="Cálculo 2 29 2" xfId="964"/>
    <cellStyle name="Cálculo 2 3" xfId="412"/>
    <cellStyle name="Cálculo 2 3 2" xfId="997"/>
    <cellStyle name="Cálculo 2 30" xfId="700"/>
    <cellStyle name="Cálculo 2 30 2" xfId="1245"/>
    <cellStyle name="Cálculo 2 31" xfId="701"/>
    <cellStyle name="Cálculo 2 31 2" xfId="1246"/>
    <cellStyle name="Cálculo 2 32" xfId="783"/>
    <cellStyle name="Cálculo 2 32 2" xfId="1316"/>
    <cellStyle name="Cálculo 2 33" xfId="792"/>
    <cellStyle name="Cálculo 2 33 2" xfId="1323"/>
    <cellStyle name="Cálculo 2 34" xfId="801"/>
    <cellStyle name="Cálculo 2 34 2" xfId="1328"/>
    <cellStyle name="Cálculo 2 35" xfId="808"/>
    <cellStyle name="Cálculo 2 35 2" xfId="1333"/>
    <cellStyle name="Cálculo 2 36" xfId="815"/>
    <cellStyle name="Cálculo 2 36 2" xfId="1338"/>
    <cellStyle name="Cálculo 2 37" xfId="861"/>
    <cellStyle name="Cálculo 2 38" xfId="821"/>
    <cellStyle name="Cálculo 2 4" xfId="355"/>
    <cellStyle name="Cálculo 2 4 2" xfId="944"/>
    <cellStyle name="Cálculo 2 5" xfId="286"/>
    <cellStyle name="Cálculo 2 5 2" xfId="880"/>
    <cellStyle name="Cálculo 2 6" xfId="369"/>
    <cellStyle name="Cálculo 2 6 2" xfId="958"/>
    <cellStyle name="Cálculo 2 7" xfId="520"/>
    <cellStyle name="Cálculo 2 7 2" xfId="1095"/>
    <cellStyle name="Cálculo 2 8" xfId="472"/>
    <cellStyle name="Cálculo 2 8 2" xfId="1052"/>
    <cellStyle name="Cálculo 2 9" xfId="503"/>
    <cellStyle name="Cálculo 2 9 2" xfId="1081"/>
    <cellStyle name="Cálculo 3" xfId="102"/>
    <cellStyle name="Cálculo 3 10" xfId="461"/>
    <cellStyle name="Cálculo 3 10 2" xfId="1041"/>
    <cellStyle name="Cálculo 3 11" xfId="392"/>
    <cellStyle name="Cálculo 3 11 2" xfId="978"/>
    <cellStyle name="Cálculo 3 12" xfId="565"/>
    <cellStyle name="Cálculo 3 12 2" xfId="1134"/>
    <cellStyle name="Cálculo 3 13" xfId="511"/>
    <cellStyle name="Cálculo 3 13 2" xfId="1088"/>
    <cellStyle name="Cálculo 3 14" xfId="324"/>
    <cellStyle name="Cálculo 3 14 2" xfId="914"/>
    <cellStyle name="Cálculo 3 15" xfId="434"/>
    <cellStyle name="Cálculo 3 15 2" xfId="1017"/>
    <cellStyle name="Cálculo 3 16" xfId="555"/>
    <cellStyle name="Cálculo 3 16 2" xfId="1126"/>
    <cellStyle name="Cálculo 3 17" xfId="536"/>
    <cellStyle name="Cálculo 3 17 2" xfId="1110"/>
    <cellStyle name="Cálculo 3 18" xfId="301"/>
    <cellStyle name="Cálculo 3 18 2" xfId="894"/>
    <cellStyle name="Cálculo 3 19" xfId="477"/>
    <cellStyle name="Cálculo 3 19 2" xfId="1057"/>
    <cellStyle name="Cálculo 3 2" xfId="347"/>
    <cellStyle name="Cálculo 3 2 2" xfId="937"/>
    <cellStyle name="Cálculo 3 20" xfId="557"/>
    <cellStyle name="Cálculo 3 20 2" xfId="1128"/>
    <cellStyle name="Cálculo 3 21" xfId="619"/>
    <cellStyle name="Cálculo 3 21 2" xfId="1180"/>
    <cellStyle name="Cálculo 3 22" xfId="518"/>
    <cellStyle name="Cálculo 3 22 2" xfId="1094"/>
    <cellStyle name="Cálculo 3 23" xfId="600"/>
    <cellStyle name="Cálculo 3 23 2" xfId="1162"/>
    <cellStyle name="Cálculo 3 24" xfId="507"/>
    <cellStyle name="Cálculo 3 24 2" xfId="1084"/>
    <cellStyle name="Cálculo 3 25" xfId="717"/>
    <cellStyle name="Cálculo 3 25 2" xfId="1261"/>
    <cellStyle name="Cálculo 3 26" xfId="666"/>
    <cellStyle name="Cálculo 3 26 2" xfId="1218"/>
    <cellStyle name="Cálculo 3 27" xfId="675"/>
    <cellStyle name="Cálculo 3 27 2" xfId="1227"/>
    <cellStyle name="Cálculo 3 28" xfId="757"/>
    <cellStyle name="Cálculo 3 28 2" xfId="1294"/>
    <cellStyle name="Cálculo 3 29" xfId="682"/>
    <cellStyle name="Cálculo 3 29 2" xfId="1232"/>
    <cellStyle name="Cálculo 3 3" xfId="411"/>
    <cellStyle name="Cálculo 3 3 2" xfId="996"/>
    <cellStyle name="Cálculo 3 30" xfId="759"/>
    <cellStyle name="Cálculo 3 30 2" xfId="1295"/>
    <cellStyle name="Cálculo 3 31" xfId="767"/>
    <cellStyle name="Cálculo 3 31 2" xfId="1302"/>
    <cellStyle name="Cálculo 3 32" xfId="728"/>
    <cellStyle name="Cálculo 3 32 2" xfId="1270"/>
    <cellStyle name="Cálculo 3 33" xfId="702"/>
    <cellStyle name="Cálculo 3 33 2" xfId="1247"/>
    <cellStyle name="Cálculo 3 34" xfId="752"/>
    <cellStyle name="Cálculo 3 34 2" xfId="1289"/>
    <cellStyle name="Cálculo 3 35" xfId="770"/>
    <cellStyle name="Cálculo 3 35 2" xfId="1305"/>
    <cellStyle name="Cálculo 3 36" xfId="495"/>
    <cellStyle name="Cálculo 3 36 2" xfId="1074"/>
    <cellStyle name="Cálculo 3 37" xfId="862"/>
    <cellStyle name="Cálculo 3 38" xfId="745"/>
    <cellStyle name="Cálculo 3 4" xfId="356"/>
    <cellStyle name="Cálculo 3 4 2" xfId="945"/>
    <cellStyle name="Cálculo 3 5" xfId="404"/>
    <cellStyle name="Cálculo 3 5 2" xfId="989"/>
    <cellStyle name="Cálculo 3 6" xfId="21"/>
    <cellStyle name="Cálculo 3 6 2" xfId="857"/>
    <cellStyle name="Cálculo 3 7" xfId="403"/>
    <cellStyle name="Cálculo 3 7 2" xfId="988"/>
    <cellStyle name="Cálculo 3 8" xfId="478"/>
    <cellStyle name="Cálculo 3 8 2" xfId="1058"/>
    <cellStyle name="Cálculo 3 9" xfId="399"/>
    <cellStyle name="Cálculo 3 9 2" xfId="984"/>
    <cellStyle name="Celda de comprobación 2" xfId="103"/>
    <cellStyle name="Celda de comprobación 3" xfId="104"/>
    <cellStyle name="Celda vinculada 2" xfId="105"/>
    <cellStyle name="Celda vinculada 3" xfId="106"/>
    <cellStyle name="Check Cell" xfId="107"/>
    <cellStyle name="Encabezado 4 2" xfId="108"/>
    <cellStyle name="Encabezado 4 3" xfId="109"/>
    <cellStyle name="Énfasis1 2" xfId="110"/>
    <cellStyle name="Énfasis1 3" xfId="111"/>
    <cellStyle name="Énfasis2 2" xfId="112"/>
    <cellStyle name="Énfasis2 3" xfId="113"/>
    <cellStyle name="Énfasis3 2" xfId="114"/>
    <cellStyle name="Énfasis3 3" xfId="115"/>
    <cellStyle name="Énfasis4 2" xfId="116"/>
    <cellStyle name="Énfasis4 3" xfId="117"/>
    <cellStyle name="Énfasis5 2" xfId="118"/>
    <cellStyle name="Énfasis5 3" xfId="119"/>
    <cellStyle name="Énfasis6 2" xfId="120"/>
    <cellStyle name="Énfasis6 3" xfId="121"/>
    <cellStyle name="Entrada 2" xfId="122"/>
    <cellStyle name="Entrada 2 10" xfId="523"/>
    <cellStyle name="Entrada 2 10 2" xfId="1098"/>
    <cellStyle name="Entrada 2 11" xfId="438"/>
    <cellStyle name="Entrada 2 11 2" xfId="1021"/>
    <cellStyle name="Entrada 2 12" xfId="570"/>
    <cellStyle name="Entrada 2 12 2" xfId="1138"/>
    <cellStyle name="Entrada 2 13" xfId="533"/>
    <cellStyle name="Entrada 2 13 2" xfId="1107"/>
    <cellStyle name="Entrada 2 14" xfId="579"/>
    <cellStyle name="Entrada 2 14 2" xfId="1145"/>
    <cellStyle name="Entrada 2 15" xfId="567"/>
    <cellStyle name="Entrada 2 15 2" xfId="1136"/>
    <cellStyle name="Entrada 2 16" xfId="497"/>
    <cellStyle name="Entrada 2 16 2" xfId="1076"/>
    <cellStyle name="Entrada 2 17" xfId="641"/>
    <cellStyle name="Entrada 2 17 2" xfId="1198"/>
    <cellStyle name="Entrada 2 18" xfId="306"/>
    <cellStyle name="Entrada 2 18 2" xfId="899"/>
    <cellStyle name="Entrada 2 19" xfId="586"/>
    <cellStyle name="Entrada 2 19 2" xfId="1149"/>
    <cellStyle name="Entrada 2 2" xfId="361"/>
    <cellStyle name="Entrada 2 2 2" xfId="950"/>
    <cellStyle name="Entrada 2 20" xfId="654"/>
    <cellStyle name="Entrada 2 20 2" xfId="1210"/>
    <cellStyle name="Entrada 2 21" xfId="378"/>
    <cellStyle name="Entrada 2 21 2" xfId="966"/>
    <cellStyle name="Entrada 2 22" xfId="740"/>
    <cellStyle name="Entrada 2 22 2" xfId="1281"/>
    <cellStyle name="Entrada 2 23" xfId="729"/>
    <cellStyle name="Entrada 2 23 2" xfId="1271"/>
    <cellStyle name="Entrada 2 24" xfId="337"/>
    <cellStyle name="Entrada 2 24 2" xfId="927"/>
    <cellStyle name="Entrada 2 25" xfId="638"/>
    <cellStyle name="Entrada 2 25 2" xfId="1196"/>
    <cellStyle name="Entrada 2 26" xfId="713"/>
    <cellStyle name="Entrada 2 26 2" xfId="1258"/>
    <cellStyle name="Entrada 2 27" xfId="334"/>
    <cellStyle name="Entrada 2 27 2" xfId="924"/>
    <cellStyle name="Entrada 2 28" xfId="776"/>
    <cellStyle name="Entrada 2 28 2" xfId="1310"/>
    <cellStyle name="Entrada 2 29" xfId="724"/>
    <cellStyle name="Entrada 2 29 2" xfId="1268"/>
    <cellStyle name="Entrada 2 3" xfId="395"/>
    <cellStyle name="Entrada 2 3 2" xfId="981"/>
    <cellStyle name="Entrada 2 30" xfId="747"/>
    <cellStyle name="Entrada 2 30 2" xfId="1285"/>
    <cellStyle name="Entrada 2 31" xfId="715"/>
    <cellStyle name="Entrada 2 31 2" xfId="1259"/>
    <cellStyle name="Entrada 2 32" xfId="390"/>
    <cellStyle name="Entrada 2 32 2" xfId="977"/>
    <cellStyle name="Entrada 2 33" xfId="537"/>
    <cellStyle name="Entrada 2 33 2" xfId="1111"/>
    <cellStyle name="Entrada 2 34" xfId="416"/>
    <cellStyle name="Entrada 2 34 2" xfId="1001"/>
    <cellStyle name="Entrada 2 35" xfId="734"/>
    <cellStyle name="Entrada 2 35 2" xfId="1276"/>
    <cellStyle name="Entrada 2 36" xfId="474"/>
    <cellStyle name="Entrada 2 36 2" xfId="1054"/>
    <cellStyle name="Entrada 2 37" xfId="863"/>
    <cellStyle name="Entrada 2 38" xfId="578"/>
    <cellStyle name="Entrada 2 4" xfId="467"/>
    <cellStyle name="Entrada 2 4 2" xfId="1047"/>
    <cellStyle name="Entrada 2 5" xfId="304"/>
    <cellStyle name="Entrada 2 5 2" xfId="897"/>
    <cellStyle name="Entrada 2 6" xfId="292"/>
    <cellStyle name="Entrada 2 6 2" xfId="885"/>
    <cellStyle name="Entrada 2 7" xfId="388"/>
    <cellStyle name="Entrada 2 7 2" xfId="975"/>
    <cellStyle name="Entrada 2 8" xfId="312"/>
    <cellStyle name="Entrada 2 8 2" xfId="904"/>
    <cellStyle name="Entrada 2 9" xfId="513"/>
    <cellStyle name="Entrada 2 9 2" xfId="1090"/>
    <cellStyle name="Entrada 3" xfId="123"/>
    <cellStyle name="Entrada 3 10" xfId="588"/>
    <cellStyle name="Entrada 3 10 2" xfId="1151"/>
    <cellStyle name="Entrada 3 11" xfId="23"/>
    <cellStyle name="Entrada 3 11 2" xfId="859"/>
    <cellStyle name="Entrada 3 12" xfId="550"/>
    <cellStyle name="Entrada 3 12 2" xfId="1123"/>
    <cellStyle name="Entrada 3 13" xfId="630"/>
    <cellStyle name="Entrada 3 13 2" xfId="1188"/>
    <cellStyle name="Entrada 3 14" xfId="471"/>
    <cellStyle name="Entrada 3 14 2" xfId="1051"/>
    <cellStyle name="Entrada 3 15" xfId="305"/>
    <cellStyle name="Entrada 3 15 2" xfId="898"/>
    <cellStyle name="Entrada 3 16" xfId="353"/>
    <cellStyle name="Entrada 3 16 2" xfId="942"/>
    <cellStyle name="Entrada 3 17" xfId="613"/>
    <cellStyle name="Entrada 3 17 2" xfId="1174"/>
    <cellStyle name="Entrada 3 18" xfId="693"/>
    <cellStyle name="Entrada 3 18 2" xfId="1240"/>
    <cellStyle name="Entrada 3 19" xfId="396"/>
    <cellStyle name="Entrada 3 19 2" xfId="982"/>
    <cellStyle name="Entrada 3 2" xfId="362"/>
    <cellStyle name="Entrada 3 2 2" xfId="951"/>
    <cellStyle name="Entrada 3 20" xfId="662"/>
    <cellStyle name="Entrada 3 20 2" xfId="1217"/>
    <cellStyle name="Entrada 3 21" xfId="608"/>
    <cellStyle name="Entrada 3 21 2" xfId="1170"/>
    <cellStyle name="Entrada 3 22" xfId="629"/>
    <cellStyle name="Entrada 3 22 2" xfId="1187"/>
    <cellStyle name="Entrada 3 23" xfId="357"/>
    <cellStyle name="Entrada 3 23 2" xfId="946"/>
    <cellStyle name="Entrada 3 24" xfId="697"/>
    <cellStyle name="Entrada 3 24 2" xfId="1243"/>
    <cellStyle name="Entrada 3 25" xfId="524"/>
    <cellStyle name="Entrada 3 25 2" xfId="1099"/>
    <cellStyle name="Entrada 3 26" xfId="763"/>
    <cellStyle name="Entrada 3 26 2" xfId="1299"/>
    <cellStyle name="Entrada 3 27" xfId="481"/>
    <cellStyle name="Entrada 3 27 2" xfId="1061"/>
    <cellStyle name="Entrada 3 28" xfId="348"/>
    <cellStyle name="Entrada 3 28 2" xfId="938"/>
    <cellStyle name="Entrada 3 29" xfId="731"/>
    <cellStyle name="Entrada 3 29 2" xfId="1273"/>
    <cellStyle name="Entrada 3 3" xfId="394"/>
    <cellStyle name="Entrada 3 3 2" xfId="980"/>
    <cellStyle name="Entrada 3 30" xfId="560"/>
    <cellStyle name="Entrada 3 30 2" xfId="1130"/>
    <cellStyle name="Entrada 3 31" xfId="529"/>
    <cellStyle name="Entrada 3 31 2" xfId="1104"/>
    <cellStyle name="Entrada 3 32" xfId="631"/>
    <cellStyle name="Entrada 3 32 2" xfId="1189"/>
    <cellStyle name="Entrada 3 33" xfId="726"/>
    <cellStyle name="Entrada 3 33 2" xfId="1269"/>
    <cellStyle name="Entrada 3 34" xfId="721"/>
    <cellStyle name="Entrada 3 34 2" xfId="1265"/>
    <cellStyle name="Entrada 3 35" xfId="768"/>
    <cellStyle name="Entrada 3 35 2" xfId="1303"/>
    <cellStyle name="Entrada 3 36" xfId="291"/>
    <cellStyle name="Entrada 3 36 2" xfId="884"/>
    <cellStyle name="Entrada 3 37" xfId="864"/>
    <cellStyle name="Entrada 3 38" xfId="727"/>
    <cellStyle name="Entrada 3 4" xfId="370"/>
    <cellStyle name="Entrada 3 4 2" xfId="959"/>
    <cellStyle name="Entrada 3 5" xfId="389"/>
    <cellStyle name="Entrada 3 5 2" xfId="976"/>
    <cellStyle name="Entrada 3 6" xfId="487"/>
    <cellStyle name="Entrada 3 6 2" xfId="1067"/>
    <cellStyle name="Entrada 3 7" xfId="546"/>
    <cellStyle name="Entrada 3 7 2" xfId="1119"/>
    <cellStyle name="Entrada 3 8" xfId="563"/>
    <cellStyle name="Entrada 3 8 2" xfId="1132"/>
    <cellStyle name="Entrada 3 9" xfId="488"/>
    <cellStyle name="Entrada 3 9 2" xfId="1068"/>
    <cellStyle name="Estilo 1" xfId="124"/>
    <cellStyle name="Estilo 1 2" xfId="125"/>
    <cellStyle name="Euro" xfId="126"/>
    <cellStyle name="Euro 2" xfId="127"/>
    <cellStyle name="Euro 2 2" xfId="128"/>
    <cellStyle name="Euro 2 3" xfId="129"/>
    <cellStyle name="Euro 3" xfId="130"/>
    <cellStyle name="Excel Built-in Normal" xfId="14"/>
    <cellStyle name="Excel Built-in Normal 2" xfId="245"/>
    <cellStyle name="Explanatory Text" xfId="131"/>
    <cellStyle name="Good" xfId="132"/>
    <cellStyle name="Heading 1" xfId="133"/>
    <cellStyle name="Heading 2" xfId="134"/>
    <cellStyle name="Heading 3" xfId="135"/>
    <cellStyle name="Heading 4" xfId="136"/>
    <cellStyle name="Incorrecto 2" xfId="137"/>
    <cellStyle name="Incorrecto 3" xfId="138"/>
    <cellStyle name="Input" xfId="139"/>
    <cellStyle name="Input 10" xfId="502"/>
    <cellStyle name="Input 10 2" xfId="1080"/>
    <cellStyle name="Input 11" xfId="415"/>
    <cellStyle name="Input 11 2" xfId="1000"/>
    <cellStyle name="Input 12" xfId="602"/>
    <cellStyle name="Input 12 2" xfId="1164"/>
    <cellStyle name="Input 13" xfId="592"/>
    <cellStyle name="Input 13 2" xfId="1155"/>
    <cellStyle name="Input 14" xfId="450"/>
    <cellStyle name="Input 14 2" xfId="1031"/>
    <cellStyle name="Input 15" xfId="646"/>
    <cellStyle name="Input 15 2" xfId="1203"/>
    <cellStyle name="Input 16" xfId="657"/>
    <cellStyle name="Input 16 2" xfId="1212"/>
    <cellStyle name="Input 17" xfId="667"/>
    <cellStyle name="Input 17 2" xfId="1219"/>
    <cellStyle name="Input 18" xfId="635"/>
    <cellStyle name="Input 18 2" xfId="1193"/>
    <cellStyle name="Input 19" xfId="637"/>
    <cellStyle name="Input 19 2" xfId="1195"/>
    <cellStyle name="Input 2" xfId="377"/>
    <cellStyle name="Input 2 2" xfId="965"/>
    <cellStyle name="Input 20" xfId="707"/>
    <cellStyle name="Input 20 2" xfId="1252"/>
    <cellStyle name="Input 21" xfId="719"/>
    <cellStyle name="Input 21 2" xfId="1263"/>
    <cellStyle name="Input 22" xfId="692"/>
    <cellStyle name="Input 22 2" xfId="1239"/>
    <cellStyle name="Input 23" xfId="722"/>
    <cellStyle name="Input 23 2" xfId="1266"/>
    <cellStyle name="Input 24" xfId="672"/>
    <cellStyle name="Input 24 2" xfId="1224"/>
    <cellStyle name="Input 25" xfId="387"/>
    <cellStyle name="Input 25 2" xfId="974"/>
    <cellStyle name="Input 26" xfId="780"/>
    <cellStyle name="Input 26 2" xfId="1313"/>
    <cellStyle name="Input 27" xfId="789"/>
    <cellStyle name="Input 27 2" xfId="1320"/>
    <cellStyle name="Input 28" xfId="798"/>
    <cellStyle name="Input 28 2" xfId="1325"/>
    <cellStyle name="Input 29" xfId="805"/>
    <cellStyle name="Input 29 2" xfId="1330"/>
    <cellStyle name="Input 3" xfId="384"/>
    <cellStyle name="Input 3 2" xfId="971"/>
    <cellStyle name="Input 30" xfId="812"/>
    <cellStyle name="Input 30 2" xfId="1335"/>
    <cellStyle name="Input 31" xfId="818"/>
    <cellStyle name="Input 31 2" xfId="1340"/>
    <cellStyle name="Input 32" xfId="824"/>
    <cellStyle name="Input 32 2" xfId="1344"/>
    <cellStyle name="Input 33" xfId="829"/>
    <cellStyle name="Input 33 2" xfId="1348"/>
    <cellStyle name="Input 34" xfId="834"/>
    <cellStyle name="Input 34 2" xfId="1351"/>
    <cellStyle name="Input 35" xfId="838"/>
    <cellStyle name="Input 35 2" xfId="1354"/>
    <cellStyle name="Input 36" xfId="842"/>
    <cellStyle name="Input 36 2" xfId="1356"/>
    <cellStyle name="Input 37" xfId="865"/>
    <cellStyle name="Input 38" xfId="845"/>
    <cellStyle name="Input 4" xfId="482"/>
    <cellStyle name="Input 4 2" xfId="1062"/>
    <cellStyle name="Input 5" xfId="496"/>
    <cellStyle name="Input 5 2" xfId="1075"/>
    <cellStyle name="Input 6" xfId="527"/>
    <cellStyle name="Input 6 2" xfId="1102"/>
    <cellStyle name="Input 7" xfId="385"/>
    <cellStyle name="Input 7 2" xfId="972"/>
    <cellStyle name="Input 8" xfId="551"/>
    <cellStyle name="Input 8 2" xfId="1124"/>
    <cellStyle name="Input 9" xfId="479"/>
    <cellStyle name="Input 9 2" xfId="1059"/>
    <cellStyle name="Linked Cell" xfId="140"/>
    <cellStyle name="Millares" xfId="1" builtinId="3"/>
    <cellStyle name="Millares [0]" xfId="1362" builtinId="6"/>
    <cellStyle name="Millares [0] 2" xfId="13"/>
    <cellStyle name="Millares [0] 2 2" xfId="275"/>
    <cellStyle name="Millares [0] 3" xfId="276"/>
    <cellStyle name="Millares [0] 4" xfId="269"/>
    <cellStyle name="Millares 10" xfId="141"/>
    <cellStyle name="Millares 11" xfId="142"/>
    <cellStyle name="Millares 12" xfId="143"/>
    <cellStyle name="Millares 13" xfId="287"/>
    <cellStyle name="Millares 14" xfId="453"/>
    <cellStyle name="Millares 15" xfId="318"/>
    <cellStyle name="Millares 16" xfId="144"/>
    <cellStyle name="Millares 17" xfId="145"/>
    <cellStyle name="Millares 18" xfId="146"/>
    <cellStyle name="Millares 19" xfId="147"/>
    <cellStyle name="Millares 2" xfId="2"/>
    <cellStyle name="Millares 2 10" xfId="148"/>
    <cellStyle name="Millares 2 11" xfId="149"/>
    <cellStyle name="Millares 2 12" xfId="150"/>
    <cellStyle name="Millares 2 13" xfId="151"/>
    <cellStyle name="Millares 2 2" xfId="152"/>
    <cellStyle name="Millares 2 2 2" xfId="153"/>
    <cellStyle name="Millares 2 2 3" xfId="246"/>
    <cellStyle name="Millares 2 3" xfId="154"/>
    <cellStyle name="Millares 2 3 2" xfId="155"/>
    <cellStyle name="Millares 2 3 3" xfId="247"/>
    <cellStyle name="Millares 2 4" xfId="156"/>
    <cellStyle name="Millares 2 4 2" xfId="273"/>
    <cellStyle name="Millares 2 5" xfId="157"/>
    <cellStyle name="Millares 2 5 2" xfId="271"/>
    <cellStyle name="Millares 2 6" xfId="158"/>
    <cellStyle name="Millares 2 7" xfId="159"/>
    <cellStyle name="Millares 2 8" xfId="160"/>
    <cellStyle name="Millares 2 9" xfId="161"/>
    <cellStyle name="Millares 20" xfId="162"/>
    <cellStyle name="Millares 21" xfId="163"/>
    <cellStyle name="Millares 22" xfId="164"/>
    <cellStyle name="Millares 23" xfId="165"/>
    <cellStyle name="Millares 24" xfId="166"/>
    <cellStyle name="Millares 25" xfId="167"/>
    <cellStyle name="Millares 26" xfId="168"/>
    <cellStyle name="Millares 27" xfId="169"/>
    <cellStyle name="Millares 28" xfId="170"/>
    <cellStyle name="Millares 29" xfId="171"/>
    <cellStyle name="Millares 3" xfId="8"/>
    <cellStyle name="Millares 3 2" xfId="172"/>
    <cellStyle name="Millares 3 3" xfId="173"/>
    <cellStyle name="Millares 3 4" xfId="174"/>
    <cellStyle name="Millares 3 5" xfId="175"/>
    <cellStyle name="Millares 3 6" xfId="20"/>
    <cellStyle name="Millares 3 7" xfId="1359"/>
    <cellStyle name="Millares 3 7 2" xfId="1360"/>
    <cellStyle name="Millares 30" xfId="176"/>
    <cellStyle name="Millares 31" xfId="177"/>
    <cellStyle name="Millares 32" xfId="427"/>
    <cellStyle name="Millares 33" xfId="433"/>
    <cellStyle name="Millares 34" xfId="541"/>
    <cellStyle name="Millares 35" xfId="559"/>
    <cellStyle name="Millares 36" xfId="440"/>
    <cellStyle name="Millares 37" xfId="583"/>
    <cellStyle name="Millares 38" xfId="553"/>
    <cellStyle name="Millares 39" xfId="562"/>
    <cellStyle name="Millares 4" xfId="7"/>
    <cellStyle name="Millares 4 2" xfId="178"/>
    <cellStyle name="Millares 4 3" xfId="179"/>
    <cellStyle name="Millares 4 4" xfId="180"/>
    <cellStyle name="Millares 4 5" xfId="272"/>
    <cellStyle name="Millares 4 6" xfId="15"/>
    <cellStyle name="Millares 4 7" xfId="852"/>
    <cellStyle name="Millares 40" xfId="626"/>
    <cellStyle name="Millares 41" xfId="375"/>
    <cellStyle name="Millares 42" xfId="398"/>
    <cellStyle name="Millares 43" xfId="622"/>
    <cellStyle name="Millares 44" xfId="391"/>
    <cellStyle name="Millares 45" xfId="689"/>
    <cellStyle name="Millares 46" xfId="664"/>
    <cellStyle name="Millares 47" xfId="382"/>
    <cellStyle name="Millares 48" xfId="685"/>
    <cellStyle name="Millares 49" xfId="311"/>
    <cellStyle name="Millares 5" xfId="181"/>
    <cellStyle name="Millares 5 2" xfId="182"/>
    <cellStyle name="Millares 5 3" xfId="183"/>
    <cellStyle name="Millares 5 4" xfId="270"/>
    <cellStyle name="Millares 50" xfId="441"/>
    <cellStyle name="Millares 51" xfId="501"/>
    <cellStyle name="Millares 52" xfId="746"/>
    <cellStyle name="Millares 53" xfId="655"/>
    <cellStyle name="Millares 54" xfId="696"/>
    <cellStyle name="Millares 55" xfId="679"/>
    <cellStyle name="Millares 56" xfId="751"/>
    <cellStyle name="Millares 57" xfId="514"/>
    <cellStyle name="Millares 58" xfId="775"/>
    <cellStyle name="Millares 59" xfId="576"/>
    <cellStyle name="Millares 6" xfId="6"/>
    <cellStyle name="Millares 6 2" xfId="184"/>
    <cellStyle name="Millares 60" xfId="777"/>
    <cellStyle name="Millares 61" xfId="786"/>
    <cellStyle name="Millares 62" xfId="795"/>
    <cellStyle name="Millares 63" xfId="803"/>
    <cellStyle name="Millares 64" xfId="851"/>
    <cellStyle name="Millares 65" xfId="810"/>
    <cellStyle name="Millares 7" xfId="185"/>
    <cellStyle name="Millares 8" xfId="186"/>
    <cellStyle name="Millares 9" xfId="187"/>
    <cellStyle name="Moneda [0]" xfId="1361" builtinId="7"/>
    <cellStyle name="Moneda [0] 2" xfId="244"/>
    <cellStyle name="Moneda [0] 2 2" xfId="274"/>
    <cellStyle name="Moneda [0] 2 3" xfId="279"/>
    <cellStyle name="Moneda [0] 3" xfId="278"/>
    <cellStyle name="Moneda 10" xfId="505"/>
    <cellStyle name="Moneda 11" xfId="519"/>
    <cellStyle name="Moneda 12" xfId="532"/>
    <cellStyle name="Moneda 13" xfId="554"/>
    <cellStyle name="Moneda 14" xfId="568"/>
    <cellStyle name="Moneda 15" xfId="582"/>
    <cellStyle name="Moneda 16" xfId="596"/>
    <cellStyle name="Moneda 17" xfId="610"/>
    <cellStyle name="Moneda 18" xfId="624"/>
    <cellStyle name="Moneda 19" xfId="639"/>
    <cellStyle name="Moneda 2" xfId="12"/>
    <cellStyle name="Moneda 2 2" xfId="188"/>
    <cellStyle name="Moneda 2 2 2" xfId="249"/>
    <cellStyle name="Moneda 2 2 3" xfId="866"/>
    <cellStyle name="Moneda 2 3" xfId="248"/>
    <cellStyle name="Moneda 2 4" xfId="855"/>
    <cellStyle name="Moneda 20" xfId="652"/>
    <cellStyle name="Moneda 21" xfId="665"/>
    <cellStyle name="Moneda 22" xfId="676"/>
    <cellStyle name="Moneda 23" xfId="687"/>
    <cellStyle name="Moneda 24" xfId="699"/>
    <cellStyle name="Moneda 25" xfId="714"/>
    <cellStyle name="Moneda 26" xfId="725"/>
    <cellStyle name="Moneda 27" xfId="735"/>
    <cellStyle name="Moneda 28" xfId="744"/>
    <cellStyle name="Moneda 29" xfId="758"/>
    <cellStyle name="Moneda 3" xfId="17"/>
    <cellStyle name="Moneda 30" xfId="766"/>
    <cellStyle name="Moneda 31" xfId="785"/>
    <cellStyle name="Moneda 32" xfId="794"/>
    <cellStyle name="Moneda 33" xfId="802"/>
    <cellStyle name="Moneda 34" xfId="809"/>
    <cellStyle name="Moneda 35" xfId="816"/>
    <cellStyle name="Moneda 36" xfId="822"/>
    <cellStyle name="Moneda 37" xfId="827"/>
    <cellStyle name="Moneda 38" xfId="832"/>
    <cellStyle name="Moneda 39" xfId="837"/>
    <cellStyle name="Moneda 4" xfId="250"/>
    <cellStyle name="Moneda 40" xfId="841"/>
    <cellStyle name="Moneda 41" xfId="844"/>
    <cellStyle name="Moneda 42" xfId="847"/>
    <cellStyle name="Moneda 43" xfId="849"/>
    <cellStyle name="Moneda 44" xfId="850"/>
    <cellStyle name="Moneda 5" xfId="189"/>
    <cellStyle name="Moneda 5 2" xfId="251"/>
    <cellStyle name="Moneda 6" xfId="252"/>
    <cellStyle name="Moneda 7" xfId="253"/>
    <cellStyle name="Moneda 7 2" xfId="254"/>
    <cellStyle name="Moneda 7 3" xfId="255"/>
    <cellStyle name="Moneda 8" xfId="280"/>
    <cellStyle name="Moneda 9" xfId="491"/>
    <cellStyle name="Neutral 2" xfId="190"/>
    <cellStyle name="Neutral 3" xfId="191"/>
    <cellStyle name="Normal" xfId="0" builtinId="0"/>
    <cellStyle name="Normal 12" xfId="192"/>
    <cellStyle name="Normal 2" xfId="5"/>
    <cellStyle name="Normal 2 2" xfId="19"/>
    <cellStyle name="Normal 2 2 2" xfId="9"/>
    <cellStyle name="Normal 2 2 2 2" xfId="277"/>
    <cellStyle name="Normal 2 2 2 3" xfId="193"/>
    <cellStyle name="Normal 2 2 3" xfId="256"/>
    <cellStyle name="Normal 2 3" xfId="194"/>
    <cellStyle name="Normal 2 3 2" xfId="257"/>
    <cellStyle name="Normal 2 4" xfId="195"/>
    <cellStyle name="Normal 2 5" xfId="196"/>
    <cellStyle name="Normal 2 6" xfId="197"/>
    <cellStyle name="Normal 3" xfId="198"/>
    <cellStyle name="Normal 3 2" xfId="199"/>
    <cellStyle name="Normal 3 3" xfId="258"/>
    <cellStyle name="Normal 4" xfId="4"/>
    <cellStyle name="Normal 4 10" xfId="201"/>
    <cellStyle name="Normal 4 11" xfId="259"/>
    <cellStyle name="Normal 4 12" xfId="200"/>
    <cellStyle name="Normal 4 2" xfId="202"/>
    <cellStyle name="Normal 4 3" xfId="203"/>
    <cellStyle name="Normal 4 4" xfId="204"/>
    <cellStyle name="Normal 4 5" xfId="205"/>
    <cellStyle name="Normal 4 6" xfId="206"/>
    <cellStyle name="Normal 4 7" xfId="207"/>
    <cellStyle name="Normal 4 8" xfId="208"/>
    <cellStyle name="Normal 4 9" xfId="209"/>
    <cellStyle name="Normal 5" xfId="210"/>
    <cellStyle name="Normal 5 2" xfId="261"/>
    <cellStyle name="Normal 5 3" xfId="262"/>
    <cellStyle name="Normal 5 4" xfId="263"/>
    <cellStyle name="Normal 5 5" xfId="260"/>
    <cellStyle name="Normal 6" xfId="211"/>
    <cellStyle name="Normal 6 2" xfId="264"/>
    <cellStyle name="Normal 7" xfId="212"/>
    <cellStyle name="Normal 7 2" xfId="243"/>
    <cellStyle name="Normal 8" xfId="213"/>
    <cellStyle name="Normal 8 2" xfId="214"/>
    <cellStyle name="Normal 8 2 2" xfId="215"/>
    <cellStyle name="Normal 9" xfId="216"/>
    <cellStyle name="Notas 2" xfId="217"/>
    <cellStyle name="Notas 2 10" xfId="364"/>
    <cellStyle name="Notas 2 10 2" xfId="953"/>
    <cellStyle name="Notas 2 11" xfId="464"/>
    <cellStyle name="Notas 2 11 2" xfId="1044"/>
    <cellStyle name="Notas 2 12" xfId="373"/>
    <cellStyle name="Notas 2 12 2" xfId="962"/>
    <cellStyle name="Notas 2 13" xfId="315"/>
    <cellStyle name="Notas 2 13 2" xfId="907"/>
    <cellStyle name="Notas 2 14" xfId="526"/>
    <cellStyle name="Notas 2 14 2" xfId="1101"/>
    <cellStyle name="Notas 2 15" xfId="397"/>
    <cellStyle name="Notas 2 15 2" xfId="983"/>
    <cellStyle name="Notas 2 16" xfId="509"/>
    <cellStyle name="Notas 2 16 2" xfId="1086"/>
    <cellStyle name="Notas 2 17" xfId="459"/>
    <cellStyle name="Notas 2 17 2" xfId="1039"/>
    <cellStyle name="Notas 2 18" xfId="647"/>
    <cellStyle name="Notas 2 18 2" xfId="1204"/>
    <cellStyle name="Notas 2 19" xfId="644"/>
    <cellStyle name="Notas 2 19 2" xfId="1201"/>
    <cellStyle name="Notas 2 2" xfId="218"/>
    <cellStyle name="Notas 2 2 10" xfId="580"/>
    <cellStyle name="Notas 2 2 10 2" xfId="1146"/>
    <cellStyle name="Notas 2 2 11" xfId="564"/>
    <cellStyle name="Notas 2 2 11 2" xfId="1133"/>
    <cellStyle name="Notas 2 2 12" xfId="359"/>
    <cellStyle name="Notas 2 2 12 2" xfId="948"/>
    <cellStyle name="Notas 2 2 13" xfId="621"/>
    <cellStyle name="Notas 2 2 13 2" xfId="1182"/>
    <cellStyle name="Notas 2 2 14" xfId="317"/>
    <cellStyle name="Notas 2 2 14 2" xfId="909"/>
    <cellStyle name="Notas 2 2 15" xfId="535"/>
    <cellStyle name="Notas 2 2 15 2" xfId="1109"/>
    <cellStyle name="Notas 2 2 16" xfId="594"/>
    <cellStyle name="Notas 2 2 16 2" xfId="1157"/>
    <cellStyle name="Notas 2 2 17" xfId="409"/>
    <cellStyle name="Notas 2 2 17 2" xfId="994"/>
    <cellStyle name="Notas 2 2 18" xfId="684"/>
    <cellStyle name="Notas 2 2 18 2" xfId="1234"/>
    <cellStyle name="Notas 2 2 19" xfId="528"/>
    <cellStyle name="Notas 2 2 19 2" xfId="1103"/>
    <cellStyle name="Notas 2 2 2" xfId="444"/>
    <cellStyle name="Notas 2 2 2 2" xfId="1025"/>
    <cellStyle name="Notas 2 2 20" xfId="587"/>
    <cellStyle name="Notas 2 2 20 2" xfId="1150"/>
    <cellStyle name="Notas 2 2 21" xfId="281"/>
    <cellStyle name="Notas 2 2 21 2" xfId="875"/>
    <cellStyle name="Notas 2 2 22" xfId="470"/>
    <cellStyle name="Notas 2 2 22 2" xfId="1050"/>
    <cellStyle name="Notas 2 2 23" xfId="656"/>
    <cellStyle name="Notas 2 2 23 2" xfId="1211"/>
    <cellStyle name="Notas 2 2 24" xfId="658"/>
    <cellStyle name="Notas 2 2 24 2" xfId="1213"/>
    <cellStyle name="Notas 2 2 25" xfId="765"/>
    <cellStyle name="Notas 2 2 25 2" xfId="1301"/>
    <cellStyle name="Notas 2 2 26" xfId="435"/>
    <cellStyle name="Notas 2 2 26 2" xfId="1018"/>
    <cellStyle name="Notas 2 2 27" xfId="547"/>
    <cellStyle name="Notas 2 2 27 2" xfId="1120"/>
    <cellStyle name="Notas 2 2 28" xfId="607"/>
    <cellStyle name="Notas 2 2 28 2" xfId="1169"/>
    <cellStyle name="Notas 2 2 29" xfId="774"/>
    <cellStyle name="Notas 2 2 29 2" xfId="1309"/>
    <cellStyle name="Notas 2 2 3" xfId="327"/>
    <cellStyle name="Notas 2 2 3 2" xfId="917"/>
    <cellStyle name="Notas 2 2 30" xfId="669"/>
    <cellStyle name="Notas 2 2 30 2" xfId="1221"/>
    <cellStyle name="Notas 2 2 31" xfId="374"/>
    <cellStyle name="Notas 2 2 31 2" xfId="963"/>
    <cellStyle name="Notas 2 2 32" xfId="522"/>
    <cellStyle name="Notas 2 2 32 2" xfId="1097"/>
    <cellStyle name="Notas 2 2 33" xfId="538"/>
    <cellStyle name="Notas 2 2 33 2" xfId="1112"/>
    <cellStyle name="Notas 2 2 34" xfId="737"/>
    <cellStyle name="Notas 2 2 34 2" xfId="1278"/>
    <cellStyle name="Notas 2 2 35" xfId="674"/>
    <cellStyle name="Notas 2 2 35 2" xfId="1226"/>
    <cellStyle name="Notas 2 2 36" xfId="784"/>
    <cellStyle name="Notas 2 2 36 2" xfId="1317"/>
    <cellStyle name="Notas 2 2 37" xfId="868"/>
    <cellStyle name="Notas 2 2 38" xfId="793"/>
    <cellStyle name="Notas 2 2 4" xfId="282"/>
    <cellStyle name="Notas 2 2 4 2" xfId="876"/>
    <cellStyle name="Notas 2 2 5" xfId="457"/>
    <cellStyle name="Notas 2 2 5 2" xfId="1037"/>
    <cellStyle name="Notas 2 2 6" xfId="485"/>
    <cellStyle name="Notas 2 2 6 2" xfId="1065"/>
    <cellStyle name="Notas 2 2 7" xfId="331"/>
    <cellStyle name="Notas 2 2 7 2" xfId="921"/>
    <cellStyle name="Notas 2 2 8" xfId="293"/>
    <cellStyle name="Notas 2 2 8 2" xfId="886"/>
    <cellStyle name="Notas 2 2 9" xfId="363"/>
    <cellStyle name="Notas 2 2 9 2" xfId="952"/>
    <cellStyle name="Notas 2 20" xfId="589"/>
    <cellStyle name="Notas 2 20 2" xfId="1152"/>
    <cellStyle name="Notas 2 21" xfId="605"/>
    <cellStyle name="Notas 2 21 2" xfId="1167"/>
    <cellStyle name="Notas 2 22" xfId="615"/>
    <cellStyle name="Notas 2 22 2" xfId="1176"/>
    <cellStyle name="Notas 2 23" xfId="352"/>
    <cellStyle name="Notas 2 23 2" xfId="941"/>
    <cellStyle name="Notas 2 24" xfId="510"/>
    <cellStyle name="Notas 2 24 2" xfId="1087"/>
    <cellStyle name="Notas 2 25" xfId="321"/>
    <cellStyle name="Notas 2 25 2" xfId="912"/>
    <cellStyle name="Notas 2 26" xfId="761"/>
    <cellStyle name="Notas 2 26 2" xfId="1297"/>
    <cellStyle name="Notas 2 27" xfId="313"/>
    <cellStyle name="Notas 2 27 2" xfId="905"/>
    <cellStyle name="Notas 2 28" xfId="432"/>
    <cellStyle name="Notas 2 28 2" xfId="1016"/>
    <cellStyle name="Notas 2 29" xfId="781"/>
    <cellStyle name="Notas 2 29 2" xfId="1314"/>
    <cellStyle name="Notas 2 3" xfId="443"/>
    <cellStyle name="Notas 2 3 2" xfId="1024"/>
    <cellStyle name="Notas 2 30" xfId="790"/>
    <cellStyle name="Notas 2 30 2" xfId="1321"/>
    <cellStyle name="Notas 2 31" xfId="799"/>
    <cellStyle name="Notas 2 31 2" xfId="1326"/>
    <cellStyle name="Notas 2 32" xfId="806"/>
    <cellStyle name="Notas 2 32 2" xfId="1331"/>
    <cellStyle name="Notas 2 33" xfId="813"/>
    <cellStyle name="Notas 2 33 2" xfId="1336"/>
    <cellStyle name="Notas 2 34" xfId="819"/>
    <cellStyle name="Notas 2 34 2" xfId="1341"/>
    <cellStyle name="Notas 2 35" xfId="825"/>
    <cellStyle name="Notas 2 35 2" xfId="1345"/>
    <cellStyle name="Notas 2 36" xfId="830"/>
    <cellStyle name="Notas 2 36 2" xfId="1349"/>
    <cellStyle name="Notas 2 37" xfId="835"/>
    <cellStyle name="Notas 2 37 2" xfId="1352"/>
    <cellStyle name="Notas 2 38" xfId="867"/>
    <cellStyle name="Notas 2 39" xfId="839"/>
    <cellStyle name="Notas 2 4" xfId="328"/>
    <cellStyle name="Notas 2 4 2" xfId="918"/>
    <cellStyle name="Notas 2 5" xfId="422"/>
    <cellStyle name="Notas 2 5 2" xfId="1007"/>
    <cellStyle name="Notas 2 6" xfId="342"/>
    <cellStyle name="Notas 2 6 2" xfId="932"/>
    <cellStyle name="Notas 2 7" xfId="466"/>
    <cellStyle name="Notas 2 7 2" xfId="1046"/>
    <cellStyle name="Notas 2 8" xfId="332"/>
    <cellStyle name="Notas 2 8 2" xfId="922"/>
    <cellStyle name="Notas 2 9" xfId="410"/>
    <cellStyle name="Notas 2 9 2" xfId="995"/>
    <cellStyle name="Note" xfId="219"/>
    <cellStyle name="Note 10" xfId="521"/>
    <cellStyle name="Note 10 2" xfId="1096"/>
    <cellStyle name="Note 11" xfId="516"/>
    <cellStyle name="Note 11 2" xfId="1092"/>
    <cellStyle name="Note 12" xfId="585"/>
    <cellStyle name="Note 12 2" xfId="1148"/>
    <cellStyle name="Note 13" xfId="323"/>
    <cellStyle name="Note 13 2" xfId="913"/>
    <cellStyle name="Note 14" xfId="299"/>
    <cellStyle name="Note 14 2" xfId="892"/>
    <cellStyle name="Note 15" xfId="628"/>
    <cellStyle name="Note 15 2" xfId="1186"/>
    <cellStyle name="Note 16" xfId="307"/>
    <cellStyle name="Note 16 2" xfId="900"/>
    <cellStyle name="Note 17" xfId="400"/>
    <cellStyle name="Note 17 2" xfId="985"/>
    <cellStyle name="Note 18" xfId="556"/>
    <cellStyle name="Note 18 2" xfId="1127"/>
    <cellStyle name="Note 19" xfId="10"/>
    <cellStyle name="Note 19 2" xfId="853"/>
    <cellStyle name="Note 2" xfId="445"/>
    <cellStyle name="Note 2 2" xfId="1026"/>
    <cellStyle name="Note 20" xfId="691"/>
    <cellStyle name="Note 20 2" xfId="1238"/>
    <cellStyle name="Note 21" xfId="590"/>
    <cellStyle name="Note 21 2" xfId="1153"/>
    <cellStyle name="Note 22" xfId="386"/>
    <cellStyle name="Note 22 2" xfId="973"/>
    <cellStyle name="Note 23" xfId="706"/>
    <cellStyle name="Note 23 2" xfId="1251"/>
    <cellStyle name="Note 24" xfId="611"/>
    <cellStyle name="Note 24 2" xfId="1172"/>
    <cellStyle name="Note 25" xfId="764"/>
    <cellStyle name="Note 25 2" xfId="1300"/>
    <cellStyle name="Note 26" xfId="381"/>
    <cellStyle name="Note 26 2" xfId="969"/>
    <cellStyle name="Note 27" xfId="750"/>
    <cellStyle name="Note 27 2" xfId="1288"/>
    <cellStyle name="Note 28" xfId="716"/>
    <cellStyle name="Note 28 2" xfId="1260"/>
    <cellStyle name="Note 29" xfId="773"/>
    <cellStyle name="Note 29 2" xfId="1308"/>
    <cellStyle name="Note 3" xfId="326"/>
    <cellStyle name="Note 3 2" xfId="916"/>
    <cellStyle name="Note 30" xfId="545"/>
    <cellStyle name="Note 30 2" xfId="1118"/>
    <cellStyle name="Note 31" xfId="632"/>
    <cellStyle name="Note 31 2" xfId="1190"/>
    <cellStyle name="Note 32" xfId="698"/>
    <cellStyle name="Note 32 2" xfId="1244"/>
    <cellStyle name="Note 33" xfId="772"/>
    <cellStyle name="Note 33 2" xfId="1307"/>
    <cellStyle name="Note 34" xfId="743"/>
    <cellStyle name="Note 34 2" xfId="1284"/>
    <cellStyle name="Note 35" xfId="645"/>
    <cellStyle name="Note 35 2" xfId="1202"/>
    <cellStyle name="Note 36" xfId="544"/>
    <cellStyle name="Note 36 2" xfId="1117"/>
    <cellStyle name="Note 37" xfId="869"/>
    <cellStyle name="Note 38" xfId="584"/>
    <cellStyle name="Note 4" xfId="285"/>
    <cellStyle name="Note 4 2" xfId="879"/>
    <cellStyle name="Note 5" xfId="454"/>
    <cellStyle name="Note 5 2" xfId="1034"/>
    <cellStyle name="Note 6" xfId="447"/>
    <cellStyle name="Note 6 2" xfId="1028"/>
    <cellStyle name="Note 7" xfId="330"/>
    <cellStyle name="Note 7 2" xfId="920"/>
    <cellStyle name="Note 8" xfId="294"/>
    <cellStyle name="Note 8 2" xfId="887"/>
    <cellStyle name="Note 9" xfId="480"/>
    <cellStyle name="Note 9 2" xfId="1060"/>
    <cellStyle name="Output" xfId="220"/>
    <cellStyle name="Output 10" xfId="408"/>
    <cellStyle name="Output 10 2" xfId="993"/>
    <cellStyle name="Output 11" xfId="500"/>
    <cellStyle name="Output 11 2" xfId="1079"/>
    <cellStyle name="Output 12" xfId="406"/>
    <cellStyle name="Output 12 2" xfId="991"/>
    <cellStyle name="Output 13" xfId="542"/>
    <cellStyle name="Output 13 2" xfId="1115"/>
    <cellStyle name="Output 14" xfId="603"/>
    <cellStyle name="Output 14 2" xfId="1165"/>
    <cellStyle name="Output 15" xfId="515"/>
    <cellStyle name="Output 15 2" xfId="1091"/>
    <cellStyle name="Output 16" xfId="468"/>
    <cellStyle name="Output 16 2" xfId="1048"/>
    <cellStyle name="Output 17" xfId="625"/>
    <cellStyle name="Output 17 2" xfId="1184"/>
    <cellStyle name="Output 18" xfId="574"/>
    <cellStyle name="Output 18 2" xfId="1142"/>
    <cellStyle name="Output 19" xfId="668"/>
    <cellStyle name="Output 19 2" xfId="1220"/>
    <cellStyle name="Output 2" xfId="446"/>
    <cellStyle name="Output 2 2" xfId="1027"/>
    <cellStyle name="Output 20" xfId="431"/>
    <cellStyle name="Output 20 2" xfId="1015"/>
    <cellStyle name="Output 21" xfId="350"/>
    <cellStyle name="Output 21 2" xfId="939"/>
    <cellStyle name="Output 22" xfId="298"/>
    <cellStyle name="Output 22 2" xfId="891"/>
    <cellStyle name="Output 23" xfId="344"/>
    <cellStyle name="Output 23 2" xfId="934"/>
    <cellStyle name="Output 24" xfId="593"/>
    <cellStyle name="Output 24 2" xfId="1156"/>
    <cellStyle name="Output 25" xfId="703"/>
    <cellStyle name="Output 25 2" xfId="1248"/>
    <cellStyle name="Output 26" xfId="640"/>
    <cellStyle name="Output 26 2" xfId="1197"/>
    <cellStyle name="Output 27" xfId="634"/>
    <cellStyle name="Output 27 2" xfId="1192"/>
    <cellStyle name="Output 28" xfId="297"/>
    <cellStyle name="Output 28 2" xfId="890"/>
    <cellStyle name="Output 29" xfId="778"/>
    <cellStyle name="Output 29 2" xfId="1311"/>
    <cellStyle name="Output 3" xfId="325"/>
    <cellStyle name="Output 3 2" xfId="915"/>
    <cellStyle name="Output 30" xfId="787"/>
    <cellStyle name="Output 30 2" xfId="1318"/>
    <cellStyle name="Output 31" xfId="796"/>
    <cellStyle name="Output 31 2" xfId="1324"/>
    <cellStyle name="Output 32" xfId="804"/>
    <cellStyle name="Output 32 2" xfId="1329"/>
    <cellStyle name="Output 33" xfId="811"/>
    <cellStyle name="Output 33 2" xfId="1334"/>
    <cellStyle name="Output 34" xfId="817"/>
    <cellStyle name="Output 34 2" xfId="1339"/>
    <cellStyle name="Output 35" xfId="823"/>
    <cellStyle name="Output 35 2" xfId="1343"/>
    <cellStyle name="Output 36" xfId="828"/>
    <cellStyle name="Output 36 2" xfId="1347"/>
    <cellStyle name="Output 37" xfId="870"/>
    <cellStyle name="Output 38" xfId="833"/>
    <cellStyle name="Output 4" xfId="423"/>
    <cellStyle name="Output 4 2" xfId="1008"/>
    <cellStyle name="Output 5" xfId="341"/>
    <cellStyle name="Output 5 2" xfId="931"/>
    <cellStyle name="Output 6" xfId="490"/>
    <cellStyle name="Output 6 2" xfId="1070"/>
    <cellStyle name="Output 7" xfId="329"/>
    <cellStyle name="Output 7 2" xfId="919"/>
    <cellStyle name="Output 8" xfId="439"/>
    <cellStyle name="Output 8 2" xfId="1022"/>
    <cellStyle name="Output 9" xfId="430"/>
    <cellStyle name="Output 9 2" xfId="1014"/>
    <cellStyle name="Porcentaje 2" xfId="3"/>
    <cellStyle name="Porcentaje 2 2" xfId="221"/>
    <cellStyle name="Porcentaje 3" xfId="222"/>
    <cellStyle name="Porcentual 2" xfId="18"/>
    <cellStyle name="Porcentual 2 2" xfId="223"/>
    <cellStyle name="Porcentual 2 3" xfId="224"/>
    <cellStyle name="Porcentual 3" xfId="265"/>
    <cellStyle name="Porcentual 33" xfId="225"/>
    <cellStyle name="Porcentual 4" xfId="266"/>
    <cellStyle name="Porcentual 4 2" xfId="267"/>
    <cellStyle name="Porcentual 4 3" xfId="268"/>
    <cellStyle name="Salida 2" xfId="226"/>
    <cellStyle name="Salida 2 10" xfId="549"/>
    <cellStyle name="Salida 2 10 2" xfId="1122"/>
    <cellStyle name="Salida 2 11" xfId="498"/>
    <cellStyle name="Salida 2 11 2" xfId="1077"/>
    <cellStyle name="Salida 2 12" xfId="577"/>
    <cellStyle name="Salida 2 12 2" xfId="1144"/>
    <cellStyle name="Salida 2 13" xfId="303"/>
    <cellStyle name="Salida 2 13 2" xfId="896"/>
    <cellStyle name="Salida 2 14" xfId="351"/>
    <cellStyle name="Salida 2 14 2" xfId="940"/>
    <cellStyle name="Salida 2 15" xfId="618"/>
    <cellStyle name="Salida 2 15 2" xfId="1179"/>
    <cellStyle name="Salida 2 16" xfId="612"/>
    <cellStyle name="Salida 2 16 2" xfId="1173"/>
    <cellStyle name="Salida 2 17" xfId="340"/>
    <cellStyle name="Salida 2 17 2" xfId="930"/>
    <cellStyle name="Salida 2 18" xfId="661"/>
    <cellStyle name="Salida 2 18 2" xfId="1216"/>
    <cellStyle name="Salida 2 19" xfId="383"/>
    <cellStyle name="Salida 2 19 2" xfId="970"/>
    <cellStyle name="Salida 2 2" xfId="451"/>
    <cellStyle name="Salida 2 2 2" xfId="1032"/>
    <cellStyle name="Salida 2 20" xfId="683"/>
    <cellStyle name="Salida 2 20 2" xfId="1233"/>
    <cellStyle name="Salida 2 21" xfId="678"/>
    <cellStyle name="Salida 2 21 2" xfId="1229"/>
    <cellStyle name="Salida 2 22" xfId="712"/>
    <cellStyle name="Salida 2 22 2" xfId="1257"/>
    <cellStyle name="Salida 2 23" xfId="705"/>
    <cellStyle name="Salida 2 23 2" xfId="1250"/>
    <cellStyle name="Salida 2 24" xfId="748"/>
    <cellStyle name="Salida 2 24 2" xfId="1286"/>
    <cellStyle name="Salida 2 25" xfId="424"/>
    <cellStyle name="Salida 2 25 2" xfId="1009"/>
    <cellStyle name="Salida 2 26" xfId="506"/>
    <cellStyle name="Salida 2 26 2" xfId="1083"/>
    <cellStyle name="Salida 2 27" xfId="372"/>
    <cellStyle name="Salida 2 27 2" xfId="961"/>
    <cellStyle name="Salida 2 28" xfId="718"/>
    <cellStyle name="Salida 2 28 2" xfId="1262"/>
    <cellStyle name="Salida 2 29" xfId="733"/>
    <cellStyle name="Salida 2 29 2" xfId="1275"/>
    <cellStyle name="Salida 2 3" xfId="320"/>
    <cellStyle name="Salida 2 3 2" xfId="911"/>
    <cellStyle name="Salida 2 30" xfId="295"/>
    <cellStyle name="Salida 2 30 2" xfId="888"/>
    <cellStyle name="Salida 2 31" xfId="566"/>
    <cellStyle name="Salida 2 31 2" xfId="1135"/>
    <cellStyle name="Salida 2 32" xfId="343"/>
    <cellStyle name="Salida 2 32 2" xfId="933"/>
    <cellStyle name="Salida 2 33" xfId="738"/>
    <cellStyle name="Salida 2 33 2" xfId="1279"/>
    <cellStyle name="Salida 2 34" xfId="709"/>
    <cellStyle name="Salida 2 34 2" xfId="1254"/>
    <cellStyle name="Salida 2 35" xfId="762"/>
    <cellStyle name="Salida 2 35 2" xfId="1298"/>
    <cellStyle name="Salida 2 36" xfId="595"/>
    <cellStyle name="Salida 2 36 2" xfId="1158"/>
    <cellStyle name="Salida 2 37" xfId="871"/>
    <cellStyle name="Salida 2 38" xfId="322"/>
    <cellStyle name="Salida 2 4" xfId="425"/>
    <cellStyle name="Salida 2 4 2" xfId="1010"/>
    <cellStyle name="Salida 2 5" xfId="339"/>
    <cellStyle name="Salida 2 5 2" xfId="929"/>
    <cellStyle name="Salida 2 6" xfId="469"/>
    <cellStyle name="Salida 2 6 2" xfId="1049"/>
    <cellStyle name="Salida 2 7" xfId="476"/>
    <cellStyle name="Salida 2 7 2" xfId="1056"/>
    <cellStyle name="Salida 2 8" xfId="465"/>
    <cellStyle name="Salida 2 8 2" xfId="1045"/>
    <cellStyle name="Salida 2 9" xfId="360"/>
    <cellStyle name="Salida 2 9 2" xfId="949"/>
    <cellStyle name="Salida 3" xfId="227"/>
    <cellStyle name="Salida 3 10" xfId="284"/>
    <cellStyle name="Salida 3 10 2" xfId="878"/>
    <cellStyle name="Salida 3 11" xfId="354"/>
    <cellStyle name="Salida 3 11 2" xfId="943"/>
    <cellStyle name="Salida 3 12" xfId="581"/>
    <cellStyle name="Salida 3 12 2" xfId="1147"/>
    <cellStyle name="Salida 3 13" xfId="573"/>
    <cellStyle name="Salida 3 13 2" xfId="1141"/>
    <cellStyle name="Salida 3 14" xfId="489"/>
    <cellStyle name="Salida 3 14 2" xfId="1069"/>
    <cellStyle name="Salida 3 15" xfId="623"/>
    <cellStyle name="Salida 3 15 2" xfId="1183"/>
    <cellStyle name="Salida 3 16" xfId="484"/>
    <cellStyle name="Salida 3 16 2" xfId="1064"/>
    <cellStyle name="Salida 3 17" xfId="379"/>
    <cellStyle name="Salida 3 17 2" xfId="967"/>
    <cellStyle name="Salida 3 18" xfId="371"/>
    <cellStyle name="Salida 3 18 2" xfId="960"/>
    <cellStyle name="Salida 3 19" xfId="650"/>
    <cellStyle name="Salida 3 19 2" xfId="1207"/>
    <cellStyle name="Salida 3 2" xfId="452"/>
    <cellStyle name="Salida 3 2 2" xfId="1033"/>
    <cellStyle name="Salida 3 20" xfId="686"/>
    <cellStyle name="Salida 3 20 2" xfId="1235"/>
    <cellStyle name="Salida 3 21" xfId="358"/>
    <cellStyle name="Salida 3 21 2" xfId="947"/>
    <cellStyle name="Salida 3 22" xfId="302"/>
    <cellStyle name="Salida 3 22 2" xfId="895"/>
    <cellStyle name="Salida 3 23" xfId="742"/>
    <cellStyle name="Salida 3 23 2" xfId="1283"/>
    <cellStyle name="Salida 3 24" xfId="749"/>
    <cellStyle name="Salida 3 24 2" xfId="1287"/>
    <cellStyle name="Salida 3 25" xfId="508"/>
    <cellStyle name="Salida 3 25 2" xfId="1085"/>
    <cellStyle name="Salida 3 26" xfId="651"/>
    <cellStyle name="Salida 3 26 2" xfId="1208"/>
    <cellStyle name="Salida 3 27" xfId="407"/>
    <cellStyle name="Salida 3 27 2" xfId="992"/>
    <cellStyle name="Salida 3 28" xfId="333"/>
    <cellStyle name="Salida 3 28 2" xfId="923"/>
    <cellStyle name="Salida 3 29" xfId="402"/>
    <cellStyle name="Salida 3 29 2" xfId="987"/>
    <cellStyle name="Salida 3 3" xfId="319"/>
    <cellStyle name="Salida 3 3 2" xfId="910"/>
    <cellStyle name="Salida 3 30" xfId="753"/>
    <cellStyle name="Salida 3 30 2" xfId="1290"/>
    <cellStyle name="Salida 3 31" xfId="688"/>
    <cellStyle name="Salida 3 31 2" xfId="1236"/>
    <cellStyle name="Salida 3 32" xfId="704"/>
    <cellStyle name="Salida 3 32 2" xfId="1249"/>
    <cellStyle name="Salida 3 33" xfId="732"/>
    <cellStyle name="Salida 3 33 2" xfId="1274"/>
    <cellStyle name="Salida 3 34" xfId="680"/>
    <cellStyle name="Salida 3 34 2" xfId="1230"/>
    <cellStyle name="Salida 3 35" xfId="558"/>
    <cellStyle name="Salida 3 35 2" xfId="1129"/>
    <cellStyle name="Salida 3 36" xfId="609"/>
    <cellStyle name="Salida 3 36 2" xfId="1171"/>
    <cellStyle name="Salida 3 37" xfId="872"/>
    <cellStyle name="Salida 3 38" xfId="663"/>
    <cellStyle name="Salida 3 4" xfId="426"/>
    <cellStyle name="Salida 3 4 2" xfId="1011"/>
    <cellStyle name="Salida 3 5" xfId="338"/>
    <cellStyle name="Salida 3 5 2" xfId="928"/>
    <cellStyle name="Salida 3 6" xfId="283"/>
    <cellStyle name="Salida 3 6 2" xfId="877"/>
    <cellStyle name="Salida 3 7" xfId="475"/>
    <cellStyle name="Salida 3 7 2" xfId="1055"/>
    <cellStyle name="Salida 3 8" xfId="413"/>
    <cellStyle name="Salida 3 8 2" xfId="998"/>
    <cellStyle name="Salida 3 9" xfId="296"/>
    <cellStyle name="Salida 3 9 2" xfId="889"/>
    <cellStyle name="Texto de advertencia 2" xfId="228"/>
    <cellStyle name="Texto de advertencia 3" xfId="229"/>
    <cellStyle name="Texto explicativo 2" xfId="230"/>
    <cellStyle name="Texto explicativo 3" xfId="231"/>
    <cellStyle name="Title" xfId="232"/>
    <cellStyle name="Título 1 2" xfId="233"/>
    <cellStyle name="Título 2 2" xfId="234"/>
    <cellStyle name="Título 2 3" xfId="235"/>
    <cellStyle name="Título 3 2" xfId="236"/>
    <cellStyle name="Título 3 3" xfId="237"/>
    <cellStyle name="Título 4" xfId="238"/>
    <cellStyle name="Título 5" xfId="239"/>
    <cellStyle name="Total 2" xfId="240"/>
    <cellStyle name="Total 2 10" xfId="419"/>
    <cellStyle name="Total 2 10 2" xfId="1004"/>
    <cellStyle name="Total 2 11" xfId="448"/>
    <cellStyle name="Total 2 11 2" xfId="1029"/>
    <cellStyle name="Total 2 12" xfId="417"/>
    <cellStyle name="Total 2 12 2" xfId="1002"/>
    <cellStyle name="Total 2 13" xfId="543"/>
    <cellStyle name="Total 2 13 2" xfId="1116"/>
    <cellStyle name="Total 2 14" xfId="534"/>
    <cellStyle name="Total 2 14 2" xfId="1108"/>
    <cellStyle name="Total 2 15" xfId="531"/>
    <cellStyle name="Total 2 15 2" xfId="1106"/>
    <cellStyle name="Total 2 16" xfId="599"/>
    <cellStyle name="Total 2 16 2" xfId="1161"/>
    <cellStyle name="Total 2 17" xfId="614"/>
    <cellStyle name="Total 2 17 2" xfId="1175"/>
    <cellStyle name="Total 2 18" xfId="636"/>
    <cellStyle name="Total 2 18 2" xfId="1194"/>
    <cellStyle name="Total 2 19" xfId="642"/>
    <cellStyle name="Total 2 19 2" xfId="1199"/>
    <cellStyle name="Total 2 2" xfId="462"/>
    <cellStyle name="Total 2 2 2" xfId="1042"/>
    <cellStyle name="Total 2 20" xfId="561"/>
    <cellStyle name="Total 2 20 2" xfId="1131"/>
    <cellStyle name="Total 2 21" xfId="643"/>
    <cellStyle name="Total 2 21 2" xfId="1200"/>
    <cellStyle name="Total 2 22" xfId="449"/>
    <cellStyle name="Total 2 22 2" xfId="1030"/>
    <cellStyle name="Total 2 23" xfId="601"/>
    <cellStyle name="Total 2 23 2" xfId="1163"/>
    <cellStyle name="Total 2 24" xfId="571"/>
    <cellStyle name="Total 2 24 2" xfId="1139"/>
    <cellStyle name="Total 2 25" xfId="540"/>
    <cellStyle name="Total 2 25 2" xfId="1114"/>
    <cellStyle name="Total 2 26" xfId="539"/>
    <cellStyle name="Total 2 26 2" xfId="1113"/>
    <cellStyle name="Total 2 27" xfId="365"/>
    <cellStyle name="Total 2 27 2" xfId="954"/>
    <cellStyle name="Total 2 28" xfId="401"/>
    <cellStyle name="Total 2 28 2" xfId="986"/>
    <cellStyle name="Total 2 29" xfId="673"/>
    <cellStyle name="Total 2 29 2" xfId="1225"/>
    <cellStyle name="Total 2 3" xfId="309"/>
    <cellStyle name="Total 2 3 2" xfId="902"/>
    <cellStyle name="Total 2 30" xfId="755"/>
    <cellStyle name="Total 2 30 2" xfId="1292"/>
    <cellStyle name="Total 2 31" xfId="760"/>
    <cellStyle name="Total 2 31 2" xfId="1296"/>
    <cellStyle name="Total 2 32" xfId="660"/>
    <cellStyle name="Total 2 32 2" xfId="1215"/>
    <cellStyle name="Total 2 33" xfId="756"/>
    <cellStyle name="Total 2 33 2" xfId="1293"/>
    <cellStyle name="Total 2 34" xfId="591"/>
    <cellStyle name="Total 2 34 2" xfId="1154"/>
    <cellStyle name="Total 2 35" xfId="723"/>
    <cellStyle name="Total 2 35 2" xfId="1267"/>
    <cellStyle name="Total 2 36" xfId="649"/>
    <cellStyle name="Total 2 36 2" xfId="1206"/>
    <cellStyle name="Total 2 37" xfId="873"/>
    <cellStyle name="Total 2 38" xfId="349"/>
    <cellStyle name="Total 2 4" xfId="436"/>
    <cellStyle name="Total 2 4 2" xfId="1019"/>
    <cellStyle name="Total 2 5" xfId="336"/>
    <cellStyle name="Total 2 5 2" xfId="926"/>
    <cellStyle name="Total 2 6" xfId="473"/>
    <cellStyle name="Total 2 6 2" xfId="1053"/>
    <cellStyle name="Total 2 7" xfId="504"/>
    <cellStyle name="Total 2 7 2" xfId="1082"/>
    <cellStyle name="Total 2 8" xfId="316"/>
    <cellStyle name="Total 2 8 2" xfId="908"/>
    <cellStyle name="Total 2 9" xfId="458"/>
    <cellStyle name="Total 2 9 2" xfId="1038"/>
    <cellStyle name="Total 3" xfId="241"/>
    <cellStyle name="Total 3 10" xfId="569"/>
    <cellStyle name="Total 3 10 2" xfId="1137"/>
    <cellStyle name="Total 3 11" xfId="366"/>
    <cellStyle name="Total 3 11 2" xfId="955"/>
    <cellStyle name="Total 3 12" xfId="418"/>
    <cellStyle name="Total 3 12 2" xfId="1003"/>
    <cellStyle name="Total 3 13" xfId="442"/>
    <cellStyle name="Total 3 13 2" xfId="1023"/>
    <cellStyle name="Total 3 14" xfId="525"/>
    <cellStyle name="Total 3 14 2" xfId="1100"/>
    <cellStyle name="Total 3 15" xfId="492"/>
    <cellStyle name="Total 3 15 2" xfId="1071"/>
    <cellStyle name="Total 3 16" xfId="368"/>
    <cellStyle name="Total 3 16 2" xfId="957"/>
    <cellStyle name="Total 3 17" xfId="429"/>
    <cellStyle name="Total 3 17 2" xfId="1013"/>
    <cellStyle name="Total 3 18" xfId="653"/>
    <cellStyle name="Total 3 18 2" xfId="1209"/>
    <cellStyle name="Total 3 19" xfId="606"/>
    <cellStyle name="Total 3 19 2" xfId="1168"/>
    <cellStyle name="Total 3 2" xfId="463"/>
    <cellStyle name="Total 3 2 2" xfId="1043"/>
    <cellStyle name="Total 3 20" xfId="493"/>
    <cellStyle name="Total 3 20 2" xfId="1072"/>
    <cellStyle name="Total 3 21" xfId="597"/>
    <cellStyle name="Total 3 21 2" xfId="1159"/>
    <cellStyle name="Total 3 22" xfId="11"/>
    <cellStyle name="Total 3 22 2" xfId="854"/>
    <cellStyle name="Total 3 23" xfId="598"/>
    <cellStyle name="Total 3 23 2" xfId="1160"/>
    <cellStyle name="Total 3 24" xfId="736"/>
    <cellStyle name="Total 3 24 2" xfId="1277"/>
    <cellStyle name="Total 3 25" xfId="739"/>
    <cellStyle name="Total 3 25 2" xfId="1280"/>
    <cellStyle name="Total 3 26" xfId="16"/>
    <cellStyle name="Total 3 26 2" xfId="856"/>
    <cellStyle name="Total 3 27" xfId="517"/>
    <cellStyle name="Total 3 27 2" xfId="1093"/>
    <cellStyle name="Total 3 28" xfId="769"/>
    <cellStyle name="Total 3 28 2" xfId="1304"/>
    <cellStyle name="Total 3 29" xfId="694"/>
    <cellStyle name="Total 3 29 2" xfId="1241"/>
    <cellStyle name="Total 3 3" xfId="308"/>
    <cellStyle name="Total 3 3 2" xfId="901"/>
    <cellStyle name="Total 3 30" xfId="671"/>
    <cellStyle name="Total 3 30 2" xfId="1223"/>
    <cellStyle name="Total 3 31" xfId="572"/>
    <cellStyle name="Total 3 31 2" xfId="1140"/>
    <cellStyle name="Total 3 32" xfId="771"/>
    <cellStyle name="Total 3 32 2" xfId="1306"/>
    <cellStyle name="Total 3 33" xfId="741"/>
    <cellStyle name="Total 3 33 2" xfId="1282"/>
    <cellStyle name="Total 3 34" xfId="300"/>
    <cellStyle name="Total 3 34 2" xfId="893"/>
    <cellStyle name="Total 3 35" xfId="779"/>
    <cellStyle name="Total 3 35 2" xfId="1312"/>
    <cellStyle name="Total 3 36" xfId="788"/>
    <cellStyle name="Total 3 36 2" xfId="1319"/>
    <cellStyle name="Total 3 37" xfId="874"/>
    <cellStyle name="Total 3 38" xfId="797"/>
    <cellStyle name="Total 3 4" xfId="437"/>
    <cellStyle name="Total 3 4 2" xfId="1020"/>
    <cellStyle name="Total 3 5" xfId="335"/>
    <cellStyle name="Total 3 5 2" xfId="925"/>
    <cellStyle name="Total 3 6" xfId="421"/>
    <cellStyle name="Total 3 6 2" xfId="1006"/>
    <cellStyle name="Total 3 7" xfId="455"/>
    <cellStyle name="Total 3 7 2" xfId="1035"/>
    <cellStyle name="Total 3 8" xfId="289"/>
    <cellStyle name="Total 3 8 2" xfId="882"/>
    <cellStyle name="Total 3 9" xfId="290"/>
    <cellStyle name="Total 3 9 2" xfId="883"/>
    <cellStyle name="Warning Text" xfId="24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417285</xdr:colOff>
      <xdr:row>0</xdr:row>
      <xdr:rowOff>40821</xdr:rowOff>
    </xdr:from>
    <xdr:to>
      <xdr:col>1</xdr:col>
      <xdr:colOff>387867</xdr:colOff>
      <xdr:row>3</xdr:row>
      <xdr:rowOff>245176</xdr:rowOff>
    </xdr:to>
    <xdr:pic>
      <xdr:nvPicPr>
        <xdr:cNvPr id="2" name="Imagen 1" descr="C:\Users\AUXPLANEACION03\Desktop\Gobernacion_del_quindio.jpg">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0135" y="40821"/>
          <a:ext cx="972005" cy="109129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S756"/>
  <sheetViews>
    <sheetView showGridLines="0" tabSelected="1" zoomScale="70" zoomScaleNormal="70" workbookViewId="0">
      <selection activeCell="M10" sqref="M10"/>
    </sheetView>
  </sheetViews>
  <sheetFormatPr baseColWidth="10" defaultColWidth="11.42578125" defaultRowHeight="15.75" x14ac:dyDescent="0.25"/>
  <cols>
    <col min="1" max="1" width="14.85546875" style="130" customWidth="1"/>
    <col min="2" max="2" width="20.140625" style="130" customWidth="1"/>
    <col min="3" max="3" width="9" style="131" customWidth="1"/>
    <col min="4" max="4" width="35.28515625" style="130" customWidth="1"/>
    <col min="5" max="5" width="9" style="130" customWidth="1"/>
    <col min="6" max="6" width="8.7109375" style="130" customWidth="1"/>
    <col min="7" max="7" width="11.140625" style="130" customWidth="1"/>
    <col min="8" max="8" width="6.7109375" style="131" customWidth="1"/>
    <col min="9" max="9" width="33" style="130" customWidth="1"/>
    <col min="10" max="10" width="10.42578125" style="130" customWidth="1"/>
    <col min="11" max="11" width="14" style="130" customWidth="1"/>
    <col min="12" max="12" width="14.28515625" style="130" customWidth="1"/>
    <col min="13" max="13" width="24.7109375" style="601" customWidth="1"/>
    <col min="14" max="14" width="38.7109375" style="130" customWidth="1"/>
    <col min="15" max="15" width="11.140625" style="131" customWidth="1"/>
    <col min="16" max="29" width="29.85546875" style="130" customWidth="1"/>
    <col min="30" max="35" width="29.85546875" style="602" customWidth="1"/>
    <col min="36" max="37" width="29.85546875" style="130" customWidth="1"/>
    <col min="38" max="38" width="29.85546875" style="603" customWidth="1"/>
    <col min="39" max="39" width="29.85546875" style="132" customWidth="1"/>
    <col min="40" max="42" width="29.85546875" style="130" customWidth="1"/>
    <col min="43" max="43" width="27.28515625" style="130" customWidth="1"/>
    <col min="44" max="45" width="14.28515625" style="159" bestFit="1" customWidth="1"/>
    <col min="46" max="16384" width="11.42578125" style="159"/>
  </cols>
  <sheetData>
    <row r="1" spans="1:43" s="130" customFormat="1" ht="24" customHeight="1" x14ac:dyDescent="0.25">
      <c r="A1" s="840" t="s">
        <v>937</v>
      </c>
      <c r="B1" s="841"/>
      <c r="C1" s="841"/>
      <c r="D1" s="841"/>
      <c r="E1" s="841"/>
      <c r="F1" s="841"/>
      <c r="G1" s="841"/>
      <c r="H1" s="841"/>
      <c r="I1" s="841"/>
      <c r="J1" s="841"/>
      <c r="K1" s="841"/>
      <c r="L1" s="841"/>
      <c r="M1" s="841"/>
      <c r="N1" s="841"/>
      <c r="O1" s="841"/>
      <c r="P1" s="841"/>
      <c r="Q1" s="841"/>
      <c r="R1" s="841"/>
      <c r="S1" s="841"/>
      <c r="T1" s="841"/>
      <c r="U1" s="841"/>
      <c r="V1" s="841"/>
      <c r="W1" s="841"/>
      <c r="X1" s="841"/>
      <c r="Y1" s="841"/>
      <c r="Z1" s="841"/>
      <c r="AA1" s="841"/>
      <c r="AB1" s="841"/>
      <c r="AC1" s="841"/>
      <c r="AD1" s="841"/>
      <c r="AE1" s="841"/>
      <c r="AF1" s="841"/>
      <c r="AG1" s="841"/>
      <c r="AH1" s="841"/>
      <c r="AI1" s="841"/>
      <c r="AJ1" s="841"/>
      <c r="AK1" s="841"/>
      <c r="AL1" s="841"/>
      <c r="AM1" s="841"/>
      <c r="AN1" s="841"/>
      <c r="AO1" s="842"/>
      <c r="AP1" s="833" t="s">
        <v>894</v>
      </c>
      <c r="AQ1" s="833" t="s">
        <v>933</v>
      </c>
    </row>
    <row r="2" spans="1:43" s="130" customFormat="1" ht="24" customHeight="1" x14ac:dyDescent="0.25">
      <c r="A2" s="843"/>
      <c r="B2" s="844"/>
      <c r="C2" s="844"/>
      <c r="D2" s="844"/>
      <c r="E2" s="844"/>
      <c r="F2" s="844"/>
      <c r="G2" s="844"/>
      <c r="H2" s="844"/>
      <c r="I2" s="844"/>
      <c r="J2" s="844"/>
      <c r="K2" s="844"/>
      <c r="L2" s="844"/>
      <c r="M2" s="844"/>
      <c r="N2" s="844"/>
      <c r="O2" s="844"/>
      <c r="P2" s="844"/>
      <c r="Q2" s="844"/>
      <c r="R2" s="844"/>
      <c r="S2" s="844"/>
      <c r="T2" s="844"/>
      <c r="U2" s="844"/>
      <c r="V2" s="844"/>
      <c r="W2" s="844"/>
      <c r="X2" s="844"/>
      <c r="Y2" s="844"/>
      <c r="Z2" s="844"/>
      <c r="AA2" s="844"/>
      <c r="AB2" s="844"/>
      <c r="AC2" s="844"/>
      <c r="AD2" s="844"/>
      <c r="AE2" s="844"/>
      <c r="AF2" s="844"/>
      <c r="AG2" s="844"/>
      <c r="AH2" s="844"/>
      <c r="AI2" s="844"/>
      <c r="AJ2" s="844"/>
      <c r="AK2" s="844"/>
      <c r="AL2" s="844"/>
      <c r="AM2" s="844"/>
      <c r="AN2" s="844"/>
      <c r="AO2" s="845"/>
      <c r="AP2" s="834" t="s">
        <v>895</v>
      </c>
      <c r="AQ2" s="833" t="s">
        <v>934</v>
      </c>
    </row>
    <row r="3" spans="1:43" s="706" customFormat="1" ht="24" customHeight="1" x14ac:dyDescent="0.25">
      <c r="A3" s="843"/>
      <c r="B3" s="844"/>
      <c r="C3" s="844"/>
      <c r="D3" s="844"/>
      <c r="E3" s="844"/>
      <c r="F3" s="844"/>
      <c r="G3" s="844"/>
      <c r="H3" s="844"/>
      <c r="I3" s="844"/>
      <c r="J3" s="844"/>
      <c r="K3" s="844"/>
      <c r="L3" s="844"/>
      <c r="M3" s="844"/>
      <c r="N3" s="844"/>
      <c r="O3" s="844"/>
      <c r="P3" s="844"/>
      <c r="Q3" s="844"/>
      <c r="R3" s="844"/>
      <c r="S3" s="844"/>
      <c r="T3" s="844"/>
      <c r="U3" s="844"/>
      <c r="V3" s="844"/>
      <c r="W3" s="844"/>
      <c r="X3" s="844"/>
      <c r="Y3" s="844"/>
      <c r="Z3" s="844"/>
      <c r="AA3" s="844"/>
      <c r="AB3" s="844"/>
      <c r="AC3" s="844"/>
      <c r="AD3" s="844"/>
      <c r="AE3" s="844"/>
      <c r="AF3" s="844"/>
      <c r="AG3" s="844"/>
      <c r="AH3" s="844"/>
      <c r="AI3" s="844"/>
      <c r="AJ3" s="844"/>
      <c r="AK3" s="844"/>
      <c r="AL3" s="844"/>
      <c r="AM3" s="844"/>
      <c r="AN3" s="844"/>
      <c r="AO3" s="845"/>
      <c r="AP3" s="833" t="s">
        <v>896</v>
      </c>
      <c r="AQ3" s="568" t="s">
        <v>935</v>
      </c>
    </row>
    <row r="4" spans="1:43" s="706" customFormat="1" ht="24" customHeight="1" x14ac:dyDescent="0.25">
      <c r="A4" s="846"/>
      <c r="B4" s="847"/>
      <c r="C4" s="847"/>
      <c r="D4" s="847"/>
      <c r="E4" s="847"/>
      <c r="F4" s="847"/>
      <c r="G4" s="847"/>
      <c r="H4" s="847"/>
      <c r="I4" s="847"/>
      <c r="J4" s="847"/>
      <c r="K4" s="847"/>
      <c r="L4" s="847"/>
      <c r="M4" s="847"/>
      <c r="N4" s="847"/>
      <c r="O4" s="847"/>
      <c r="P4" s="847"/>
      <c r="Q4" s="847"/>
      <c r="R4" s="847"/>
      <c r="S4" s="847"/>
      <c r="T4" s="847"/>
      <c r="U4" s="847"/>
      <c r="V4" s="847"/>
      <c r="W4" s="847"/>
      <c r="X4" s="847"/>
      <c r="Y4" s="847"/>
      <c r="Z4" s="847"/>
      <c r="AA4" s="847"/>
      <c r="AB4" s="847"/>
      <c r="AC4" s="847"/>
      <c r="AD4" s="847"/>
      <c r="AE4" s="847"/>
      <c r="AF4" s="847"/>
      <c r="AG4" s="847"/>
      <c r="AH4" s="847"/>
      <c r="AI4" s="847"/>
      <c r="AJ4" s="847"/>
      <c r="AK4" s="847"/>
      <c r="AL4" s="847"/>
      <c r="AM4" s="847"/>
      <c r="AN4" s="847"/>
      <c r="AO4" s="848"/>
      <c r="AP4" s="833" t="s">
        <v>897</v>
      </c>
      <c r="AQ4" s="835" t="s">
        <v>936</v>
      </c>
    </row>
    <row r="5" spans="1:43" s="133" customFormat="1" ht="84" customHeight="1" x14ac:dyDescent="0.25">
      <c r="A5" s="830" t="s">
        <v>1</v>
      </c>
      <c r="B5" s="830" t="s">
        <v>2</v>
      </c>
      <c r="C5" s="1009" t="s">
        <v>3</v>
      </c>
      <c r="D5" s="1009"/>
      <c r="E5" s="829" t="s">
        <v>4</v>
      </c>
      <c r="F5" s="829" t="s">
        <v>5</v>
      </c>
      <c r="G5" s="832" t="s">
        <v>6</v>
      </c>
      <c r="H5" s="1008" t="s">
        <v>7</v>
      </c>
      <c r="I5" s="1008"/>
      <c r="J5" s="828" t="s">
        <v>4</v>
      </c>
      <c r="K5" s="836" t="s">
        <v>8</v>
      </c>
      <c r="L5" s="828" t="s">
        <v>9</v>
      </c>
      <c r="M5" s="829" t="s">
        <v>10</v>
      </c>
      <c r="N5" s="829" t="s">
        <v>11</v>
      </c>
      <c r="O5" s="829" t="s">
        <v>12</v>
      </c>
      <c r="P5" s="825" t="s">
        <v>922</v>
      </c>
      <c r="Q5" s="825" t="s">
        <v>923</v>
      </c>
      <c r="R5" s="825" t="s">
        <v>924</v>
      </c>
      <c r="S5" s="825" t="s">
        <v>925</v>
      </c>
      <c r="T5" s="825" t="s">
        <v>13</v>
      </c>
      <c r="U5" s="825" t="s">
        <v>926</v>
      </c>
      <c r="V5" s="825" t="s">
        <v>891</v>
      </c>
      <c r="W5" s="825" t="s">
        <v>889</v>
      </c>
      <c r="X5" s="825" t="s">
        <v>14</v>
      </c>
      <c r="Y5" s="825" t="s">
        <v>15</v>
      </c>
      <c r="Z5" s="825" t="s">
        <v>16</v>
      </c>
      <c r="AA5" s="825" t="s">
        <v>905</v>
      </c>
      <c r="AB5" s="825" t="s">
        <v>17</v>
      </c>
      <c r="AC5" s="825" t="s">
        <v>18</v>
      </c>
      <c r="AD5" s="825" t="s">
        <v>19</v>
      </c>
      <c r="AE5" s="825" t="s">
        <v>927</v>
      </c>
      <c r="AF5" s="825" t="s">
        <v>20</v>
      </c>
      <c r="AG5" s="825" t="s">
        <v>892</v>
      </c>
      <c r="AH5" s="825" t="s">
        <v>21</v>
      </c>
      <c r="AI5" s="825" t="s">
        <v>22</v>
      </c>
      <c r="AJ5" s="825" t="s">
        <v>893</v>
      </c>
      <c r="AK5" s="825" t="s">
        <v>928</v>
      </c>
      <c r="AL5" s="826" t="s">
        <v>23</v>
      </c>
      <c r="AM5" s="825" t="s">
        <v>24</v>
      </c>
      <c r="AN5" s="825" t="s">
        <v>944</v>
      </c>
      <c r="AO5" s="825" t="s">
        <v>888</v>
      </c>
      <c r="AP5" s="825" t="s">
        <v>921</v>
      </c>
      <c r="AQ5" s="827" t="s">
        <v>932</v>
      </c>
    </row>
    <row r="6" spans="1:43" s="47" customFormat="1" ht="18" customHeight="1" x14ac:dyDescent="0.25">
      <c r="A6" s="134" t="s">
        <v>25</v>
      </c>
      <c r="B6" s="135"/>
      <c r="C6" s="136"/>
      <c r="D6" s="135"/>
      <c r="E6" s="135"/>
      <c r="F6" s="135"/>
      <c r="G6" s="135"/>
      <c r="H6" s="136"/>
      <c r="I6" s="135"/>
      <c r="J6" s="135"/>
      <c r="K6" s="135"/>
      <c r="L6" s="135"/>
      <c r="M6" s="650"/>
      <c r="N6" s="135"/>
      <c r="O6" s="136"/>
      <c r="P6" s="135"/>
      <c r="Q6" s="135"/>
      <c r="R6" s="135"/>
      <c r="S6" s="135"/>
      <c r="T6" s="135"/>
      <c r="U6" s="135"/>
      <c r="V6" s="135"/>
      <c r="W6" s="135"/>
      <c r="X6" s="135"/>
      <c r="Y6" s="135"/>
      <c r="Z6" s="135"/>
      <c r="AA6" s="135"/>
      <c r="AB6" s="135"/>
      <c r="AC6" s="135"/>
      <c r="AD6" s="135"/>
      <c r="AE6" s="135"/>
      <c r="AF6" s="135"/>
      <c r="AG6" s="135"/>
      <c r="AH6" s="135"/>
      <c r="AI6" s="135"/>
      <c r="AJ6" s="135"/>
      <c r="AK6" s="135"/>
      <c r="AL6" s="137"/>
      <c r="AM6" s="138"/>
      <c r="AN6" s="135"/>
      <c r="AO6" s="135"/>
      <c r="AP6" s="135"/>
      <c r="AQ6" s="564"/>
    </row>
    <row r="7" spans="1:43" s="47" customFormat="1" ht="18" customHeight="1" x14ac:dyDescent="0.25">
      <c r="A7" s="139">
        <v>5</v>
      </c>
      <c r="B7" s="140" t="s">
        <v>26</v>
      </c>
      <c r="C7" s="141"/>
      <c r="D7" s="140"/>
      <c r="E7" s="140"/>
      <c r="F7" s="140"/>
      <c r="G7" s="140"/>
      <c r="H7" s="141"/>
      <c r="I7" s="140"/>
      <c r="J7" s="140"/>
      <c r="K7" s="140"/>
      <c r="L7" s="140"/>
      <c r="M7" s="651"/>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2"/>
      <c r="AM7" s="140"/>
      <c r="AN7" s="140"/>
      <c r="AO7" s="140"/>
      <c r="AP7" s="140"/>
      <c r="AQ7" s="538"/>
    </row>
    <row r="8" spans="1:43" s="47" customFormat="1" ht="18" customHeight="1" x14ac:dyDescent="0.25">
      <c r="A8" s="143"/>
      <c r="B8" s="144">
        <v>28</v>
      </c>
      <c r="C8" s="145" t="s">
        <v>27</v>
      </c>
      <c r="D8" s="146"/>
      <c r="E8" s="146"/>
      <c r="F8" s="146"/>
      <c r="G8" s="146"/>
      <c r="H8" s="147"/>
      <c r="I8" s="146"/>
      <c r="J8" s="146"/>
      <c r="K8" s="146"/>
      <c r="L8" s="146"/>
      <c r="M8" s="652"/>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8"/>
      <c r="AM8" s="146"/>
      <c r="AN8" s="146"/>
      <c r="AO8" s="146"/>
      <c r="AP8" s="146"/>
      <c r="AQ8" s="524"/>
    </row>
    <row r="9" spans="1:43" s="47" customFormat="1" ht="18" customHeight="1" x14ac:dyDescent="0.25">
      <c r="A9" s="22"/>
      <c r="B9" s="149"/>
      <c r="C9" s="1010"/>
      <c r="D9" s="151"/>
      <c r="E9" s="151"/>
      <c r="F9" s="151"/>
      <c r="G9" s="1">
        <v>89</v>
      </c>
      <c r="H9" s="2" t="s">
        <v>28</v>
      </c>
      <c r="I9" s="2"/>
      <c r="J9" s="3"/>
      <c r="K9" s="3"/>
      <c r="L9" s="3"/>
      <c r="M9" s="640"/>
      <c r="N9" s="3"/>
      <c r="O9" s="3"/>
      <c r="P9" s="3"/>
      <c r="Q9" s="3"/>
      <c r="R9" s="3"/>
      <c r="S9" s="3"/>
      <c r="T9" s="3"/>
      <c r="U9" s="3"/>
      <c r="V9" s="3"/>
      <c r="W9" s="3"/>
      <c r="X9" s="3"/>
      <c r="Y9" s="3"/>
      <c r="Z9" s="3"/>
      <c r="AA9" s="3"/>
      <c r="AB9" s="3"/>
      <c r="AC9" s="3"/>
      <c r="AD9" s="3"/>
      <c r="AE9" s="3"/>
      <c r="AF9" s="3"/>
      <c r="AG9" s="3"/>
      <c r="AH9" s="3"/>
      <c r="AI9" s="3"/>
      <c r="AJ9" s="3"/>
      <c r="AK9" s="3"/>
      <c r="AL9" s="109"/>
      <c r="AM9" s="3"/>
      <c r="AN9" s="3"/>
      <c r="AO9" s="3"/>
      <c r="AP9" s="3"/>
      <c r="AQ9" s="126"/>
    </row>
    <row r="10" spans="1:43" s="28" customFormat="1" ht="125.25" customHeight="1" x14ac:dyDescent="0.25">
      <c r="A10" s="22"/>
      <c r="B10" s="20"/>
      <c r="C10" s="773" t="s">
        <v>909</v>
      </c>
      <c r="D10" s="774" t="s">
        <v>938</v>
      </c>
      <c r="E10" s="775">
        <v>0</v>
      </c>
      <c r="F10" s="775">
        <v>2</v>
      </c>
      <c r="G10" s="23"/>
      <c r="H10" s="760">
        <v>282</v>
      </c>
      <c r="I10" s="774" t="s">
        <v>29</v>
      </c>
      <c r="J10" s="24" t="s">
        <v>30</v>
      </c>
      <c r="K10" s="24">
        <v>2</v>
      </c>
      <c r="L10" s="25" t="s">
        <v>31</v>
      </c>
      <c r="M10" s="812" t="s">
        <v>32</v>
      </c>
      <c r="N10" s="774" t="s">
        <v>33</v>
      </c>
      <c r="O10" s="775" t="s">
        <v>34</v>
      </c>
      <c r="P10" s="26">
        <v>0</v>
      </c>
      <c r="Q10" s="26">
        <v>0</v>
      </c>
      <c r="R10" s="26">
        <v>0</v>
      </c>
      <c r="S10" s="26">
        <v>0</v>
      </c>
      <c r="T10" s="26">
        <v>0</v>
      </c>
      <c r="U10" s="26">
        <v>0</v>
      </c>
      <c r="V10" s="26">
        <v>0</v>
      </c>
      <c r="W10" s="26"/>
      <c r="X10" s="26"/>
      <c r="Y10" s="26"/>
      <c r="Z10" s="26">
        <v>0</v>
      </c>
      <c r="AA10" s="26"/>
      <c r="AB10" s="26">
        <v>0</v>
      </c>
      <c r="AC10" s="26">
        <v>0</v>
      </c>
      <c r="AD10" s="26"/>
      <c r="AE10" s="26"/>
      <c r="AF10" s="26"/>
      <c r="AG10" s="26"/>
      <c r="AH10" s="26"/>
      <c r="AI10" s="26"/>
      <c r="AJ10" s="26">
        <v>0</v>
      </c>
      <c r="AK10" s="26">
        <v>0</v>
      </c>
      <c r="AL10" s="110">
        <v>39000000</v>
      </c>
      <c r="AM10" s="14"/>
      <c r="AN10" s="26">
        <v>0</v>
      </c>
      <c r="AO10" s="27">
        <v>0</v>
      </c>
      <c r="AP10" s="27"/>
      <c r="AQ10" s="26">
        <f t="shared" ref="AQ10:AQ18" si="0">P10+Q10+R10+S10+T10+U10+V10+W10+X10+Y10+Z10+AA10+AB10+AC10+AD10+AE10+AF10+AG10+AH10+AI10+AJ10+AK10+AL10+AM10+AN10+AP10+AO10</f>
        <v>39000000</v>
      </c>
    </row>
    <row r="11" spans="1:43" s="28" customFormat="1" ht="132" customHeight="1" x14ac:dyDescent="0.25">
      <c r="A11" s="22"/>
      <c r="B11" s="20"/>
      <c r="C11" s="773" t="s">
        <v>910</v>
      </c>
      <c r="D11" s="774" t="s">
        <v>939</v>
      </c>
      <c r="E11" s="775"/>
      <c r="F11" s="775"/>
      <c r="G11" s="29"/>
      <c r="H11" s="775">
        <v>283</v>
      </c>
      <c r="I11" s="774" t="s">
        <v>35</v>
      </c>
      <c r="J11" s="24" t="s">
        <v>30</v>
      </c>
      <c r="K11" s="24">
        <v>1</v>
      </c>
      <c r="L11" s="25" t="s">
        <v>31</v>
      </c>
      <c r="M11" s="813" t="s">
        <v>36</v>
      </c>
      <c r="N11" s="774" t="s">
        <v>37</v>
      </c>
      <c r="O11" s="775" t="s">
        <v>38</v>
      </c>
      <c r="P11" s="26">
        <v>0</v>
      </c>
      <c r="Q11" s="26">
        <v>0</v>
      </c>
      <c r="R11" s="26">
        <v>0</v>
      </c>
      <c r="S11" s="26">
        <v>0</v>
      </c>
      <c r="T11" s="26">
        <v>0</v>
      </c>
      <c r="U11" s="26">
        <v>0</v>
      </c>
      <c r="V11" s="26">
        <v>0</v>
      </c>
      <c r="W11" s="26"/>
      <c r="X11" s="26"/>
      <c r="Y11" s="26"/>
      <c r="Z11" s="26">
        <v>0</v>
      </c>
      <c r="AA11" s="26"/>
      <c r="AB11" s="26">
        <v>0</v>
      </c>
      <c r="AC11" s="26">
        <v>0</v>
      </c>
      <c r="AD11" s="26"/>
      <c r="AE11" s="26"/>
      <c r="AF11" s="26"/>
      <c r="AG11" s="26"/>
      <c r="AH11" s="26"/>
      <c r="AI11" s="26"/>
      <c r="AJ11" s="26">
        <v>0</v>
      </c>
      <c r="AK11" s="26">
        <v>0</v>
      </c>
      <c r="AL11" s="110">
        <v>48317341</v>
      </c>
      <c r="AM11" s="14"/>
      <c r="AN11" s="26">
        <v>0</v>
      </c>
      <c r="AO11" s="27">
        <v>0</v>
      </c>
      <c r="AP11" s="27"/>
      <c r="AQ11" s="26">
        <f t="shared" si="0"/>
        <v>48317341</v>
      </c>
    </row>
    <row r="12" spans="1:43" s="28" customFormat="1" ht="76.5" customHeight="1" x14ac:dyDescent="0.25">
      <c r="A12" s="22"/>
      <c r="B12" s="20"/>
      <c r="C12" s="773">
        <v>38</v>
      </c>
      <c r="D12" s="774" t="s">
        <v>39</v>
      </c>
      <c r="E12" s="775"/>
      <c r="F12" s="775"/>
      <c r="G12" s="29"/>
      <c r="H12" s="775">
        <v>284</v>
      </c>
      <c r="I12" s="774" t="s">
        <v>40</v>
      </c>
      <c r="J12" s="24">
        <v>1</v>
      </c>
      <c r="K12" s="24">
        <v>1</v>
      </c>
      <c r="L12" s="25" t="s">
        <v>31</v>
      </c>
      <c r="M12" s="813" t="s">
        <v>41</v>
      </c>
      <c r="N12" s="774" t="s">
        <v>42</v>
      </c>
      <c r="O12" s="775" t="s">
        <v>38</v>
      </c>
      <c r="P12" s="26">
        <v>0</v>
      </c>
      <c r="Q12" s="26">
        <v>0</v>
      </c>
      <c r="R12" s="26">
        <v>0</v>
      </c>
      <c r="S12" s="26">
        <v>0</v>
      </c>
      <c r="T12" s="26">
        <v>0</v>
      </c>
      <c r="U12" s="26">
        <v>0</v>
      </c>
      <c r="V12" s="26">
        <v>0</v>
      </c>
      <c r="W12" s="26"/>
      <c r="X12" s="26"/>
      <c r="Y12" s="26"/>
      <c r="Z12" s="26">
        <v>0</v>
      </c>
      <c r="AA12" s="26"/>
      <c r="AB12" s="26">
        <v>0</v>
      </c>
      <c r="AC12" s="26">
        <v>0</v>
      </c>
      <c r="AD12" s="26"/>
      <c r="AE12" s="26"/>
      <c r="AF12" s="26"/>
      <c r="AG12" s="26"/>
      <c r="AH12" s="26"/>
      <c r="AI12" s="26"/>
      <c r="AJ12" s="26">
        <v>0</v>
      </c>
      <c r="AK12" s="26">
        <v>0</v>
      </c>
      <c r="AL12" s="110">
        <v>70162427</v>
      </c>
      <c r="AM12" s="14"/>
      <c r="AN12" s="26">
        <v>0</v>
      </c>
      <c r="AO12" s="27">
        <v>0</v>
      </c>
      <c r="AP12" s="27"/>
      <c r="AQ12" s="26">
        <f t="shared" si="0"/>
        <v>70162427</v>
      </c>
    </row>
    <row r="13" spans="1:43" s="28" customFormat="1" ht="74.25" customHeight="1" x14ac:dyDescent="0.25">
      <c r="A13" s="22"/>
      <c r="B13" s="20"/>
      <c r="C13" s="773">
        <v>38</v>
      </c>
      <c r="D13" s="774" t="s">
        <v>39</v>
      </c>
      <c r="E13" s="775"/>
      <c r="F13" s="775"/>
      <c r="G13" s="29"/>
      <c r="H13" s="775">
        <v>285</v>
      </c>
      <c r="I13" s="774" t="s">
        <v>917</v>
      </c>
      <c r="J13" s="24">
        <v>1</v>
      </c>
      <c r="K13" s="24">
        <v>1</v>
      </c>
      <c r="L13" s="25" t="s">
        <v>31</v>
      </c>
      <c r="M13" s="813" t="s">
        <v>43</v>
      </c>
      <c r="N13" s="774" t="s">
        <v>44</v>
      </c>
      <c r="O13" s="775" t="s">
        <v>38</v>
      </c>
      <c r="P13" s="26">
        <v>0</v>
      </c>
      <c r="Q13" s="26">
        <v>0</v>
      </c>
      <c r="R13" s="26">
        <v>0</v>
      </c>
      <c r="S13" s="26">
        <v>0</v>
      </c>
      <c r="T13" s="26">
        <v>0</v>
      </c>
      <c r="U13" s="26">
        <v>0</v>
      </c>
      <c r="V13" s="26">
        <v>0</v>
      </c>
      <c r="W13" s="26"/>
      <c r="X13" s="26"/>
      <c r="Y13" s="26"/>
      <c r="Z13" s="26">
        <v>0</v>
      </c>
      <c r="AA13" s="26"/>
      <c r="AB13" s="26">
        <v>0</v>
      </c>
      <c r="AC13" s="26">
        <v>0</v>
      </c>
      <c r="AD13" s="26"/>
      <c r="AE13" s="26"/>
      <c r="AF13" s="26"/>
      <c r="AG13" s="26"/>
      <c r="AH13" s="26"/>
      <c r="AI13" s="26"/>
      <c r="AJ13" s="26">
        <v>0</v>
      </c>
      <c r="AK13" s="26">
        <v>0</v>
      </c>
      <c r="AL13" s="110">
        <v>59525000</v>
      </c>
      <c r="AM13" s="14"/>
      <c r="AN13" s="26">
        <v>0</v>
      </c>
      <c r="AO13" s="27">
        <v>0</v>
      </c>
      <c r="AP13" s="27"/>
      <c r="AQ13" s="26">
        <f t="shared" si="0"/>
        <v>59525000</v>
      </c>
    </row>
    <row r="14" spans="1:43" s="28" customFormat="1" ht="84.75" customHeight="1" x14ac:dyDescent="0.25">
      <c r="A14" s="22"/>
      <c r="B14" s="20"/>
      <c r="C14" s="773">
        <v>38</v>
      </c>
      <c r="D14" s="774" t="s">
        <v>39</v>
      </c>
      <c r="E14" s="775"/>
      <c r="F14" s="775"/>
      <c r="G14" s="30"/>
      <c r="H14" s="775">
        <v>280</v>
      </c>
      <c r="I14" s="774" t="s">
        <v>45</v>
      </c>
      <c r="J14" s="31">
        <v>0</v>
      </c>
      <c r="K14" s="31">
        <v>1</v>
      </c>
      <c r="L14" s="849" t="s">
        <v>31</v>
      </c>
      <c r="M14" s="924" t="s">
        <v>46</v>
      </c>
      <c r="N14" s="849" t="s">
        <v>47</v>
      </c>
      <c r="O14" s="775" t="s">
        <v>38</v>
      </c>
      <c r="P14" s="26">
        <v>0</v>
      </c>
      <c r="Q14" s="26">
        <v>0</v>
      </c>
      <c r="R14" s="26">
        <v>0</v>
      </c>
      <c r="S14" s="26">
        <v>0</v>
      </c>
      <c r="T14" s="26">
        <v>0</v>
      </c>
      <c r="U14" s="26">
        <v>0</v>
      </c>
      <c r="V14" s="26">
        <v>0</v>
      </c>
      <c r="W14" s="26"/>
      <c r="X14" s="26"/>
      <c r="Y14" s="26"/>
      <c r="Z14" s="26">
        <v>0</v>
      </c>
      <c r="AA14" s="26"/>
      <c r="AB14" s="26">
        <v>0</v>
      </c>
      <c r="AC14" s="26">
        <v>0</v>
      </c>
      <c r="AD14" s="26"/>
      <c r="AE14" s="26"/>
      <c r="AF14" s="26"/>
      <c r="AG14" s="26"/>
      <c r="AH14" s="26"/>
      <c r="AI14" s="26"/>
      <c r="AJ14" s="26">
        <v>0</v>
      </c>
      <c r="AK14" s="26">
        <v>0</v>
      </c>
      <c r="AL14" s="111">
        <v>70000000</v>
      </c>
      <c r="AM14" s="32"/>
      <c r="AN14" s="26">
        <v>0</v>
      </c>
      <c r="AO14" s="27">
        <v>0</v>
      </c>
      <c r="AP14" s="27"/>
      <c r="AQ14" s="26">
        <f t="shared" si="0"/>
        <v>70000000</v>
      </c>
    </row>
    <row r="15" spans="1:43" s="28" customFormat="1" ht="57" x14ac:dyDescent="0.25">
      <c r="A15" s="22"/>
      <c r="B15" s="20"/>
      <c r="C15" s="773"/>
      <c r="D15" s="774"/>
      <c r="E15" s="775"/>
      <c r="F15" s="775"/>
      <c r="G15" s="30"/>
      <c r="H15" s="775">
        <v>281</v>
      </c>
      <c r="I15" s="774" t="s">
        <v>48</v>
      </c>
      <c r="J15" s="31">
        <v>0</v>
      </c>
      <c r="K15" s="31">
        <v>1</v>
      </c>
      <c r="L15" s="857"/>
      <c r="M15" s="925"/>
      <c r="N15" s="857"/>
      <c r="O15" s="775" t="s">
        <v>38</v>
      </c>
      <c r="P15" s="26"/>
      <c r="Q15" s="26"/>
      <c r="R15" s="26"/>
      <c r="S15" s="26"/>
      <c r="T15" s="26"/>
      <c r="U15" s="26"/>
      <c r="V15" s="26"/>
      <c r="W15" s="26"/>
      <c r="X15" s="26"/>
      <c r="Y15" s="26"/>
      <c r="Z15" s="26"/>
      <c r="AA15" s="26"/>
      <c r="AB15" s="26"/>
      <c r="AC15" s="26"/>
      <c r="AD15" s="26"/>
      <c r="AE15" s="26"/>
      <c r="AF15" s="26"/>
      <c r="AG15" s="26"/>
      <c r="AH15" s="26"/>
      <c r="AI15" s="26"/>
      <c r="AJ15" s="26"/>
      <c r="AK15" s="26"/>
      <c r="AL15" s="111">
        <v>70000000</v>
      </c>
      <c r="AM15" s="32"/>
      <c r="AN15" s="26"/>
      <c r="AO15" s="27"/>
      <c r="AP15" s="27"/>
      <c r="AQ15" s="26">
        <f t="shared" si="0"/>
        <v>70000000</v>
      </c>
    </row>
    <row r="16" spans="1:43" s="28" customFormat="1" ht="42.75" x14ac:dyDescent="0.25">
      <c r="A16" s="22"/>
      <c r="B16" s="20"/>
      <c r="C16" s="773"/>
      <c r="D16" s="774"/>
      <c r="E16" s="775"/>
      <c r="F16" s="775"/>
      <c r="G16" s="30"/>
      <c r="H16" s="775">
        <v>286</v>
      </c>
      <c r="I16" s="774" t="s">
        <v>49</v>
      </c>
      <c r="J16" s="24">
        <v>1</v>
      </c>
      <c r="K16" s="24">
        <v>1</v>
      </c>
      <c r="L16" s="857"/>
      <c r="M16" s="925"/>
      <c r="N16" s="857"/>
      <c r="O16" s="775" t="s">
        <v>34</v>
      </c>
      <c r="P16" s="26"/>
      <c r="Q16" s="26"/>
      <c r="R16" s="26"/>
      <c r="S16" s="26"/>
      <c r="T16" s="26"/>
      <c r="U16" s="26"/>
      <c r="V16" s="26"/>
      <c r="W16" s="26"/>
      <c r="X16" s="26"/>
      <c r="Y16" s="26"/>
      <c r="Z16" s="26"/>
      <c r="AA16" s="26"/>
      <c r="AB16" s="26"/>
      <c r="AC16" s="26"/>
      <c r="AD16" s="26"/>
      <c r="AE16" s="26"/>
      <c r="AF16" s="26"/>
      <c r="AG16" s="26"/>
      <c r="AH16" s="26"/>
      <c r="AI16" s="26"/>
      <c r="AJ16" s="26"/>
      <c r="AK16" s="26"/>
      <c r="AL16" s="111">
        <v>140000000</v>
      </c>
      <c r="AM16" s="32"/>
      <c r="AN16" s="26"/>
      <c r="AO16" s="27"/>
      <c r="AP16" s="27"/>
      <c r="AQ16" s="26">
        <f t="shared" si="0"/>
        <v>140000000</v>
      </c>
    </row>
    <row r="17" spans="1:43" s="28" customFormat="1" ht="50.25" customHeight="1" x14ac:dyDescent="0.25">
      <c r="A17" s="22"/>
      <c r="B17" s="20"/>
      <c r="C17" s="773"/>
      <c r="D17" s="774"/>
      <c r="E17" s="775"/>
      <c r="F17" s="775"/>
      <c r="G17" s="30"/>
      <c r="H17" s="775">
        <v>287</v>
      </c>
      <c r="I17" s="774" t="s">
        <v>50</v>
      </c>
      <c r="J17" s="24">
        <v>1</v>
      </c>
      <c r="K17" s="24">
        <v>1</v>
      </c>
      <c r="L17" s="857"/>
      <c r="M17" s="925"/>
      <c r="N17" s="857"/>
      <c r="O17" s="775" t="s">
        <v>38</v>
      </c>
      <c r="P17" s="26"/>
      <c r="Q17" s="26"/>
      <c r="R17" s="26"/>
      <c r="S17" s="26"/>
      <c r="T17" s="26"/>
      <c r="U17" s="26"/>
      <c r="V17" s="26"/>
      <c r="W17" s="26"/>
      <c r="X17" s="26"/>
      <c r="Y17" s="26"/>
      <c r="Z17" s="26"/>
      <c r="AA17" s="26"/>
      <c r="AB17" s="26"/>
      <c r="AC17" s="26"/>
      <c r="AD17" s="26"/>
      <c r="AE17" s="26"/>
      <c r="AF17" s="26"/>
      <c r="AG17" s="26"/>
      <c r="AH17" s="26"/>
      <c r="AI17" s="26"/>
      <c r="AJ17" s="26"/>
      <c r="AK17" s="26"/>
      <c r="AL17" s="111">
        <v>257642633</v>
      </c>
      <c r="AM17" s="32"/>
      <c r="AN17" s="26"/>
      <c r="AO17" s="27"/>
      <c r="AP17" s="27"/>
      <c r="AQ17" s="26">
        <f t="shared" si="0"/>
        <v>257642633</v>
      </c>
    </row>
    <row r="18" spans="1:43" s="28" customFormat="1" ht="63" customHeight="1" x14ac:dyDescent="0.25">
      <c r="A18" s="22"/>
      <c r="B18" s="20"/>
      <c r="C18" s="773"/>
      <c r="D18" s="774"/>
      <c r="E18" s="775"/>
      <c r="F18" s="775"/>
      <c r="G18" s="30"/>
      <c r="H18" s="775">
        <v>289</v>
      </c>
      <c r="I18" s="774" t="s">
        <v>890</v>
      </c>
      <c r="J18" s="24" t="s">
        <v>30</v>
      </c>
      <c r="K18" s="24">
        <v>1</v>
      </c>
      <c r="L18" s="850"/>
      <c r="M18" s="926"/>
      <c r="N18" s="850"/>
      <c r="O18" s="775" t="s">
        <v>34</v>
      </c>
      <c r="P18" s="26"/>
      <c r="Q18" s="26"/>
      <c r="R18" s="26"/>
      <c r="S18" s="26"/>
      <c r="T18" s="26"/>
      <c r="U18" s="26"/>
      <c r="V18" s="26"/>
      <c r="W18" s="26"/>
      <c r="X18" s="26"/>
      <c r="Y18" s="26"/>
      <c r="Z18" s="26"/>
      <c r="AA18" s="26"/>
      <c r="AB18" s="26"/>
      <c r="AC18" s="26"/>
      <c r="AD18" s="26"/>
      <c r="AE18" s="26"/>
      <c r="AF18" s="26"/>
      <c r="AG18" s="26"/>
      <c r="AH18" s="26"/>
      <c r="AI18" s="26"/>
      <c r="AJ18" s="26"/>
      <c r="AK18" s="26"/>
      <c r="AL18" s="111">
        <v>1400000000</v>
      </c>
      <c r="AM18" s="32"/>
      <c r="AN18" s="26"/>
      <c r="AO18" s="27"/>
      <c r="AP18" s="27"/>
      <c r="AQ18" s="26">
        <f t="shared" si="0"/>
        <v>1400000000</v>
      </c>
    </row>
    <row r="19" spans="1:43" ht="15" x14ac:dyDescent="0.25">
      <c r="A19" s="22"/>
      <c r="B19" s="152"/>
      <c r="C19" s="773"/>
      <c r="D19" s="153"/>
      <c r="E19" s="579"/>
      <c r="F19" s="579"/>
      <c r="G19" s="154"/>
      <c r="H19" s="155"/>
      <c r="I19" s="154"/>
      <c r="J19" s="156"/>
      <c r="K19" s="156"/>
      <c r="L19" s="156"/>
      <c r="M19" s="157"/>
      <c r="N19" s="154"/>
      <c r="O19" s="155"/>
      <c r="P19" s="158">
        <f>SUM(P10:P18)</f>
        <v>0</v>
      </c>
      <c r="Q19" s="158">
        <f t="shared" ref="Q19:AK19" si="1">SUM(Q10:Q18)</f>
        <v>0</v>
      </c>
      <c r="R19" s="158">
        <f t="shared" si="1"/>
        <v>0</v>
      </c>
      <c r="S19" s="158">
        <f t="shared" si="1"/>
        <v>0</v>
      </c>
      <c r="T19" s="158">
        <f t="shared" si="1"/>
        <v>0</v>
      </c>
      <c r="U19" s="158">
        <f t="shared" si="1"/>
        <v>0</v>
      </c>
      <c r="V19" s="158">
        <f t="shared" si="1"/>
        <v>0</v>
      </c>
      <c r="W19" s="158">
        <f t="shared" si="1"/>
        <v>0</v>
      </c>
      <c r="X19" s="158">
        <f t="shared" si="1"/>
        <v>0</v>
      </c>
      <c r="Y19" s="158">
        <f t="shared" si="1"/>
        <v>0</v>
      </c>
      <c r="Z19" s="158">
        <f t="shared" si="1"/>
        <v>0</v>
      </c>
      <c r="AA19" s="158">
        <f t="shared" si="1"/>
        <v>0</v>
      </c>
      <c r="AB19" s="158">
        <f t="shared" si="1"/>
        <v>0</v>
      </c>
      <c r="AC19" s="158">
        <f t="shared" si="1"/>
        <v>0</v>
      </c>
      <c r="AD19" s="158">
        <f t="shared" si="1"/>
        <v>0</v>
      </c>
      <c r="AE19" s="158">
        <f t="shared" si="1"/>
        <v>0</v>
      </c>
      <c r="AF19" s="158">
        <f t="shared" si="1"/>
        <v>0</v>
      </c>
      <c r="AG19" s="158">
        <f t="shared" si="1"/>
        <v>0</v>
      </c>
      <c r="AH19" s="158">
        <f t="shared" si="1"/>
        <v>0</v>
      </c>
      <c r="AI19" s="158">
        <f t="shared" si="1"/>
        <v>0</v>
      </c>
      <c r="AJ19" s="158">
        <f t="shared" si="1"/>
        <v>0</v>
      </c>
      <c r="AK19" s="158">
        <f t="shared" si="1"/>
        <v>0</v>
      </c>
      <c r="AL19" s="158">
        <f t="shared" ref="AL19:AP19" si="2">SUM(AL10:AL18)</f>
        <v>2154647401</v>
      </c>
      <c r="AM19" s="158">
        <f t="shared" si="2"/>
        <v>0</v>
      </c>
      <c r="AN19" s="158">
        <f t="shared" si="2"/>
        <v>0</v>
      </c>
      <c r="AO19" s="158">
        <f t="shared" si="2"/>
        <v>0</v>
      </c>
      <c r="AP19" s="158">
        <f t="shared" si="2"/>
        <v>0</v>
      </c>
      <c r="AQ19" s="158">
        <f>SUM(AQ10:AQ18)</f>
        <v>2154647401</v>
      </c>
    </row>
    <row r="20" spans="1:43" ht="15" x14ac:dyDescent="0.25">
      <c r="A20" s="160"/>
      <c r="B20" s="161"/>
      <c r="C20" s="162"/>
      <c r="D20" s="161"/>
      <c r="E20" s="162"/>
      <c r="F20" s="162"/>
      <c r="G20" s="161"/>
      <c r="H20" s="162"/>
      <c r="I20" s="161"/>
      <c r="J20" s="163"/>
      <c r="K20" s="163"/>
      <c r="L20" s="163"/>
      <c r="M20" s="164"/>
      <c r="N20" s="161"/>
      <c r="O20" s="162"/>
      <c r="P20" s="165">
        <f>P19</f>
        <v>0</v>
      </c>
      <c r="Q20" s="165">
        <f t="shared" ref="Q20:AK20" si="3">Q19</f>
        <v>0</v>
      </c>
      <c r="R20" s="165">
        <f t="shared" si="3"/>
        <v>0</v>
      </c>
      <c r="S20" s="165">
        <f t="shared" si="3"/>
        <v>0</v>
      </c>
      <c r="T20" s="165">
        <f t="shared" si="3"/>
        <v>0</v>
      </c>
      <c r="U20" s="165">
        <f t="shared" si="3"/>
        <v>0</v>
      </c>
      <c r="V20" s="165">
        <f t="shared" si="3"/>
        <v>0</v>
      </c>
      <c r="W20" s="165">
        <f t="shared" si="3"/>
        <v>0</v>
      </c>
      <c r="X20" s="165">
        <f t="shared" si="3"/>
        <v>0</v>
      </c>
      <c r="Y20" s="165">
        <f t="shared" si="3"/>
        <v>0</v>
      </c>
      <c r="Z20" s="165">
        <f t="shared" si="3"/>
        <v>0</v>
      </c>
      <c r="AA20" s="165">
        <f t="shared" si="3"/>
        <v>0</v>
      </c>
      <c r="AB20" s="165">
        <f t="shared" si="3"/>
        <v>0</v>
      </c>
      <c r="AC20" s="165">
        <f t="shared" si="3"/>
        <v>0</v>
      </c>
      <c r="AD20" s="165">
        <f t="shared" si="3"/>
        <v>0</v>
      </c>
      <c r="AE20" s="165">
        <f t="shared" si="3"/>
        <v>0</v>
      </c>
      <c r="AF20" s="165">
        <f t="shared" si="3"/>
        <v>0</v>
      </c>
      <c r="AG20" s="165">
        <f t="shared" si="3"/>
        <v>0</v>
      </c>
      <c r="AH20" s="165">
        <f t="shared" si="3"/>
        <v>0</v>
      </c>
      <c r="AI20" s="165">
        <f t="shared" si="3"/>
        <v>0</v>
      </c>
      <c r="AJ20" s="165">
        <f t="shared" si="3"/>
        <v>0</v>
      </c>
      <c r="AK20" s="165">
        <f t="shared" si="3"/>
        <v>0</v>
      </c>
      <c r="AL20" s="165">
        <f t="shared" ref="AL20:AP20" si="4">AL19</f>
        <v>2154647401</v>
      </c>
      <c r="AM20" s="165">
        <f t="shared" si="4"/>
        <v>0</v>
      </c>
      <c r="AN20" s="165">
        <f t="shared" si="4"/>
        <v>0</v>
      </c>
      <c r="AO20" s="165">
        <f t="shared" si="4"/>
        <v>0</v>
      </c>
      <c r="AP20" s="165">
        <f t="shared" si="4"/>
        <v>0</v>
      </c>
      <c r="AQ20" s="165">
        <f>AQ19</f>
        <v>2154647401</v>
      </c>
    </row>
    <row r="21" spans="1:43" ht="15" x14ac:dyDescent="0.25">
      <c r="A21" s="166"/>
      <c r="B21" s="166"/>
      <c r="C21" s="167"/>
      <c r="D21" s="166"/>
      <c r="E21" s="167"/>
      <c r="F21" s="167"/>
      <c r="G21" s="166"/>
      <c r="H21" s="167"/>
      <c r="I21" s="166"/>
      <c r="J21" s="168"/>
      <c r="K21" s="168"/>
      <c r="L21" s="168"/>
      <c r="M21" s="169"/>
      <c r="N21" s="166"/>
      <c r="O21" s="167"/>
      <c r="P21" s="170">
        <f>+P20</f>
        <v>0</v>
      </c>
      <c r="Q21" s="170">
        <f t="shared" ref="Q21:AK21" si="5">+Q20</f>
        <v>0</v>
      </c>
      <c r="R21" s="170">
        <f t="shared" si="5"/>
        <v>0</v>
      </c>
      <c r="S21" s="170">
        <f t="shared" si="5"/>
        <v>0</v>
      </c>
      <c r="T21" s="170">
        <f t="shared" si="5"/>
        <v>0</v>
      </c>
      <c r="U21" s="170">
        <f t="shared" si="5"/>
        <v>0</v>
      </c>
      <c r="V21" s="170">
        <f t="shared" si="5"/>
        <v>0</v>
      </c>
      <c r="W21" s="170">
        <f t="shared" si="5"/>
        <v>0</v>
      </c>
      <c r="X21" s="170">
        <f t="shared" si="5"/>
        <v>0</v>
      </c>
      <c r="Y21" s="170">
        <f t="shared" si="5"/>
        <v>0</v>
      </c>
      <c r="Z21" s="170">
        <f t="shared" si="5"/>
        <v>0</v>
      </c>
      <c r="AA21" s="170">
        <f t="shared" si="5"/>
        <v>0</v>
      </c>
      <c r="AB21" s="170">
        <f t="shared" si="5"/>
        <v>0</v>
      </c>
      <c r="AC21" s="170">
        <f t="shared" si="5"/>
        <v>0</v>
      </c>
      <c r="AD21" s="170">
        <f t="shared" si="5"/>
        <v>0</v>
      </c>
      <c r="AE21" s="170">
        <f t="shared" si="5"/>
        <v>0</v>
      </c>
      <c r="AF21" s="170">
        <f t="shared" si="5"/>
        <v>0</v>
      </c>
      <c r="AG21" s="170">
        <f t="shared" si="5"/>
        <v>0</v>
      </c>
      <c r="AH21" s="170">
        <f t="shared" si="5"/>
        <v>0</v>
      </c>
      <c r="AI21" s="170">
        <f t="shared" si="5"/>
        <v>0</v>
      </c>
      <c r="AJ21" s="170">
        <f t="shared" si="5"/>
        <v>0</v>
      </c>
      <c r="AK21" s="170">
        <f t="shared" si="5"/>
        <v>0</v>
      </c>
      <c r="AL21" s="170">
        <f t="shared" ref="AL21:AP21" si="6">+AL20</f>
        <v>2154647401</v>
      </c>
      <c r="AM21" s="170">
        <f t="shared" si="6"/>
        <v>0</v>
      </c>
      <c r="AN21" s="170">
        <f t="shared" si="6"/>
        <v>0</v>
      </c>
      <c r="AO21" s="170">
        <f t="shared" si="6"/>
        <v>0</v>
      </c>
      <c r="AP21" s="170">
        <f t="shared" si="6"/>
        <v>0</v>
      </c>
      <c r="AQ21" s="170">
        <f>+AQ20</f>
        <v>2154647401</v>
      </c>
    </row>
    <row r="22" spans="1:43" ht="15" x14ac:dyDescent="0.25">
      <c r="A22" s="171"/>
      <c r="B22" s="171"/>
      <c r="C22" s="172"/>
      <c r="D22" s="171"/>
      <c r="E22" s="172"/>
      <c r="F22" s="172"/>
      <c r="G22" s="171"/>
      <c r="H22" s="172"/>
      <c r="I22" s="171"/>
      <c r="J22" s="173"/>
      <c r="K22" s="173"/>
      <c r="L22" s="173"/>
      <c r="M22" s="174"/>
      <c r="N22" s="171"/>
      <c r="O22" s="172"/>
      <c r="P22" s="175">
        <f>P21</f>
        <v>0</v>
      </c>
      <c r="Q22" s="175">
        <f t="shared" ref="Q22:AK22" si="7">Q21</f>
        <v>0</v>
      </c>
      <c r="R22" s="175">
        <f t="shared" si="7"/>
        <v>0</v>
      </c>
      <c r="S22" s="175">
        <f t="shared" si="7"/>
        <v>0</v>
      </c>
      <c r="T22" s="175">
        <f t="shared" si="7"/>
        <v>0</v>
      </c>
      <c r="U22" s="175">
        <f t="shared" si="7"/>
        <v>0</v>
      </c>
      <c r="V22" s="175">
        <f t="shared" si="7"/>
        <v>0</v>
      </c>
      <c r="W22" s="175">
        <f t="shared" si="7"/>
        <v>0</v>
      </c>
      <c r="X22" s="175">
        <f t="shared" si="7"/>
        <v>0</v>
      </c>
      <c r="Y22" s="175">
        <f t="shared" si="7"/>
        <v>0</v>
      </c>
      <c r="Z22" s="175">
        <f t="shared" si="7"/>
        <v>0</v>
      </c>
      <c r="AA22" s="175">
        <f t="shared" si="7"/>
        <v>0</v>
      </c>
      <c r="AB22" s="175">
        <f t="shared" si="7"/>
        <v>0</v>
      </c>
      <c r="AC22" s="175">
        <f t="shared" si="7"/>
        <v>0</v>
      </c>
      <c r="AD22" s="175">
        <f t="shared" si="7"/>
        <v>0</v>
      </c>
      <c r="AE22" s="175">
        <f t="shared" si="7"/>
        <v>0</v>
      </c>
      <c r="AF22" s="175">
        <f t="shared" si="7"/>
        <v>0</v>
      </c>
      <c r="AG22" s="175">
        <f t="shared" si="7"/>
        <v>0</v>
      </c>
      <c r="AH22" s="175">
        <f t="shared" si="7"/>
        <v>0</v>
      </c>
      <c r="AI22" s="175">
        <f t="shared" si="7"/>
        <v>0</v>
      </c>
      <c r="AJ22" s="175">
        <f t="shared" si="7"/>
        <v>0</v>
      </c>
      <c r="AK22" s="175">
        <f t="shared" si="7"/>
        <v>0</v>
      </c>
      <c r="AL22" s="175">
        <f t="shared" ref="AL22:AP22" si="8">AL21</f>
        <v>2154647401</v>
      </c>
      <c r="AM22" s="175">
        <f t="shared" si="8"/>
        <v>0</v>
      </c>
      <c r="AN22" s="175">
        <f t="shared" si="8"/>
        <v>0</v>
      </c>
      <c r="AO22" s="175">
        <f t="shared" si="8"/>
        <v>0</v>
      </c>
      <c r="AP22" s="175">
        <f t="shared" si="8"/>
        <v>0</v>
      </c>
      <c r="AQ22" s="175">
        <f>AQ21</f>
        <v>2154647401</v>
      </c>
    </row>
    <row r="23" spans="1:43" s="28" customFormat="1" ht="15" x14ac:dyDescent="0.25">
      <c r="A23" s="176"/>
      <c r="B23" s="177"/>
      <c r="C23" s="795"/>
      <c r="D23" s="177"/>
      <c r="E23" s="795"/>
      <c r="F23" s="795"/>
      <c r="G23" s="177"/>
      <c r="H23" s="795"/>
      <c r="I23" s="177"/>
      <c r="J23" s="178"/>
      <c r="K23" s="178"/>
      <c r="L23" s="178"/>
      <c r="M23" s="179"/>
      <c r="N23" s="177"/>
      <c r="O23" s="795"/>
      <c r="P23" s="180"/>
      <c r="Q23" s="180"/>
      <c r="R23" s="180"/>
      <c r="S23" s="180"/>
      <c r="T23" s="180"/>
      <c r="U23" s="180"/>
      <c r="V23" s="180"/>
      <c r="W23" s="180"/>
      <c r="X23" s="180"/>
      <c r="Y23" s="180"/>
      <c r="Z23" s="180"/>
      <c r="AA23" s="180"/>
      <c r="AB23" s="180"/>
      <c r="AC23" s="180"/>
      <c r="AD23" s="181"/>
      <c r="AE23" s="181"/>
      <c r="AF23" s="181"/>
      <c r="AG23" s="181"/>
      <c r="AH23" s="181"/>
      <c r="AI23" s="181"/>
      <c r="AJ23" s="180"/>
      <c r="AK23" s="180"/>
      <c r="AL23" s="182"/>
      <c r="AM23" s="183"/>
      <c r="AN23" s="180"/>
      <c r="AO23" s="180"/>
      <c r="AP23" s="180"/>
      <c r="AQ23" s="815"/>
    </row>
    <row r="24" spans="1:43" s="47" customFormat="1" ht="20.25" x14ac:dyDescent="0.25">
      <c r="A24" s="134" t="s">
        <v>51</v>
      </c>
      <c r="B24" s="135"/>
      <c r="C24" s="136"/>
      <c r="D24" s="135"/>
      <c r="E24" s="135"/>
      <c r="F24" s="135"/>
      <c r="G24" s="135"/>
      <c r="H24" s="136"/>
      <c r="I24" s="135"/>
      <c r="J24" s="135"/>
      <c r="K24" s="135"/>
      <c r="L24" s="135"/>
      <c r="M24" s="650"/>
      <c r="N24" s="135"/>
      <c r="O24" s="136"/>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7"/>
      <c r="AM24" s="138"/>
      <c r="AN24" s="135"/>
      <c r="AO24" s="135"/>
      <c r="AP24" s="135"/>
      <c r="AQ24" s="564" t="s">
        <v>0</v>
      </c>
    </row>
    <row r="25" spans="1:43" ht="15" x14ac:dyDescent="0.25">
      <c r="A25" s="139">
        <v>5</v>
      </c>
      <c r="B25" s="140" t="s">
        <v>26</v>
      </c>
      <c r="C25" s="141"/>
      <c r="D25" s="140"/>
      <c r="E25" s="140"/>
      <c r="F25" s="140"/>
      <c r="G25" s="140"/>
      <c r="H25" s="141"/>
      <c r="I25" s="140"/>
      <c r="J25" s="140"/>
      <c r="K25" s="140"/>
      <c r="L25" s="140"/>
      <c r="M25" s="651"/>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2"/>
      <c r="AM25" s="140"/>
      <c r="AN25" s="140"/>
      <c r="AO25" s="140"/>
      <c r="AP25" s="140"/>
      <c r="AQ25" s="538"/>
    </row>
    <row r="26" spans="1:43" ht="15" x14ac:dyDescent="0.25">
      <c r="A26" s="184"/>
      <c r="B26" s="145">
        <v>26</v>
      </c>
      <c r="C26" s="145" t="s">
        <v>52</v>
      </c>
      <c r="D26" s="146"/>
      <c r="E26" s="146"/>
      <c r="F26" s="146"/>
      <c r="G26" s="146"/>
      <c r="H26" s="147"/>
      <c r="I26" s="146"/>
      <c r="J26" s="146"/>
      <c r="K26" s="146"/>
      <c r="L26" s="146"/>
      <c r="M26" s="652"/>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8"/>
      <c r="AM26" s="146"/>
      <c r="AN26" s="146"/>
      <c r="AO26" s="146"/>
      <c r="AP26" s="146"/>
      <c r="AQ26" s="524"/>
    </row>
    <row r="27" spans="1:43" ht="15" x14ac:dyDescent="0.25">
      <c r="A27" s="34"/>
      <c r="B27" s="185"/>
      <c r="C27" s="806"/>
      <c r="D27" s="186"/>
      <c r="E27" s="186"/>
      <c r="F27" s="187"/>
      <c r="G27" s="188">
        <v>83</v>
      </c>
      <c r="H27" s="768" t="s">
        <v>53</v>
      </c>
      <c r="I27" s="189"/>
      <c r="J27" s="189"/>
      <c r="K27" s="189"/>
      <c r="L27" s="189"/>
      <c r="M27" s="653"/>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90"/>
      <c r="AM27" s="189"/>
      <c r="AN27" s="189"/>
      <c r="AO27" s="189"/>
      <c r="AP27" s="189"/>
      <c r="AQ27" s="521"/>
    </row>
    <row r="28" spans="1:43" s="28" customFormat="1" ht="110.25" customHeight="1" x14ac:dyDescent="0.25">
      <c r="A28" s="34"/>
      <c r="B28" s="20"/>
      <c r="C28" s="775">
        <v>37</v>
      </c>
      <c r="D28" s="35" t="s">
        <v>54</v>
      </c>
      <c r="E28" s="36" t="s">
        <v>634</v>
      </c>
      <c r="F28" s="33">
        <v>0.6</v>
      </c>
      <c r="G28" s="774"/>
      <c r="H28" s="775">
        <v>246</v>
      </c>
      <c r="I28" s="774" t="s">
        <v>56</v>
      </c>
      <c r="J28" s="24" t="s">
        <v>30</v>
      </c>
      <c r="K28" s="24">
        <v>13</v>
      </c>
      <c r="L28" s="25" t="s">
        <v>31</v>
      </c>
      <c r="M28" s="37" t="s">
        <v>57</v>
      </c>
      <c r="N28" s="774" t="s">
        <v>58</v>
      </c>
      <c r="O28" s="775" t="s">
        <v>38</v>
      </c>
      <c r="P28" s="26">
        <v>0</v>
      </c>
      <c r="Q28" s="26">
        <v>0</v>
      </c>
      <c r="R28" s="26">
        <v>0</v>
      </c>
      <c r="S28" s="26">
        <v>0</v>
      </c>
      <c r="T28" s="26">
        <v>0</v>
      </c>
      <c r="U28" s="26">
        <v>0</v>
      </c>
      <c r="V28" s="26">
        <v>0</v>
      </c>
      <c r="W28" s="26"/>
      <c r="X28" s="26"/>
      <c r="Y28" s="26"/>
      <c r="Z28" s="26">
        <v>0</v>
      </c>
      <c r="AA28" s="26"/>
      <c r="AB28" s="26">
        <v>0</v>
      </c>
      <c r="AC28" s="26">
        <v>0</v>
      </c>
      <c r="AD28" s="26"/>
      <c r="AE28" s="26"/>
      <c r="AF28" s="26"/>
      <c r="AG28" s="26"/>
      <c r="AH28" s="26"/>
      <c r="AI28" s="26"/>
      <c r="AJ28" s="26">
        <v>0</v>
      </c>
      <c r="AK28" s="26">
        <v>0</v>
      </c>
      <c r="AL28" s="112">
        <v>30000000</v>
      </c>
      <c r="AM28" s="10"/>
      <c r="AN28" s="26">
        <v>0</v>
      </c>
      <c r="AO28" s="27">
        <v>0</v>
      </c>
      <c r="AP28" s="27"/>
      <c r="AQ28" s="26">
        <f>P28+Q28+R28+S28+T28+U28+V28+W28+X28+Y28+Z28+AA28+AB28+AC28+AD28+AE28+AF28+AG28+AH28+AI28+AJ28+AK28+AL28+AM28+AN28+AP28+AO28</f>
        <v>30000000</v>
      </c>
    </row>
    <row r="29" spans="1:43" ht="15" x14ac:dyDescent="0.25">
      <c r="A29" s="34"/>
      <c r="B29" s="20"/>
      <c r="C29" s="579"/>
      <c r="D29" s="153"/>
      <c r="E29" s="579"/>
      <c r="F29" s="579"/>
      <c r="G29" s="191"/>
      <c r="H29" s="192"/>
      <c r="I29" s="193"/>
      <c r="J29" s="194"/>
      <c r="K29" s="194"/>
      <c r="L29" s="195"/>
      <c r="M29" s="196"/>
      <c r="N29" s="193"/>
      <c r="O29" s="192"/>
      <c r="P29" s="197">
        <f t="shared" ref="P29:AK29" si="9">SUM(P28)</f>
        <v>0</v>
      </c>
      <c r="Q29" s="197">
        <f t="shared" si="9"/>
        <v>0</v>
      </c>
      <c r="R29" s="197">
        <f t="shared" si="9"/>
        <v>0</v>
      </c>
      <c r="S29" s="197">
        <f t="shared" si="9"/>
        <v>0</v>
      </c>
      <c r="T29" s="197">
        <f t="shared" si="9"/>
        <v>0</v>
      </c>
      <c r="U29" s="197">
        <f t="shared" si="9"/>
        <v>0</v>
      </c>
      <c r="V29" s="197">
        <f t="shared" si="9"/>
        <v>0</v>
      </c>
      <c r="W29" s="197">
        <f t="shared" si="9"/>
        <v>0</v>
      </c>
      <c r="X29" s="197">
        <f t="shared" si="9"/>
        <v>0</v>
      </c>
      <c r="Y29" s="197">
        <f t="shared" si="9"/>
        <v>0</v>
      </c>
      <c r="Z29" s="197">
        <f t="shared" si="9"/>
        <v>0</v>
      </c>
      <c r="AA29" s="197">
        <f t="shared" si="9"/>
        <v>0</v>
      </c>
      <c r="AB29" s="197">
        <f t="shared" si="9"/>
        <v>0</v>
      </c>
      <c r="AC29" s="197">
        <f t="shared" si="9"/>
        <v>0</v>
      </c>
      <c r="AD29" s="197">
        <f t="shared" si="9"/>
        <v>0</v>
      </c>
      <c r="AE29" s="197">
        <f t="shared" si="9"/>
        <v>0</v>
      </c>
      <c r="AF29" s="197">
        <f t="shared" si="9"/>
        <v>0</v>
      </c>
      <c r="AG29" s="197">
        <f t="shared" si="9"/>
        <v>0</v>
      </c>
      <c r="AH29" s="197">
        <f t="shared" si="9"/>
        <v>0</v>
      </c>
      <c r="AI29" s="197">
        <f t="shared" si="9"/>
        <v>0</v>
      </c>
      <c r="AJ29" s="197">
        <f t="shared" si="9"/>
        <v>0</v>
      </c>
      <c r="AK29" s="197">
        <f t="shared" si="9"/>
        <v>0</v>
      </c>
      <c r="AL29" s="197">
        <f t="shared" ref="AL29:AP29" si="10">SUM(AL28)</f>
        <v>30000000</v>
      </c>
      <c r="AM29" s="197">
        <f t="shared" si="10"/>
        <v>0</v>
      </c>
      <c r="AN29" s="197">
        <f t="shared" si="10"/>
        <v>0</v>
      </c>
      <c r="AO29" s="197">
        <f t="shared" si="10"/>
        <v>0</v>
      </c>
      <c r="AP29" s="197">
        <f t="shared" si="10"/>
        <v>0</v>
      </c>
      <c r="AQ29" s="197">
        <f>SUM(AQ28)</f>
        <v>30000000</v>
      </c>
    </row>
    <row r="30" spans="1:43" s="28" customFormat="1" ht="15" x14ac:dyDescent="0.25">
      <c r="A30" s="34"/>
      <c r="B30" s="20"/>
      <c r="C30" s="775"/>
      <c r="D30" s="177"/>
      <c r="E30" s="795"/>
      <c r="F30" s="795"/>
      <c r="G30" s="177"/>
      <c r="H30" s="795"/>
      <c r="I30" s="177"/>
      <c r="J30" s="178"/>
      <c r="K30" s="178"/>
      <c r="L30" s="178"/>
      <c r="M30" s="179"/>
      <c r="N30" s="177"/>
      <c r="O30" s="795"/>
      <c r="P30" s="180"/>
      <c r="Q30" s="180"/>
      <c r="R30" s="180"/>
      <c r="S30" s="180"/>
      <c r="T30" s="180"/>
      <c r="U30" s="180"/>
      <c r="V30" s="180"/>
      <c r="W30" s="180"/>
      <c r="X30" s="180"/>
      <c r="Y30" s="180"/>
      <c r="Z30" s="180"/>
      <c r="AA30" s="180"/>
      <c r="AB30" s="180"/>
      <c r="AC30" s="180"/>
      <c r="AD30" s="181"/>
      <c r="AE30" s="181"/>
      <c r="AF30" s="181"/>
      <c r="AG30" s="181"/>
      <c r="AH30" s="181"/>
      <c r="AI30" s="181"/>
      <c r="AJ30" s="180"/>
      <c r="AK30" s="180"/>
      <c r="AL30" s="182"/>
      <c r="AM30" s="183"/>
      <c r="AN30" s="180"/>
      <c r="AO30" s="180"/>
      <c r="AP30" s="180"/>
      <c r="AQ30" s="26"/>
    </row>
    <row r="31" spans="1:43" s="28" customFormat="1" ht="15" x14ac:dyDescent="0.25">
      <c r="A31" s="34"/>
      <c r="B31" s="20"/>
      <c r="C31" s="775"/>
      <c r="D31" s="177"/>
      <c r="E31" s="795"/>
      <c r="F31" s="795"/>
      <c r="G31" s="199">
        <v>84</v>
      </c>
      <c r="H31" s="200" t="s">
        <v>59</v>
      </c>
      <c r="I31" s="201"/>
      <c r="J31" s="201"/>
      <c r="K31" s="201"/>
      <c r="L31" s="201"/>
      <c r="M31" s="654"/>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2"/>
      <c r="AM31" s="201"/>
      <c r="AN31" s="201"/>
      <c r="AO31" s="201"/>
      <c r="AP31" s="201"/>
      <c r="AQ31" s="678"/>
    </row>
    <row r="32" spans="1:43" s="28" customFormat="1" ht="114" customHeight="1" x14ac:dyDescent="0.25">
      <c r="A32" s="34"/>
      <c r="B32" s="20"/>
      <c r="C32" s="773">
        <v>37</v>
      </c>
      <c r="D32" s="774" t="s">
        <v>54</v>
      </c>
      <c r="E32" s="36" t="s">
        <v>634</v>
      </c>
      <c r="F32" s="33">
        <v>0.6</v>
      </c>
      <c r="G32" s="774"/>
      <c r="H32" s="775">
        <v>248</v>
      </c>
      <c r="I32" s="774" t="s">
        <v>60</v>
      </c>
      <c r="J32" s="24" t="s">
        <v>30</v>
      </c>
      <c r="K32" s="24">
        <v>12</v>
      </c>
      <c r="L32" s="25" t="s">
        <v>31</v>
      </c>
      <c r="M32" s="37" t="s">
        <v>61</v>
      </c>
      <c r="N32" s="774" t="s">
        <v>62</v>
      </c>
      <c r="O32" s="775" t="s">
        <v>38</v>
      </c>
      <c r="P32" s="26">
        <v>0</v>
      </c>
      <c r="Q32" s="26">
        <v>0</v>
      </c>
      <c r="R32" s="26">
        <v>0</v>
      </c>
      <c r="S32" s="26">
        <v>0</v>
      </c>
      <c r="T32" s="26">
        <v>0</v>
      </c>
      <c r="U32" s="26">
        <v>0</v>
      </c>
      <c r="V32" s="26">
        <v>0</v>
      </c>
      <c r="W32" s="26"/>
      <c r="X32" s="26"/>
      <c r="Y32" s="26"/>
      <c r="Z32" s="26">
        <v>0</v>
      </c>
      <c r="AA32" s="26"/>
      <c r="AB32" s="26">
        <v>0</v>
      </c>
      <c r="AC32" s="26">
        <v>0</v>
      </c>
      <c r="AD32" s="26"/>
      <c r="AE32" s="26"/>
      <c r="AF32" s="26"/>
      <c r="AG32" s="26"/>
      <c r="AH32" s="26"/>
      <c r="AI32" s="26"/>
      <c r="AJ32" s="26">
        <v>0</v>
      </c>
      <c r="AK32" s="26">
        <v>0</v>
      </c>
      <c r="AL32" s="110">
        <v>40000000</v>
      </c>
      <c r="AM32" s="14"/>
      <c r="AN32" s="26">
        <v>0</v>
      </c>
      <c r="AO32" s="27">
        <v>0</v>
      </c>
      <c r="AP32" s="27"/>
      <c r="AQ32" s="26">
        <f>P32+Q32+R32+S32+T32+U32+V32+W32+X32+Y32+Z32+AA32+AB32+AC32+AD32+AE32+AF32+AG32+AH32+AI32+AJ32+AK32+AL32+AM32+AN32+AP32+AO32</f>
        <v>40000000</v>
      </c>
    </row>
    <row r="33" spans="1:43" s="47" customFormat="1" ht="20.25" x14ac:dyDescent="0.25">
      <c r="A33" s="34"/>
      <c r="B33" s="152"/>
      <c r="C33" s="773"/>
      <c r="D33" s="153"/>
      <c r="E33" s="579"/>
      <c r="F33" s="579"/>
      <c r="G33" s="154"/>
      <c r="H33" s="155"/>
      <c r="I33" s="154"/>
      <c r="J33" s="156"/>
      <c r="K33" s="156"/>
      <c r="L33" s="156"/>
      <c r="M33" s="157"/>
      <c r="N33" s="154"/>
      <c r="O33" s="155"/>
      <c r="P33" s="158">
        <f>P32</f>
        <v>0</v>
      </c>
      <c r="Q33" s="158">
        <f t="shared" ref="Q33:AK33" si="11">Q32</f>
        <v>0</v>
      </c>
      <c r="R33" s="158">
        <f t="shared" si="11"/>
        <v>0</v>
      </c>
      <c r="S33" s="158">
        <f t="shared" si="11"/>
        <v>0</v>
      </c>
      <c r="T33" s="158">
        <f t="shared" si="11"/>
        <v>0</v>
      </c>
      <c r="U33" s="158">
        <f t="shared" si="11"/>
        <v>0</v>
      </c>
      <c r="V33" s="158">
        <f t="shared" si="11"/>
        <v>0</v>
      </c>
      <c r="W33" s="158">
        <f t="shared" si="11"/>
        <v>0</v>
      </c>
      <c r="X33" s="158">
        <f t="shared" si="11"/>
        <v>0</v>
      </c>
      <c r="Y33" s="158">
        <f t="shared" si="11"/>
        <v>0</v>
      </c>
      <c r="Z33" s="158">
        <f t="shared" si="11"/>
        <v>0</v>
      </c>
      <c r="AA33" s="158">
        <f t="shared" si="11"/>
        <v>0</v>
      </c>
      <c r="AB33" s="158">
        <f t="shared" si="11"/>
        <v>0</v>
      </c>
      <c r="AC33" s="158">
        <f t="shared" si="11"/>
        <v>0</v>
      </c>
      <c r="AD33" s="158">
        <f t="shared" si="11"/>
        <v>0</v>
      </c>
      <c r="AE33" s="158">
        <f t="shared" si="11"/>
        <v>0</v>
      </c>
      <c r="AF33" s="158">
        <f t="shared" si="11"/>
        <v>0</v>
      </c>
      <c r="AG33" s="158">
        <f t="shared" si="11"/>
        <v>0</v>
      </c>
      <c r="AH33" s="158">
        <f t="shared" si="11"/>
        <v>0</v>
      </c>
      <c r="AI33" s="158">
        <f t="shared" si="11"/>
        <v>0</v>
      </c>
      <c r="AJ33" s="158">
        <f t="shared" si="11"/>
        <v>0</v>
      </c>
      <c r="AK33" s="158">
        <f t="shared" si="11"/>
        <v>0</v>
      </c>
      <c r="AL33" s="158">
        <f t="shared" ref="AL33:AP33" si="12">AL32</f>
        <v>40000000</v>
      </c>
      <c r="AM33" s="158">
        <f t="shared" si="12"/>
        <v>0</v>
      </c>
      <c r="AN33" s="158">
        <f t="shared" si="12"/>
        <v>0</v>
      </c>
      <c r="AO33" s="158">
        <f t="shared" si="12"/>
        <v>0</v>
      </c>
      <c r="AP33" s="158">
        <f t="shared" si="12"/>
        <v>0</v>
      </c>
      <c r="AQ33" s="158">
        <f>AQ32</f>
        <v>40000000</v>
      </c>
    </row>
    <row r="34" spans="1:43" ht="15" x14ac:dyDescent="0.25">
      <c r="A34" s="34"/>
      <c r="B34" s="203"/>
      <c r="C34" s="204"/>
      <c r="D34" s="203"/>
      <c r="E34" s="204"/>
      <c r="F34" s="204"/>
      <c r="G34" s="203"/>
      <c r="H34" s="204"/>
      <c r="I34" s="203"/>
      <c r="J34" s="205"/>
      <c r="K34" s="205"/>
      <c r="L34" s="206"/>
      <c r="M34" s="207"/>
      <c r="N34" s="203"/>
      <c r="O34" s="204"/>
      <c r="P34" s="208">
        <f>P29+P33</f>
        <v>0</v>
      </c>
      <c r="Q34" s="208">
        <f t="shared" ref="Q34:AK34" si="13">Q29+Q33</f>
        <v>0</v>
      </c>
      <c r="R34" s="208">
        <f t="shared" si="13"/>
        <v>0</v>
      </c>
      <c r="S34" s="208">
        <f t="shared" si="13"/>
        <v>0</v>
      </c>
      <c r="T34" s="208">
        <f t="shared" si="13"/>
        <v>0</v>
      </c>
      <c r="U34" s="208">
        <f t="shared" si="13"/>
        <v>0</v>
      </c>
      <c r="V34" s="208">
        <f t="shared" si="13"/>
        <v>0</v>
      </c>
      <c r="W34" s="208">
        <f t="shared" si="13"/>
        <v>0</v>
      </c>
      <c r="X34" s="208">
        <f t="shared" si="13"/>
        <v>0</v>
      </c>
      <c r="Y34" s="208">
        <f t="shared" si="13"/>
        <v>0</v>
      </c>
      <c r="Z34" s="208">
        <f t="shared" si="13"/>
        <v>0</v>
      </c>
      <c r="AA34" s="208">
        <f t="shared" si="13"/>
        <v>0</v>
      </c>
      <c r="AB34" s="208">
        <f t="shared" si="13"/>
        <v>0</v>
      </c>
      <c r="AC34" s="208">
        <f t="shared" si="13"/>
        <v>0</v>
      </c>
      <c r="AD34" s="208">
        <f t="shared" si="13"/>
        <v>0</v>
      </c>
      <c r="AE34" s="208">
        <f t="shared" si="13"/>
        <v>0</v>
      </c>
      <c r="AF34" s="208">
        <f t="shared" si="13"/>
        <v>0</v>
      </c>
      <c r="AG34" s="208">
        <f t="shared" si="13"/>
        <v>0</v>
      </c>
      <c r="AH34" s="208">
        <f t="shared" si="13"/>
        <v>0</v>
      </c>
      <c r="AI34" s="208">
        <f t="shared" si="13"/>
        <v>0</v>
      </c>
      <c r="AJ34" s="208">
        <f t="shared" si="13"/>
        <v>0</v>
      </c>
      <c r="AK34" s="208">
        <f t="shared" si="13"/>
        <v>0</v>
      </c>
      <c r="AL34" s="208">
        <f t="shared" ref="AL34:AP34" si="14">AL29+AL33</f>
        <v>70000000</v>
      </c>
      <c r="AM34" s="208">
        <f t="shared" si="14"/>
        <v>0</v>
      </c>
      <c r="AN34" s="208">
        <f t="shared" si="14"/>
        <v>0</v>
      </c>
      <c r="AO34" s="208">
        <f t="shared" si="14"/>
        <v>0</v>
      </c>
      <c r="AP34" s="208">
        <f t="shared" si="14"/>
        <v>0</v>
      </c>
      <c r="AQ34" s="165">
        <f>AQ29+AQ33</f>
        <v>70000000</v>
      </c>
    </row>
    <row r="35" spans="1:43" s="28" customFormat="1" ht="15" x14ac:dyDescent="0.25">
      <c r="A35" s="34"/>
      <c r="B35" s="177"/>
      <c r="C35" s="795"/>
      <c r="D35" s="177"/>
      <c r="E35" s="795"/>
      <c r="F35" s="795"/>
      <c r="G35" s="177"/>
      <c r="H35" s="795"/>
      <c r="I35" s="177"/>
      <c r="J35" s="178"/>
      <c r="K35" s="178"/>
      <c r="L35" s="209"/>
      <c r="M35" s="179"/>
      <c r="N35" s="177"/>
      <c r="O35" s="795"/>
      <c r="P35" s="180"/>
      <c r="Q35" s="180"/>
      <c r="R35" s="180"/>
      <c r="S35" s="180"/>
      <c r="T35" s="180"/>
      <c r="U35" s="180"/>
      <c r="V35" s="180"/>
      <c r="W35" s="180"/>
      <c r="X35" s="180"/>
      <c r="Y35" s="180"/>
      <c r="Z35" s="180"/>
      <c r="AA35" s="180"/>
      <c r="AB35" s="180"/>
      <c r="AC35" s="180"/>
      <c r="AD35" s="181"/>
      <c r="AE35" s="181"/>
      <c r="AF35" s="181"/>
      <c r="AG35" s="181"/>
      <c r="AH35" s="181"/>
      <c r="AI35" s="181"/>
      <c r="AJ35" s="180"/>
      <c r="AK35" s="180"/>
      <c r="AL35" s="182"/>
      <c r="AM35" s="180"/>
      <c r="AN35" s="180"/>
      <c r="AO35" s="180"/>
      <c r="AP35" s="180"/>
      <c r="AQ35" s="26"/>
    </row>
    <row r="36" spans="1:43" ht="15" x14ac:dyDescent="0.25">
      <c r="A36" s="34"/>
      <c r="B36" s="145">
        <v>27</v>
      </c>
      <c r="C36" s="145" t="s">
        <v>63</v>
      </c>
      <c r="D36" s="146"/>
      <c r="E36" s="146"/>
      <c r="F36" s="146"/>
      <c r="G36" s="146"/>
      <c r="H36" s="147"/>
      <c r="I36" s="146"/>
      <c r="J36" s="146"/>
      <c r="K36" s="146"/>
      <c r="L36" s="146"/>
      <c r="M36" s="652"/>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8"/>
      <c r="AM36" s="146"/>
      <c r="AN36" s="146"/>
      <c r="AO36" s="146"/>
      <c r="AP36" s="146"/>
      <c r="AQ36" s="524"/>
    </row>
    <row r="37" spans="1:43" ht="15" x14ac:dyDescent="0.25">
      <c r="A37" s="34"/>
      <c r="B37" s="210"/>
      <c r="C37" s="211"/>
      <c r="D37" s="212"/>
      <c r="E37" s="212"/>
      <c r="F37" s="213"/>
      <c r="G37" s="188">
        <v>85</v>
      </c>
      <c r="H37" s="189" t="s">
        <v>64</v>
      </c>
      <c r="I37" s="189"/>
      <c r="J37" s="189"/>
      <c r="K37" s="189"/>
      <c r="L37" s="189"/>
      <c r="M37" s="653"/>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90"/>
      <c r="AM37" s="189"/>
      <c r="AN37" s="189"/>
      <c r="AO37" s="189"/>
      <c r="AP37" s="189"/>
      <c r="AQ37" s="521"/>
    </row>
    <row r="38" spans="1:43" s="28" customFormat="1" ht="97.5" customHeight="1" x14ac:dyDescent="0.25">
      <c r="A38" s="34"/>
      <c r="B38" s="29"/>
      <c r="C38" s="773">
        <v>37</v>
      </c>
      <c r="D38" s="774" t="s">
        <v>54</v>
      </c>
      <c r="E38" s="36" t="s">
        <v>634</v>
      </c>
      <c r="F38" s="33">
        <v>0.6</v>
      </c>
      <c r="G38" s="763"/>
      <c r="H38" s="760">
        <v>249</v>
      </c>
      <c r="I38" s="774" t="s">
        <v>65</v>
      </c>
      <c r="J38" s="24">
        <v>1</v>
      </c>
      <c r="K38" s="24">
        <v>1</v>
      </c>
      <c r="L38" s="25" t="s">
        <v>66</v>
      </c>
      <c r="M38" s="37" t="s">
        <v>67</v>
      </c>
      <c r="N38" s="774" t="s">
        <v>68</v>
      </c>
      <c r="O38" s="775" t="s">
        <v>38</v>
      </c>
      <c r="P38" s="26">
        <v>0</v>
      </c>
      <c r="Q38" s="26">
        <v>0</v>
      </c>
      <c r="R38" s="26">
        <v>0</v>
      </c>
      <c r="S38" s="26">
        <v>0</v>
      </c>
      <c r="T38" s="26">
        <v>0</v>
      </c>
      <c r="U38" s="26">
        <v>0</v>
      </c>
      <c r="V38" s="26">
        <v>0</v>
      </c>
      <c r="W38" s="26"/>
      <c r="X38" s="26"/>
      <c r="Y38" s="26"/>
      <c r="Z38" s="26">
        <v>0</v>
      </c>
      <c r="AA38" s="26"/>
      <c r="AB38" s="26">
        <v>0</v>
      </c>
      <c r="AC38" s="26">
        <v>0</v>
      </c>
      <c r="AD38" s="26"/>
      <c r="AE38" s="26"/>
      <c r="AF38" s="26"/>
      <c r="AG38" s="26"/>
      <c r="AH38" s="26"/>
      <c r="AI38" s="26"/>
      <c r="AJ38" s="26">
        <v>0</v>
      </c>
      <c r="AK38" s="26">
        <v>0</v>
      </c>
      <c r="AL38" s="110">
        <f>120000000+20000000</f>
        <v>140000000</v>
      </c>
      <c r="AM38" s="38"/>
      <c r="AN38" s="26">
        <v>0</v>
      </c>
      <c r="AO38" s="27">
        <v>0</v>
      </c>
      <c r="AP38" s="27"/>
      <c r="AQ38" s="26">
        <f>P38+Q38+R38+S38+T38+U38+V38+W38+X38+Y38+Z38+AA38+AB38+AC38+AD38+AE38+AF38+AG38+AH38+AI38+AJ38+AK38+AL38+AM38+AN38+AP38+AO38</f>
        <v>140000000</v>
      </c>
    </row>
    <row r="39" spans="1:43" ht="15" x14ac:dyDescent="0.25">
      <c r="A39" s="34"/>
      <c r="B39" s="214"/>
      <c r="C39" s="215"/>
      <c r="D39" s="153"/>
      <c r="E39" s="579"/>
      <c r="F39" s="579"/>
      <c r="G39" s="216"/>
      <c r="H39" s="217"/>
      <c r="I39" s="154"/>
      <c r="J39" s="156"/>
      <c r="K39" s="156"/>
      <c r="L39" s="156"/>
      <c r="M39" s="157"/>
      <c r="N39" s="154"/>
      <c r="O39" s="155"/>
      <c r="P39" s="158">
        <f t="shared" ref="P39:AK39" si="15">SUM(P38)</f>
        <v>0</v>
      </c>
      <c r="Q39" s="158">
        <f t="shared" si="15"/>
        <v>0</v>
      </c>
      <c r="R39" s="158">
        <f t="shared" si="15"/>
        <v>0</v>
      </c>
      <c r="S39" s="158">
        <f t="shared" si="15"/>
        <v>0</v>
      </c>
      <c r="T39" s="158">
        <f t="shared" si="15"/>
        <v>0</v>
      </c>
      <c r="U39" s="158">
        <f t="shared" si="15"/>
        <v>0</v>
      </c>
      <c r="V39" s="158">
        <f t="shared" si="15"/>
        <v>0</v>
      </c>
      <c r="W39" s="158">
        <f t="shared" si="15"/>
        <v>0</v>
      </c>
      <c r="X39" s="158">
        <f t="shared" si="15"/>
        <v>0</v>
      </c>
      <c r="Y39" s="158">
        <f t="shared" si="15"/>
        <v>0</v>
      </c>
      <c r="Z39" s="158">
        <f t="shared" si="15"/>
        <v>0</v>
      </c>
      <c r="AA39" s="158">
        <f t="shared" si="15"/>
        <v>0</v>
      </c>
      <c r="AB39" s="158">
        <f t="shared" si="15"/>
        <v>0</v>
      </c>
      <c r="AC39" s="158">
        <f t="shared" si="15"/>
        <v>0</v>
      </c>
      <c r="AD39" s="158">
        <f t="shared" si="15"/>
        <v>0</v>
      </c>
      <c r="AE39" s="158">
        <f t="shared" si="15"/>
        <v>0</v>
      </c>
      <c r="AF39" s="158">
        <f t="shared" si="15"/>
        <v>0</v>
      </c>
      <c r="AG39" s="158">
        <f t="shared" si="15"/>
        <v>0</v>
      </c>
      <c r="AH39" s="158">
        <f t="shared" si="15"/>
        <v>0</v>
      </c>
      <c r="AI39" s="158">
        <f t="shared" si="15"/>
        <v>0</v>
      </c>
      <c r="AJ39" s="158">
        <f t="shared" si="15"/>
        <v>0</v>
      </c>
      <c r="AK39" s="158">
        <f t="shared" si="15"/>
        <v>0</v>
      </c>
      <c r="AL39" s="158">
        <f t="shared" ref="AL39:AP39" si="16">SUM(AL38)</f>
        <v>140000000</v>
      </c>
      <c r="AM39" s="158">
        <f t="shared" si="16"/>
        <v>0</v>
      </c>
      <c r="AN39" s="158">
        <f t="shared" si="16"/>
        <v>0</v>
      </c>
      <c r="AO39" s="158">
        <f t="shared" si="16"/>
        <v>0</v>
      </c>
      <c r="AP39" s="158">
        <f t="shared" si="16"/>
        <v>0</v>
      </c>
      <c r="AQ39" s="158">
        <f>SUM(AQ38)</f>
        <v>140000000</v>
      </c>
    </row>
    <row r="40" spans="1:43" ht="15" x14ac:dyDescent="0.25">
      <c r="A40" s="34"/>
      <c r="B40" s="218"/>
      <c r="C40" s="219"/>
      <c r="D40" s="203"/>
      <c r="E40" s="204"/>
      <c r="F40" s="220"/>
      <c r="G40" s="221"/>
      <c r="H40" s="222"/>
      <c r="I40" s="161"/>
      <c r="J40" s="163"/>
      <c r="K40" s="163"/>
      <c r="L40" s="163"/>
      <c r="M40" s="164"/>
      <c r="N40" s="161"/>
      <c r="O40" s="162"/>
      <c r="P40" s="165">
        <f t="shared" ref="P40:AK40" si="17">P39</f>
        <v>0</v>
      </c>
      <c r="Q40" s="165">
        <f t="shared" si="17"/>
        <v>0</v>
      </c>
      <c r="R40" s="165">
        <f t="shared" si="17"/>
        <v>0</v>
      </c>
      <c r="S40" s="165">
        <f t="shared" si="17"/>
        <v>0</v>
      </c>
      <c r="T40" s="165">
        <f t="shared" si="17"/>
        <v>0</v>
      </c>
      <c r="U40" s="165">
        <f t="shared" si="17"/>
        <v>0</v>
      </c>
      <c r="V40" s="165">
        <f t="shared" si="17"/>
        <v>0</v>
      </c>
      <c r="W40" s="165">
        <f t="shared" si="17"/>
        <v>0</v>
      </c>
      <c r="X40" s="165">
        <f t="shared" si="17"/>
        <v>0</v>
      </c>
      <c r="Y40" s="165">
        <f t="shared" si="17"/>
        <v>0</v>
      </c>
      <c r="Z40" s="165">
        <f t="shared" si="17"/>
        <v>0</v>
      </c>
      <c r="AA40" s="165">
        <f t="shared" si="17"/>
        <v>0</v>
      </c>
      <c r="AB40" s="165">
        <f t="shared" si="17"/>
        <v>0</v>
      </c>
      <c r="AC40" s="165">
        <f t="shared" si="17"/>
        <v>0</v>
      </c>
      <c r="AD40" s="165">
        <f t="shared" si="17"/>
        <v>0</v>
      </c>
      <c r="AE40" s="165">
        <f t="shared" si="17"/>
        <v>0</v>
      </c>
      <c r="AF40" s="165">
        <f t="shared" si="17"/>
        <v>0</v>
      </c>
      <c r="AG40" s="165">
        <f t="shared" si="17"/>
        <v>0</v>
      </c>
      <c r="AH40" s="165">
        <f t="shared" si="17"/>
        <v>0</v>
      </c>
      <c r="AI40" s="165">
        <f t="shared" si="17"/>
        <v>0</v>
      </c>
      <c r="AJ40" s="165">
        <f t="shared" si="17"/>
        <v>0</v>
      </c>
      <c r="AK40" s="165">
        <f t="shared" si="17"/>
        <v>0</v>
      </c>
      <c r="AL40" s="165">
        <f t="shared" ref="AL40:AP40" si="18">AL39</f>
        <v>140000000</v>
      </c>
      <c r="AM40" s="165">
        <f t="shared" si="18"/>
        <v>0</v>
      </c>
      <c r="AN40" s="165">
        <f t="shared" si="18"/>
        <v>0</v>
      </c>
      <c r="AO40" s="165">
        <f t="shared" si="18"/>
        <v>0</v>
      </c>
      <c r="AP40" s="165">
        <f t="shared" si="18"/>
        <v>0</v>
      </c>
      <c r="AQ40" s="165">
        <f>AQ39</f>
        <v>140000000</v>
      </c>
    </row>
    <row r="41" spans="1:43" ht="15" x14ac:dyDescent="0.25">
      <c r="A41" s="34"/>
      <c r="B41" s="177"/>
      <c r="C41" s="795"/>
      <c r="D41" s="177"/>
      <c r="E41" s="795"/>
      <c r="F41" s="795"/>
      <c r="G41" s="223"/>
      <c r="H41" s="776"/>
      <c r="I41" s="177"/>
      <c r="J41" s="178"/>
      <c r="K41" s="178"/>
      <c r="L41" s="178"/>
      <c r="M41" s="179"/>
      <c r="N41" s="177"/>
      <c r="O41" s="795"/>
      <c r="P41" s="180"/>
      <c r="Q41" s="180"/>
      <c r="R41" s="180"/>
      <c r="S41" s="180"/>
      <c r="T41" s="180"/>
      <c r="U41" s="180"/>
      <c r="V41" s="180"/>
      <c r="W41" s="180"/>
      <c r="X41" s="180"/>
      <c r="Y41" s="180"/>
      <c r="Z41" s="180"/>
      <c r="AA41" s="180"/>
      <c r="AB41" s="180"/>
      <c r="AC41" s="180"/>
      <c r="AD41" s="181"/>
      <c r="AE41" s="181"/>
      <c r="AF41" s="181"/>
      <c r="AG41" s="181"/>
      <c r="AH41" s="181"/>
      <c r="AI41" s="181"/>
      <c r="AJ41" s="180"/>
      <c r="AK41" s="180"/>
      <c r="AL41" s="182"/>
      <c r="AM41" s="183"/>
      <c r="AN41" s="180"/>
      <c r="AO41" s="180"/>
      <c r="AP41" s="180"/>
      <c r="AQ41" s="26"/>
    </row>
    <row r="42" spans="1:43" ht="15" x14ac:dyDescent="0.25">
      <c r="A42" s="34"/>
      <c r="B42" s="224">
        <v>28</v>
      </c>
      <c r="C42" s="225" t="s">
        <v>27</v>
      </c>
      <c r="D42" s="146"/>
      <c r="E42" s="146"/>
      <c r="F42" s="146"/>
      <c r="G42" s="146"/>
      <c r="H42" s="147"/>
      <c r="I42" s="146"/>
      <c r="J42" s="146"/>
      <c r="K42" s="146"/>
      <c r="L42" s="146"/>
      <c r="M42" s="652"/>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8"/>
      <c r="AM42" s="146"/>
      <c r="AN42" s="146"/>
      <c r="AO42" s="146"/>
      <c r="AP42" s="146"/>
      <c r="AQ42" s="524"/>
    </row>
    <row r="43" spans="1:43" ht="15" x14ac:dyDescent="0.25">
      <c r="A43" s="34"/>
      <c r="B43" s="23"/>
      <c r="C43" s="775"/>
      <c r="D43" s="774"/>
      <c r="E43" s="775"/>
      <c r="F43" s="775"/>
      <c r="G43" s="226">
        <v>87</v>
      </c>
      <c r="H43" s="227" t="s">
        <v>69</v>
      </c>
      <c r="I43" s="228"/>
      <c r="J43" s="228"/>
      <c r="K43" s="228"/>
      <c r="L43" s="228"/>
      <c r="M43" s="655"/>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9"/>
      <c r="AM43" s="228"/>
      <c r="AN43" s="228"/>
      <c r="AO43" s="228"/>
      <c r="AP43" s="228"/>
      <c r="AQ43" s="679"/>
    </row>
    <row r="44" spans="1:43" s="28" customFormat="1" ht="55.5" customHeight="1" x14ac:dyDescent="0.25">
      <c r="A44" s="34"/>
      <c r="B44" s="29"/>
      <c r="C44" s="858">
        <v>38</v>
      </c>
      <c r="D44" s="849" t="s">
        <v>39</v>
      </c>
      <c r="E44" s="858">
        <v>0</v>
      </c>
      <c r="F44" s="858">
        <v>2</v>
      </c>
      <c r="G44" s="29"/>
      <c r="H44" s="775">
        <v>257</v>
      </c>
      <c r="I44" s="774" t="s">
        <v>70</v>
      </c>
      <c r="J44" s="11">
        <v>0</v>
      </c>
      <c r="K44" s="11">
        <v>1</v>
      </c>
      <c r="L44" s="975" t="s">
        <v>31</v>
      </c>
      <c r="M44" s="854" t="s">
        <v>71</v>
      </c>
      <c r="N44" s="1004" t="s">
        <v>72</v>
      </c>
      <c r="O44" s="39" t="s">
        <v>38</v>
      </c>
      <c r="P44" s="26">
        <v>0</v>
      </c>
      <c r="Q44" s="26">
        <v>0</v>
      </c>
      <c r="R44" s="26">
        <v>0</v>
      </c>
      <c r="S44" s="26">
        <v>0</v>
      </c>
      <c r="T44" s="26">
        <v>0</v>
      </c>
      <c r="U44" s="26">
        <v>0</v>
      </c>
      <c r="V44" s="26">
        <v>0</v>
      </c>
      <c r="W44" s="26"/>
      <c r="X44" s="26"/>
      <c r="Y44" s="26"/>
      <c r="Z44" s="26">
        <v>0</v>
      </c>
      <c r="AA44" s="26"/>
      <c r="AB44" s="26">
        <v>0</v>
      </c>
      <c r="AC44" s="26">
        <v>0</v>
      </c>
      <c r="AD44" s="26"/>
      <c r="AE44" s="26"/>
      <c r="AF44" s="26"/>
      <c r="AG44" s="26"/>
      <c r="AH44" s="26"/>
      <c r="AI44" s="26"/>
      <c r="AJ44" s="26">
        <v>0</v>
      </c>
      <c r="AK44" s="26">
        <v>0</v>
      </c>
      <c r="AL44" s="110">
        <v>120200000</v>
      </c>
      <c r="AM44" s="14"/>
      <c r="AN44" s="26">
        <v>0</v>
      </c>
      <c r="AO44" s="27">
        <v>0</v>
      </c>
      <c r="AP44" s="27"/>
      <c r="AQ44" s="26">
        <f t="shared" ref="AQ44:AQ61" si="19">P44+Q44+R44+S44+T44+U44+V44+W44+X44+Y44+Z44+AA44+AB44+AC44+AD44+AE44+AF44+AG44+AH44+AI44+AJ44+AK44+AL44+AM44+AN44+AP44+AO44</f>
        <v>120200000</v>
      </c>
    </row>
    <row r="45" spans="1:43" s="28" customFormat="1" ht="71.25" x14ac:dyDescent="0.25">
      <c r="A45" s="34"/>
      <c r="B45" s="29"/>
      <c r="C45" s="860"/>
      <c r="D45" s="857"/>
      <c r="E45" s="860"/>
      <c r="F45" s="860"/>
      <c r="G45" s="29"/>
      <c r="H45" s="775">
        <v>258</v>
      </c>
      <c r="I45" s="774" t="s">
        <v>73</v>
      </c>
      <c r="J45" s="11">
        <v>0</v>
      </c>
      <c r="K45" s="11">
        <v>1</v>
      </c>
      <c r="L45" s="976"/>
      <c r="M45" s="855"/>
      <c r="N45" s="1005"/>
      <c r="O45" s="39" t="s">
        <v>38</v>
      </c>
      <c r="P45" s="26">
        <v>0</v>
      </c>
      <c r="Q45" s="26">
        <v>0</v>
      </c>
      <c r="R45" s="26">
        <v>0</v>
      </c>
      <c r="S45" s="26">
        <v>0</v>
      </c>
      <c r="T45" s="26">
        <v>0</v>
      </c>
      <c r="U45" s="26">
        <v>0</v>
      </c>
      <c r="V45" s="26">
        <v>0</v>
      </c>
      <c r="W45" s="26"/>
      <c r="X45" s="26"/>
      <c r="Y45" s="26"/>
      <c r="Z45" s="26">
        <v>0</v>
      </c>
      <c r="AA45" s="26"/>
      <c r="AB45" s="26">
        <v>0</v>
      </c>
      <c r="AC45" s="26">
        <v>0</v>
      </c>
      <c r="AD45" s="26"/>
      <c r="AE45" s="26"/>
      <c r="AF45" s="26"/>
      <c r="AG45" s="26"/>
      <c r="AH45" s="26"/>
      <c r="AI45" s="26"/>
      <c r="AJ45" s="26">
        <v>0</v>
      </c>
      <c r="AK45" s="26">
        <v>0</v>
      </c>
      <c r="AL45" s="110">
        <v>20000000</v>
      </c>
      <c r="AM45" s="14"/>
      <c r="AN45" s="26">
        <v>0</v>
      </c>
      <c r="AO45" s="27">
        <v>0</v>
      </c>
      <c r="AP45" s="27"/>
      <c r="AQ45" s="26">
        <f t="shared" si="19"/>
        <v>20000000</v>
      </c>
    </row>
    <row r="46" spans="1:43" s="28" customFormat="1" ht="55.5" customHeight="1" x14ac:dyDescent="0.25">
      <c r="A46" s="34"/>
      <c r="B46" s="29"/>
      <c r="C46" s="860"/>
      <c r="D46" s="857"/>
      <c r="E46" s="860"/>
      <c r="F46" s="860"/>
      <c r="G46" s="29"/>
      <c r="H46" s="775">
        <v>259</v>
      </c>
      <c r="I46" s="774" t="s">
        <v>74</v>
      </c>
      <c r="J46" s="24">
        <v>1</v>
      </c>
      <c r="K46" s="24">
        <v>1</v>
      </c>
      <c r="L46" s="976"/>
      <c r="M46" s="855"/>
      <c r="N46" s="1005"/>
      <c r="O46" s="39" t="s">
        <v>38</v>
      </c>
      <c r="P46" s="26">
        <v>0</v>
      </c>
      <c r="Q46" s="26">
        <v>0</v>
      </c>
      <c r="R46" s="26">
        <v>0</v>
      </c>
      <c r="S46" s="26">
        <v>0</v>
      </c>
      <c r="T46" s="26">
        <v>0</v>
      </c>
      <c r="U46" s="26">
        <v>0</v>
      </c>
      <c r="V46" s="26">
        <v>0</v>
      </c>
      <c r="W46" s="26"/>
      <c r="X46" s="26"/>
      <c r="Y46" s="26"/>
      <c r="Z46" s="26">
        <v>0</v>
      </c>
      <c r="AA46" s="26"/>
      <c r="AB46" s="26">
        <v>0</v>
      </c>
      <c r="AC46" s="26">
        <v>0</v>
      </c>
      <c r="AD46" s="26"/>
      <c r="AE46" s="26"/>
      <c r="AF46" s="26"/>
      <c r="AG46" s="26"/>
      <c r="AH46" s="26"/>
      <c r="AI46" s="26"/>
      <c r="AJ46" s="26">
        <v>0</v>
      </c>
      <c r="AK46" s="26">
        <v>0</v>
      </c>
      <c r="AL46" s="111">
        <v>9000000</v>
      </c>
      <c r="AM46" s="40"/>
      <c r="AN46" s="26">
        <v>0</v>
      </c>
      <c r="AO46" s="27">
        <v>0</v>
      </c>
      <c r="AP46" s="27"/>
      <c r="AQ46" s="26">
        <f t="shared" si="19"/>
        <v>9000000</v>
      </c>
    </row>
    <row r="47" spans="1:43" s="28" customFormat="1" ht="42.75" x14ac:dyDescent="0.25">
      <c r="A47" s="34"/>
      <c r="B47" s="29"/>
      <c r="C47" s="860"/>
      <c r="D47" s="857"/>
      <c r="E47" s="860"/>
      <c r="F47" s="860"/>
      <c r="G47" s="29"/>
      <c r="H47" s="775">
        <v>263</v>
      </c>
      <c r="I47" s="774" t="s">
        <v>75</v>
      </c>
      <c r="J47" s="24">
        <v>1</v>
      </c>
      <c r="K47" s="24">
        <v>1</v>
      </c>
      <c r="L47" s="976"/>
      <c r="M47" s="855"/>
      <c r="N47" s="1005"/>
      <c r="O47" s="39" t="s">
        <v>38</v>
      </c>
      <c r="P47" s="26">
        <v>0</v>
      </c>
      <c r="Q47" s="26">
        <v>0</v>
      </c>
      <c r="R47" s="26">
        <v>0</v>
      </c>
      <c r="S47" s="26">
        <v>0</v>
      </c>
      <c r="T47" s="26">
        <v>0</v>
      </c>
      <c r="U47" s="26">
        <v>0</v>
      </c>
      <c r="V47" s="26">
        <v>0</v>
      </c>
      <c r="W47" s="26"/>
      <c r="X47" s="26"/>
      <c r="Y47" s="26"/>
      <c r="Z47" s="26">
        <v>0</v>
      </c>
      <c r="AA47" s="26"/>
      <c r="AB47" s="26">
        <v>0</v>
      </c>
      <c r="AC47" s="26">
        <v>0</v>
      </c>
      <c r="AD47" s="26"/>
      <c r="AE47" s="26"/>
      <c r="AF47" s="26"/>
      <c r="AG47" s="26"/>
      <c r="AH47" s="26"/>
      <c r="AI47" s="26"/>
      <c r="AJ47" s="26">
        <v>0</v>
      </c>
      <c r="AK47" s="26">
        <v>0</v>
      </c>
      <c r="AL47" s="111">
        <v>86500000</v>
      </c>
      <c r="AM47" s="40"/>
      <c r="AN47" s="26">
        <v>0</v>
      </c>
      <c r="AO47" s="27">
        <v>0</v>
      </c>
      <c r="AP47" s="27"/>
      <c r="AQ47" s="26">
        <f t="shared" si="19"/>
        <v>86500000</v>
      </c>
    </row>
    <row r="48" spans="1:43" s="28" customFormat="1" ht="61.5" customHeight="1" x14ac:dyDescent="0.25">
      <c r="A48" s="34"/>
      <c r="B48" s="29"/>
      <c r="C48" s="859"/>
      <c r="D48" s="850"/>
      <c r="E48" s="859"/>
      <c r="F48" s="859"/>
      <c r="G48" s="29"/>
      <c r="H48" s="775">
        <v>261</v>
      </c>
      <c r="I48" s="774" t="s">
        <v>76</v>
      </c>
      <c r="J48" s="24">
        <v>1</v>
      </c>
      <c r="K48" s="24">
        <v>2</v>
      </c>
      <c r="L48" s="977"/>
      <c r="M48" s="856"/>
      <c r="N48" s="1006"/>
      <c r="O48" s="39" t="s">
        <v>38</v>
      </c>
      <c r="P48" s="26">
        <v>0</v>
      </c>
      <c r="Q48" s="26">
        <v>0</v>
      </c>
      <c r="R48" s="26">
        <v>0</v>
      </c>
      <c r="S48" s="26">
        <v>0</v>
      </c>
      <c r="T48" s="26">
        <v>0</v>
      </c>
      <c r="U48" s="26">
        <v>0</v>
      </c>
      <c r="V48" s="26">
        <v>0</v>
      </c>
      <c r="W48" s="26"/>
      <c r="X48" s="26"/>
      <c r="Y48" s="26"/>
      <c r="Z48" s="26">
        <v>0</v>
      </c>
      <c r="AA48" s="26"/>
      <c r="AB48" s="26">
        <v>0</v>
      </c>
      <c r="AC48" s="26">
        <v>0</v>
      </c>
      <c r="AD48" s="26"/>
      <c r="AE48" s="26"/>
      <c r="AF48" s="26"/>
      <c r="AG48" s="26"/>
      <c r="AH48" s="26"/>
      <c r="AI48" s="26"/>
      <c r="AJ48" s="26">
        <v>0</v>
      </c>
      <c r="AK48" s="26">
        <v>0</v>
      </c>
      <c r="AL48" s="112">
        <v>25000000</v>
      </c>
      <c r="AM48" s="10"/>
      <c r="AN48" s="26">
        <v>0</v>
      </c>
      <c r="AO48" s="27">
        <v>0</v>
      </c>
      <c r="AP48" s="27"/>
      <c r="AQ48" s="26">
        <f t="shared" si="19"/>
        <v>25000000</v>
      </c>
    </row>
    <row r="49" spans="1:43" s="28" customFormat="1" ht="92.25" customHeight="1" x14ac:dyDescent="0.25">
      <c r="A49" s="34"/>
      <c r="B49" s="29"/>
      <c r="C49" s="760">
        <v>38</v>
      </c>
      <c r="D49" s="763" t="s">
        <v>39</v>
      </c>
      <c r="E49" s="775">
        <v>0</v>
      </c>
      <c r="F49" s="775">
        <v>2</v>
      </c>
      <c r="G49" s="29"/>
      <c r="H49" s="775">
        <v>262</v>
      </c>
      <c r="I49" s="774" t="s">
        <v>77</v>
      </c>
      <c r="J49" s="24">
        <v>1</v>
      </c>
      <c r="K49" s="24">
        <v>1</v>
      </c>
      <c r="L49" s="774" t="s">
        <v>31</v>
      </c>
      <c r="M49" s="37" t="s">
        <v>78</v>
      </c>
      <c r="N49" s="774" t="s">
        <v>79</v>
      </c>
      <c r="O49" s="39" t="s">
        <v>38</v>
      </c>
      <c r="P49" s="26">
        <v>0</v>
      </c>
      <c r="Q49" s="26">
        <v>0</v>
      </c>
      <c r="R49" s="26">
        <v>0</v>
      </c>
      <c r="S49" s="26">
        <v>0</v>
      </c>
      <c r="T49" s="26">
        <v>0</v>
      </c>
      <c r="U49" s="26">
        <v>0</v>
      </c>
      <c r="V49" s="26">
        <v>0</v>
      </c>
      <c r="W49" s="26"/>
      <c r="X49" s="26"/>
      <c r="Y49" s="26"/>
      <c r="Z49" s="26">
        <v>0</v>
      </c>
      <c r="AA49" s="26"/>
      <c r="AB49" s="26">
        <v>0</v>
      </c>
      <c r="AC49" s="26">
        <v>0</v>
      </c>
      <c r="AD49" s="26"/>
      <c r="AE49" s="26"/>
      <c r="AF49" s="26"/>
      <c r="AG49" s="26"/>
      <c r="AH49" s="26"/>
      <c r="AI49" s="26"/>
      <c r="AJ49" s="26">
        <v>0</v>
      </c>
      <c r="AK49" s="26">
        <v>0</v>
      </c>
      <c r="AL49" s="110">
        <v>25000000</v>
      </c>
      <c r="AM49" s="38"/>
      <c r="AN49" s="26">
        <v>0</v>
      </c>
      <c r="AO49" s="27">
        <v>0</v>
      </c>
      <c r="AP49" s="27"/>
      <c r="AQ49" s="26">
        <f t="shared" si="19"/>
        <v>25000000</v>
      </c>
    </row>
    <row r="50" spans="1:43" s="28" customFormat="1" ht="96.75" customHeight="1" x14ac:dyDescent="0.25">
      <c r="A50" s="34"/>
      <c r="B50" s="29"/>
      <c r="C50" s="760">
        <v>38</v>
      </c>
      <c r="D50" s="763" t="s">
        <v>39</v>
      </c>
      <c r="E50" s="775">
        <v>0</v>
      </c>
      <c r="F50" s="775">
        <v>2</v>
      </c>
      <c r="G50" s="29"/>
      <c r="H50" s="775">
        <v>264</v>
      </c>
      <c r="I50" s="774" t="s">
        <v>80</v>
      </c>
      <c r="J50" s="24">
        <v>0</v>
      </c>
      <c r="K50" s="24">
        <v>1</v>
      </c>
      <c r="L50" s="774" t="s">
        <v>31</v>
      </c>
      <c r="M50" s="37" t="s">
        <v>81</v>
      </c>
      <c r="N50" s="774" t="s">
        <v>82</v>
      </c>
      <c r="O50" s="39" t="s">
        <v>38</v>
      </c>
      <c r="P50" s="26">
        <v>0</v>
      </c>
      <c r="Q50" s="26">
        <v>0</v>
      </c>
      <c r="R50" s="26">
        <v>0</v>
      </c>
      <c r="S50" s="26">
        <v>0</v>
      </c>
      <c r="T50" s="26">
        <v>0</v>
      </c>
      <c r="U50" s="26">
        <v>0</v>
      </c>
      <c r="V50" s="26">
        <v>0</v>
      </c>
      <c r="W50" s="26"/>
      <c r="X50" s="26"/>
      <c r="Y50" s="26"/>
      <c r="Z50" s="26">
        <v>0</v>
      </c>
      <c r="AA50" s="26"/>
      <c r="AB50" s="26">
        <v>0</v>
      </c>
      <c r="AC50" s="26">
        <v>0</v>
      </c>
      <c r="AD50" s="26"/>
      <c r="AE50" s="26"/>
      <c r="AF50" s="26"/>
      <c r="AG50" s="26"/>
      <c r="AH50" s="26"/>
      <c r="AI50" s="26"/>
      <c r="AJ50" s="26">
        <v>0</v>
      </c>
      <c r="AK50" s="26">
        <v>0</v>
      </c>
      <c r="AL50" s="110">
        <f>25000000+150000000+40000000</f>
        <v>215000000</v>
      </c>
      <c r="AM50" s="38"/>
      <c r="AN50" s="26">
        <v>0</v>
      </c>
      <c r="AO50" s="27">
        <v>0</v>
      </c>
      <c r="AP50" s="27"/>
      <c r="AQ50" s="26">
        <f t="shared" si="19"/>
        <v>215000000</v>
      </c>
    </row>
    <row r="51" spans="1:43" s="28" customFormat="1" ht="72" customHeight="1" x14ac:dyDescent="0.25">
      <c r="A51" s="34"/>
      <c r="B51" s="29"/>
      <c r="C51" s="760">
        <v>38</v>
      </c>
      <c r="D51" s="763" t="s">
        <v>39</v>
      </c>
      <c r="E51" s="775">
        <v>0</v>
      </c>
      <c r="F51" s="775">
        <v>2</v>
      </c>
      <c r="G51" s="29"/>
      <c r="H51" s="775">
        <v>265</v>
      </c>
      <c r="I51" s="774" t="s">
        <v>83</v>
      </c>
      <c r="J51" s="11">
        <v>0</v>
      </c>
      <c r="K51" s="11">
        <v>1</v>
      </c>
      <c r="L51" s="11" t="s">
        <v>84</v>
      </c>
      <c r="M51" s="37" t="s">
        <v>85</v>
      </c>
      <c r="N51" s="774" t="s">
        <v>86</v>
      </c>
      <c r="O51" s="39" t="s">
        <v>38</v>
      </c>
      <c r="P51" s="26">
        <v>0</v>
      </c>
      <c r="Q51" s="26">
        <v>0</v>
      </c>
      <c r="R51" s="26">
        <v>0</v>
      </c>
      <c r="S51" s="26">
        <v>0</v>
      </c>
      <c r="T51" s="26">
        <v>0</v>
      </c>
      <c r="U51" s="26">
        <v>0</v>
      </c>
      <c r="V51" s="26">
        <v>0</v>
      </c>
      <c r="W51" s="26"/>
      <c r="X51" s="26"/>
      <c r="Y51" s="26"/>
      <c r="Z51" s="26">
        <v>0</v>
      </c>
      <c r="AA51" s="26"/>
      <c r="AB51" s="26">
        <v>0</v>
      </c>
      <c r="AC51" s="26">
        <v>0</v>
      </c>
      <c r="AD51" s="26"/>
      <c r="AE51" s="26"/>
      <c r="AF51" s="26"/>
      <c r="AG51" s="26"/>
      <c r="AH51" s="26"/>
      <c r="AI51" s="26"/>
      <c r="AJ51" s="26">
        <v>0</v>
      </c>
      <c r="AK51" s="26">
        <v>0</v>
      </c>
      <c r="AL51" s="113">
        <f>100000000+500000000+45000000</f>
        <v>645000000</v>
      </c>
      <c r="AM51" s="41"/>
      <c r="AN51" s="26">
        <v>0</v>
      </c>
      <c r="AO51" s="27">
        <v>0</v>
      </c>
      <c r="AP51" s="27"/>
      <c r="AQ51" s="26">
        <f t="shared" si="19"/>
        <v>645000000</v>
      </c>
    </row>
    <row r="52" spans="1:43" s="28" customFormat="1" ht="65.099999999999994" customHeight="1" x14ac:dyDescent="0.25">
      <c r="A52" s="34"/>
      <c r="B52" s="29"/>
      <c r="C52" s="775">
        <v>38</v>
      </c>
      <c r="D52" s="774" t="s">
        <v>39</v>
      </c>
      <c r="E52" s="775">
        <v>0</v>
      </c>
      <c r="F52" s="775">
        <v>2</v>
      </c>
      <c r="G52" s="29"/>
      <c r="H52" s="775">
        <v>266</v>
      </c>
      <c r="I52" s="774" t="s">
        <v>87</v>
      </c>
      <c r="J52" s="24">
        <v>1</v>
      </c>
      <c r="K52" s="24">
        <v>1</v>
      </c>
      <c r="L52" s="774" t="s">
        <v>31</v>
      </c>
      <c r="M52" s="37" t="s">
        <v>88</v>
      </c>
      <c r="N52" s="774" t="s">
        <v>89</v>
      </c>
      <c r="O52" s="39" t="s">
        <v>38</v>
      </c>
      <c r="P52" s="26">
        <v>0</v>
      </c>
      <c r="Q52" s="26">
        <v>0</v>
      </c>
      <c r="R52" s="26">
        <v>0</v>
      </c>
      <c r="S52" s="26">
        <v>0</v>
      </c>
      <c r="T52" s="26">
        <v>0</v>
      </c>
      <c r="U52" s="26">
        <v>0</v>
      </c>
      <c r="V52" s="26">
        <v>0</v>
      </c>
      <c r="W52" s="26"/>
      <c r="X52" s="26"/>
      <c r="Y52" s="26"/>
      <c r="Z52" s="26">
        <v>0</v>
      </c>
      <c r="AA52" s="26"/>
      <c r="AB52" s="26">
        <v>0</v>
      </c>
      <c r="AC52" s="26">
        <v>0</v>
      </c>
      <c r="AD52" s="26"/>
      <c r="AE52" s="26"/>
      <c r="AF52" s="26"/>
      <c r="AG52" s="26"/>
      <c r="AH52" s="26"/>
      <c r="AI52" s="26"/>
      <c r="AJ52" s="26">
        <v>0</v>
      </c>
      <c r="AK52" s="26">
        <v>0</v>
      </c>
      <c r="AL52" s="113">
        <f>16000000+20000000</f>
        <v>36000000</v>
      </c>
      <c r="AM52" s="41"/>
      <c r="AN52" s="26">
        <v>0</v>
      </c>
      <c r="AO52" s="27">
        <v>0</v>
      </c>
      <c r="AP52" s="27"/>
      <c r="AQ52" s="26">
        <f t="shared" si="19"/>
        <v>36000000</v>
      </c>
    </row>
    <row r="53" spans="1:43" s="28" customFormat="1" ht="48.75" customHeight="1" x14ac:dyDescent="0.25">
      <c r="A53" s="34"/>
      <c r="B53" s="29"/>
      <c r="C53" s="858">
        <v>38</v>
      </c>
      <c r="D53" s="849" t="s">
        <v>39</v>
      </c>
      <c r="E53" s="858">
        <v>0</v>
      </c>
      <c r="F53" s="858">
        <v>2</v>
      </c>
      <c r="G53" s="29"/>
      <c r="H53" s="775">
        <v>267</v>
      </c>
      <c r="I53" s="774" t="s">
        <v>90</v>
      </c>
      <c r="J53" s="24">
        <v>1</v>
      </c>
      <c r="K53" s="24">
        <v>1</v>
      </c>
      <c r="L53" s="996" t="s">
        <v>31</v>
      </c>
      <c r="M53" s="854" t="s">
        <v>91</v>
      </c>
      <c r="N53" s="849" t="s">
        <v>92</v>
      </c>
      <c r="O53" s="39" t="s">
        <v>38</v>
      </c>
      <c r="P53" s="26">
        <v>0</v>
      </c>
      <c r="Q53" s="26">
        <v>0</v>
      </c>
      <c r="R53" s="26">
        <v>0</v>
      </c>
      <c r="S53" s="26">
        <v>0</v>
      </c>
      <c r="T53" s="26">
        <v>0</v>
      </c>
      <c r="U53" s="26">
        <v>0</v>
      </c>
      <c r="V53" s="26">
        <v>0</v>
      </c>
      <c r="W53" s="26"/>
      <c r="X53" s="26"/>
      <c r="Y53" s="26"/>
      <c r="Z53" s="26">
        <v>0</v>
      </c>
      <c r="AA53" s="26"/>
      <c r="AB53" s="26">
        <v>0</v>
      </c>
      <c r="AC53" s="26">
        <v>0</v>
      </c>
      <c r="AD53" s="26"/>
      <c r="AE53" s="26"/>
      <c r="AF53" s="26"/>
      <c r="AG53" s="26"/>
      <c r="AH53" s="26"/>
      <c r="AI53" s="26"/>
      <c r="AJ53" s="26">
        <v>0</v>
      </c>
      <c r="AK53" s="26">
        <v>0</v>
      </c>
      <c r="AL53" s="110">
        <v>12000000</v>
      </c>
      <c r="AM53" s="14"/>
      <c r="AN53" s="26">
        <v>0</v>
      </c>
      <c r="AO53" s="27">
        <v>0</v>
      </c>
      <c r="AP53" s="27"/>
      <c r="AQ53" s="26">
        <f t="shared" si="19"/>
        <v>12000000</v>
      </c>
    </row>
    <row r="54" spans="1:43" s="28" customFormat="1" ht="99.75" x14ac:dyDescent="0.25">
      <c r="A54" s="34"/>
      <c r="B54" s="29"/>
      <c r="C54" s="860"/>
      <c r="D54" s="857"/>
      <c r="E54" s="860"/>
      <c r="F54" s="860"/>
      <c r="G54" s="29"/>
      <c r="H54" s="775">
        <v>268</v>
      </c>
      <c r="I54" s="774" t="s">
        <v>93</v>
      </c>
      <c r="J54" s="24">
        <v>12</v>
      </c>
      <c r="K54" s="24">
        <v>12</v>
      </c>
      <c r="L54" s="997"/>
      <c r="M54" s="855"/>
      <c r="N54" s="857"/>
      <c r="O54" s="39" t="s">
        <v>38</v>
      </c>
      <c r="P54" s="26">
        <v>0</v>
      </c>
      <c r="Q54" s="26">
        <v>0</v>
      </c>
      <c r="R54" s="26">
        <v>0</v>
      </c>
      <c r="S54" s="26">
        <v>0</v>
      </c>
      <c r="T54" s="26">
        <v>0</v>
      </c>
      <c r="U54" s="26">
        <v>0</v>
      </c>
      <c r="V54" s="26">
        <v>0</v>
      </c>
      <c r="W54" s="26"/>
      <c r="X54" s="26"/>
      <c r="Y54" s="26"/>
      <c r="Z54" s="26">
        <v>0</v>
      </c>
      <c r="AA54" s="26"/>
      <c r="AB54" s="26">
        <v>0</v>
      </c>
      <c r="AC54" s="26">
        <v>0</v>
      </c>
      <c r="AD54" s="26"/>
      <c r="AE54" s="26"/>
      <c r="AF54" s="26"/>
      <c r="AG54" s="26"/>
      <c r="AH54" s="26"/>
      <c r="AI54" s="26"/>
      <c r="AJ54" s="26">
        <v>0</v>
      </c>
      <c r="AK54" s="26">
        <v>0</v>
      </c>
      <c r="AL54" s="110">
        <v>12000000</v>
      </c>
      <c r="AM54" s="14"/>
      <c r="AN54" s="26">
        <v>0</v>
      </c>
      <c r="AO54" s="27">
        <v>0</v>
      </c>
      <c r="AP54" s="27"/>
      <c r="AQ54" s="26">
        <f t="shared" si="19"/>
        <v>12000000</v>
      </c>
    </row>
    <row r="55" spans="1:43" s="28" customFormat="1" ht="99.75" x14ac:dyDescent="0.25">
      <c r="A55" s="34"/>
      <c r="B55" s="29"/>
      <c r="C55" s="860"/>
      <c r="D55" s="857"/>
      <c r="E55" s="860"/>
      <c r="F55" s="860"/>
      <c r="G55" s="29"/>
      <c r="H55" s="775">
        <v>269</v>
      </c>
      <c r="I55" s="774" t="s">
        <v>94</v>
      </c>
      <c r="J55" s="24">
        <v>12</v>
      </c>
      <c r="K55" s="24">
        <v>12</v>
      </c>
      <c r="L55" s="997"/>
      <c r="M55" s="855"/>
      <c r="N55" s="857"/>
      <c r="O55" s="39" t="s">
        <v>38</v>
      </c>
      <c r="P55" s="26">
        <v>0</v>
      </c>
      <c r="Q55" s="26">
        <v>0</v>
      </c>
      <c r="R55" s="26">
        <v>0</v>
      </c>
      <c r="S55" s="26">
        <v>0</v>
      </c>
      <c r="T55" s="26">
        <v>0</v>
      </c>
      <c r="U55" s="26">
        <v>0</v>
      </c>
      <c r="V55" s="26">
        <v>0</v>
      </c>
      <c r="W55" s="26"/>
      <c r="X55" s="26"/>
      <c r="Y55" s="26"/>
      <c r="Z55" s="26">
        <v>0</v>
      </c>
      <c r="AA55" s="26"/>
      <c r="AB55" s="26">
        <v>0</v>
      </c>
      <c r="AC55" s="26">
        <v>0</v>
      </c>
      <c r="AD55" s="26"/>
      <c r="AE55" s="26"/>
      <c r="AF55" s="26"/>
      <c r="AG55" s="26"/>
      <c r="AH55" s="26"/>
      <c r="AI55" s="26"/>
      <c r="AJ55" s="26">
        <v>0</v>
      </c>
      <c r="AK55" s="26">
        <v>0</v>
      </c>
      <c r="AL55" s="110">
        <f>12000000+15210000</f>
        <v>27210000</v>
      </c>
      <c r="AM55" s="14"/>
      <c r="AN55" s="26">
        <v>0</v>
      </c>
      <c r="AO55" s="27">
        <v>0</v>
      </c>
      <c r="AP55" s="27"/>
      <c r="AQ55" s="26">
        <f t="shared" si="19"/>
        <v>27210000</v>
      </c>
    </row>
    <row r="56" spans="1:43" s="28" customFormat="1" ht="120" customHeight="1" x14ac:dyDescent="0.25">
      <c r="A56" s="34"/>
      <c r="B56" s="29"/>
      <c r="C56" s="860"/>
      <c r="D56" s="857"/>
      <c r="E56" s="860"/>
      <c r="F56" s="860"/>
      <c r="G56" s="29"/>
      <c r="H56" s="775">
        <v>270</v>
      </c>
      <c r="I56" s="774" t="s">
        <v>95</v>
      </c>
      <c r="J56" s="24" t="s">
        <v>30</v>
      </c>
      <c r="K56" s="24">
        <v>12</v>
      </c>
      <c r="L56" s="997"/>
      <c r="M56" s="855"/>
      <c r="N56" s="857"/>
      <c r="O56" s="39" t="s">
        <v>38</v>
      </c>
      <c r="P56" s="26">
        <v>0</v>
      </c>
      <c r="Q56" s="26">
        <v>0</v>
      </c>
      <c r="R56" s="26">
        <v>0</v>
      </c>
      <c r="S56" s="26">
        <v>0</v>
      </c>
      <c r="T56" s="26">
        <v>0</v>
      </c>
      <c r="U56" s="26">
        <v>0</v>
      </c>
      <c r="V56" s="26">
        <v>0</v>
      </c>
      <c r="W56" s="26"/>
      <c r="X56" s="26"/>
      <c r="Y56" s="26"/>
      <c r="Z56" s="26">
        <v>0</v>
      </c>
      <c r="AA56" s="26"/>
      <c r="AB56" s="26">
        <v>0</v>
      </c>
      <c r="AC56" s="26">
        <v>0</v>
      </c>
      <c r="AD56" s="26"/>
      <c r="AE56" s="26"/>
      <c r="AF56" s="26"/>
      <c r="AG56" s="26"/>
      <c r="AH56" s="26"/>
      <c r="AI56" s="26"/>
      <c r="AJ56" s="26">
        <v>0</v>
      </c>
      <c r="AK56" s="26">
        <v>0</v>
      </c>
      <c r="AL56" s="110">
        <v>15000000</v>
      </c>
      <c r="AM56" s="14"/>
      <c r="AN56" s="26">
        <v>0</v>
      </c>
      <c r="AO56" s="27">
        <v>0</v>
      </c>
      <c r="AP56" s="27"/>
      <c r="AQ56" s="26">
        <f t="shared" si="19"/>
        <v>15000000</v>
      </c>
    </row>
    <row r="57" spans="1:43" s="28" customFormat="1" ht="128.25" x14ac:dyDescent="0.25">
      <c r="A57" s="34"/>
      <c r="B57" s="29"/>
      <c r="C57" s="860"/>
      <c r="D57" s="857"/>
      <c r="E57" s="860"/>
      <c r="F57" s="860"/>
      <c r="G57" s="29"/>
      <c r="H57" s="775">
        <v>271</v>
      </c>
      <c r="I57" s="774" t="s">
        <v>96</v>
      </c>
      <c r="J57" s="24">
        <v>12</v>
      </c>
      <c r="K57" s="24">
        <v>12</v>
      </c>
      <c r="L57" s="997"/>
      <c r="M57" s="855"/>
      <c r="N57" s="857"/>
      <c r="O57" s="39" t="s">
        <v>38</v>
      </c>
      <c r="P57" s="26">
        <v>0</v>
      </c>
      <c r="Q57" s="26">
        <v>0</v>
      </c>
      <c r="R57" s="26">
        <v>0</v>
      </c>
      <c r="S57" s="26">
        <v>0</v>
      </c>
      <c r="T57" s="26">
        <v>0</v>
      </c>
      <c r="U57" s="26">
        <v>0</v>
      </c>
      <c r="V57" s="26">
        <v>0</v>
      </c>
      <c r="W57" s="26"/>
      <c r="X57" s="26"/>
      <c r="Y57" s="26"/>
      <c r="Z57" s="26">
        <v>0</v>
      </c>
      <c r="AA57" s="26"/>
      <c r="AB57" s="26">
        <v>0</v>
      </c>
      <c r="AC57" s="26">
        <v>0</v>
      </c>
      <c r="AD57" s="26"/>
      <c r="AE57" s="26"/>
      <c r="AF57" s="26"/>
      <c r="AG57" s="26"/>
      <c r="AH57" s="26"/>
      <c r="AI57" s="26"/>
      <c r="AJ57" s="26">
        <v>0</v>
      </c>
      <c r="AK57" s="26">
        <v>0</v>
      </c>
      <c r="AL57" s="110">
        <f>28492500+17500000-10088307</f>
        <v>35904193</v>
      </c>
      <c r="AM57" s="14"/>
      <c r="AN57" s="26">
        <v>0</v>
      </c>
      <c r="AO57" s="27">
        <v>0</v>
      </c>
      <c r="AP57" s="27"/>
      <c r="AQ57" s="26">
        <f t="shared" si="19"/>
        <v>35904193</v>
      </c>
    </row>
    <row r="58" spans="1:43" s="28" customFormat="1" ht="102" customHeight="1" x14ac:dyDescent="0.25">
      <c r="A58" s="34"/>
      <c r="B58" s="29"/>
      <c r="C58" s="860"/>
      <c r="D58" s="857"/>
      <c r="E58" s="860"/>
      <c r="F58" s="860"/>
      <c r="G58" s="29"/>
      <c r="H58" s="775">
        <v>272</v>
      </c>
      <c r="I58" s="774" t="s">
        <v>97</v>
      </c>
      <c r="J58" s="24" t="s">
        <v>30</v>
      </c>
      <c r="K58" s="24">
        <v>12</v>
      </c>
      <c r="L58" s="997"/>
      <c r="M58" s="855"/>
      <c r="N58" s="857"/>
      <c r="O58" s="39" t="s">
        <v>38</v>
      </c>
      <c r="P58" s="26">
        <v>0</v>
      </c>
      <c r="Q58" s="26">
        <v>0</v>
      </c>
      <c r="R58" s="26">
        <v>0</v>
      </c>
      <c r="S58" s="26">
        <v>0</v>
      </c>
      <c r="T58" s="26">
        <v>0</v>
      </c>
      <c r="U58" s="26">
        <v>0</v>
      </c>
      <c r="V58" s="26">
        <v>0</v>
      </c>
      <c r="W58" s="26"/>
      <c r="X58" s="26"/>
      <c r="Y58" s="26"/>
      <c r="Z58" s="26">
        <v>0</v>
      </c>
      <c r="AA58" s="26"/>
      <c r="AB58" s="26">
        <v>0</v>
      </c>
      <c r="AC58" s="26">
        <v>0</v>
      </c>
      <c r="AD58" s="26"/>
      <c r="AE58" s="26"/>
      <c r="AF58" s="26"/>
      <c r="AG58" s="26"/>
      <c r="AH58" s="26"/>
      <c r="AI58" s="26"/>
      <c r="AJ58" s="26">
        <v>0</v>
      </c>
      <c r="AK58" s="26">
        <v>0</v>
      </c>
      <c r="AL58" s="110">
        <f>15000000+17500000</f>
        <v>32500000</v>
      </c>
      <c r="AM58" s="14"/>
      <c r="AN58" s="26">
        <v>0</v>
      </c>
      <c r="AO58" s="27">
        <v>0</v>
      </c>
      <c r="AP58" s="27"/>
      <c r="AQ58" s="26">
        <f t="shared" si="19"/>
        <v>32500000</v>
      </c>
    </row>
    <row r="59" spans="1:43" s="28" customFormat="1" ht="100.5" customHeight="1" x14ac:dyDescent="0.25">
      <c r="A59" s="34"/>
      <c r="B59" s="29"/>
      <c r="C59" s="860"/>
      <c r="D59" s="857"/>
      <c r="E59" s="860"/>
      <c r="F59" s="860"/>
      <c r="G59" s="29"/>
      <c r="H59" s="775">
        <v>273</v>
      </c>
      <c r="I59" s="774" t="s">
        <v>98</v>
      </c>
      <c r="J59" s="24">
        <v>12</v>
      </c>
      <c r="K59" s="24">
        <v>12</v>
      </c>
      <c r="L59" s="997"/>
      <c r="M59" s="855"/>
      <c r="N59" s="857"/>
      <c r="O59" s="39" t="s">
        <v>38</v>
      </c>
      <c r="P59" s="26">
        <v>0</v>
      </c>
      <c r="Q59" s="26">
        <v>0</v>
      </c>
      <c r="R59" s="26">
        <v>0</v>
      </c>
      <c r="S59" s="26">
        <v>0</v>
      </c>
      <c r="T59" s="26">
        <v>0</v>
      </c>
      <c r="U59" s="26">
        <v>0</v>
      </c>
      <c r="V59" s="26">
        <v>0</v>
      </c>
      <c r="W59" s="26"/>
      <c r="X59" s="26"/>
      <c r="Y59" s="26"/>
      <c r="Z59" s="26">
        <v>0</v>
      </c>
      <c r="AA59" s="26"/>
      <c r="AB59" s="26">
        <v>0</v>
      </c>
      <c r="AC59" s="26">
        <v>0</v>
      </c>
      <c r="AD59" s="26"/>
      <c r="AE59" s="26"/>
      <c r="AF59" s="26"/>
      <c r="AG59" s="26"/>
      <c r="AH59" s="26"/>
      <c r="AI59" s="26"/>
      <c r="AJ59" s="26">
        <v>0</v>
      </c>
      <c r="AK59" s="26">
        <v>0</v>
      </c>
      <c r="AL59" s="110">
        <v>2672500</v>
      </c>
      <c r="AM59" s="14"/>
      <c r="AN59" s="26">
        <v>0</v>
      </c>
      <c r="AO59" s="27">
        <v>0</v>
      </c>
      <c r="AP59" s="27"/>
      <c r="AQ59" s="26">
        <f t="shared" si="19"/>
        <v>2672500</v>
      </c>
    </row>
    <row r="60" spans="1:43" s="28" customFormat="1" ht="72" customHeight="1" x14ac:dyDescent="0.25">
      <c r="A60" s="34"/>
      <c r="B60" s="29"/>
      <c r="C60" s="860"/>
      <c r="D60" s="857"/>
      <c r="E60" s="860"/>
      <c r="F60" s="860"/>
      <c r="G60" s="29"/>
      <c r="H60" s="775">
        <v>274</v>
      </c>
      <c r="I60" s="774" t="s">
        <v>99</v>
      </c>
      <c r="J60" s="24" t="s">
        <v>30</v>
      </c>
      <c r="K60" s="24">
        <v>12</v>
      </c>
      <c r="L60" s="997"/>
      <c r="M60" s="855"/>
      <c r="N60" s="857"/>
      <c r="O60" s="39" t="s">
        <v>38</v>
      </c>
      <c r="P60" s="26">
        <v>0</v>
      </c>
      <c r="Q60" s="26">
        <v>0</v>
      </c>
      <c r="R60" s="26">
        <v>0</v>
      </c>
      <c r="S60" s="26">
        <v>0</v>
      </c>
      <c r="T60" s="26">
        <v>0</v>
      </c>
      <c r="U60" s="26">
        <v>0</v>
      </c>
      <c r="V60" s="26">
        <v>0</v>
      </c>
      <c r="W60" s="26"/>
      <c r="X60" s="26"/>
      <c r="Y60" s="26"/>
      <c r="Z60" s="26">
        <v>0</v>
      </c>
      <c r="AA60" s="26"/>
      <c r="AB60" s="26">
        <v>0</v>
      </c>
      <c r="AC60" s="26">
        <v>0</v>
      </c>
      <c r="AD60" s="26"/>
      <c r="AE60" s="26"/>
      <c r="AF60" s="26"/>
      <c r="AG60" s="26"/>
      <c r="AH60" s="26"/>
      <c r="AI60" s="26"/>
      <c r="AJ60" s="26">
        <v>0</v>
      </c>
      <c r="AK60" s="26">
        <v>0</v>
      </c>
      <c r="AL60" s="110">
        <v>14135000</v>
      </c>
      <c r="AM60" s="14"/>
      <c r="AN60" s="26">
        <v>0</v>
      </c>
      <c r="AO60" s="27">
        <v>0</v>
      </c>
      <c r="AP60" s="27"/>
      <c r="AQ60" s="26">
        <f t="shared" si="19"/>
        <v>14135000</v>
      </c>
    </row>
    <row r="61" spans="1:43" s="28" customFormat="1" ht="96" customHeight="1" x14ac:dyDescent="0.25">
      <c r="A61" s="34"/>
      <c r="B61" s="29"/>
      <c r="C61" s="859"/>
      <c r="D61" s="850"/>
      <c r="E61" s="859"/>
      <c r="F61" s="859"/>
      <c r="G61" s="30"/>
      <c r="H61" s="775">
        <v>260</v>
      </c>
      <c r="I61" s="774" t="s">
        <v>100</v>
      </c>
      <c r="J61" s="24">
        <v>12</v>
      </c>
      <c r="K61" s="24">
        <v>12</v>
      </c>
      <c r="L61" s="998"/>
      <c r="M61" s="856"/>
      <c r="N61" s="850"/>
      <c r="O61" s="39" t="s">
        <v>38</v>
      </c>
      <c r="P61" s="26">
        <v>0</v>
      </c>
      <c r="Q61" s="26">
        <v>0</v>
      </c>
      <c r="R61" s="26">
        <v>0</v>
      </c>
      <c r="S61" s="26">
        <v>0</v>
      </c>
      <c r="T61" s="26">
        <v>0</v>
      </c>
      <c r="U61" s="26">
        <v>0</v>
      </c>
      <c r="V61" s="26">
        <v>0</v>
      </c>
      <c r="W61" s="26"/>
      <c r="X61" s="26"/>
      <c r="Y61" s="26"/>
      <c r="Z61" s="26">
        <v>0</v>
      </c>
      <c r="AA61" s="26"/>
      <c r="AB61" s="26">
        <v>0</v>
      </c>
      <c r="AC61" s="26">
        <v>0</v>
      </c>
      <c r="AD61" s="26"/>
      <c r="AE61" s="26"/>
      <c r="AF61" s="26"/>
      <c r="AG61" s="26"/>
      <c r="AH61" s="26"/>
      <c r="AI61" s="26"/>
      <c r="AJ61" s="26">
        <v>0</v>
      </c>
      <c r="AK61" s="26">
        <v>0</v>
      </c>
      <c r="AL61" s="110">
        <f>18000000-5121693</f>
        <v>12878307</v>
      </c>
      <c r="AM61" s="14"/>
      <c r="AN61" s="26">
        <v>0</v>
      </c>
      <c r="AO61" s="27">
        <v>0</v>
      </c>
      <c r="AP61" s="27"/>
      <c r="AQ61" s="26">
        <f t="shared" si="19"/>
        <v>12878307</v>
      </c>
    </row>
    <row r="62" spans="1:43" ht="15" x14ac:dyDescent="0.25">
      <c r="A62" s="34"/>
      <c r="B62" s="30"/>
      <c r="C62" s="775"/>
      <c r="D62" s="774"/>
      <c r="E62" s="775"/>
      <c r="F62" s="775"/>
      <c r="G62" s="154"/>
      <c r="H62" s="155"/>
      <c r="I62" s="154"/>
      <c r="J62" s="156"/>
      <c r="K62" s="156"/>
      <c r="L62" s="156"/>
      <c r="M62" s="157"/>
      <c r="N62" s="154"/>
      <c r="O62" s="155"/>
      <c r="P62" s="158">
        <f>SUM(P44:P61)</f>
        <v>0</v>
      </c>
      <c r="Q62" s="158">
        <f t="shared" ref="Q62:AK62" si="20">SUM(Q44:Q61)</f>
        <v>0</v>
      </c>
      <c r="R62" s="158">
        <f t="shared" si="20"/>
        <v>0</v>
      </c>
      <c r="S62" s="158">
        <f t="shared" si="20"/>
        <v>0</v>
      </c>
      <c r="T62" s="158">
        <f t="shared" si="20"/>
        <v>0</v>
      </c>
      <c r="U62" s="158">
        <f t="shared" si="20"/>
        <v>0</v>
      </c>
      <c r="V62" s="158">
        <f t="shared" si="20"/>
        <v>0</v>
      </c>
      <c r="W62" s="158">
        <f t="shared" si="20"/>
        <v>0</v>
      </c>
      <c r="X62" s="158">
        <f t="shared" si="20"/>
        <v>0</v>
      </c>
      <c r="Y62" s="158">
        <f t="shared" si="20"/>
        <v>0</v>
      </c>
      <c r="Z62" s="158">
        <f t="shared" si="20"/>
        <v>0</v>
      </c>
      <c r="AA62" s="158">
        <f t="shared" si="20"/>
        <v>0</v>
      </c>
      <c r="AB62" s="158">
        <f t="shared" si="20"/>
        <v>0</v>
      </c>
      <c r="AC62" s="158">
        <f t="shared" si="20"/>
        <v>0</v>
      </c>
      <c r="AD62" s="158">
        <f t="shared" si="20"/>
        <v>0</v>
      </c>
      <c r="AE62" s="158">
        <f t="shared" si="20"/>
        <v>0</v>
      </c>
      <c r="AF62" s="158">
        <f t="shared" si="20"/>
        <v>0</v>
      </c>
      <c r="AG62" s="158">
        <f t="shared" si="20"/>
        <v>0</v>
      </c>
      <c r="AH62" s="158">
        <f t="shared" si="20"/>
        <v>0</v>
      </c>
      <c r="AI62" s="158">
        <f t="shared" si="20"/>
        <v>0</v>
      </c>
      <c r="AJ62" s="158">
        <f t="shared" si="20"/>
        <v>0</v>
      </c>
      <c r="AK62" s="158">
        <f t="shared" si="20"/>
        <v>0</v>
      </c>
      <c r="AL62" s="158">
        <f t="shared" ref="AL62:AP62" si="21">SUM(AL44:AL61)</f>
        <v>1346000000</v>
      </c>
      <c r="AM62" s="158">
        <f t="shared" si="21"/>
        <v>0</v>
      </c>
      <c r="AN62" s="158">
        <f t="shared" si="21"/>
        <v>0</v>
      </c>
      <c r="AO62" s="158">
        <f t="shared" si="21"/>
        <v>0</v>
      </c>
      <c r="AP62" s="158">
        <f t="shared" si="21"/>
        <v>0</v>
      </c>
      <c r="AQ62" s="158">
        <f>SUM(AQ44:AQ61)</f>
        <v>1346000000</v>
      </c>
    </row>
    <row r="63" spans="1:43" ht="15" x14ac:dyDescent="0.25">
      <c r="A63" s="230"/>
      <c r="B63" s="218"/>
      <c r="C63" s="162"/>
      <c r="D63" s="161"/>
      <c r="E63" s="162"/>
      <c r="F63" s="162"/>
      <c r="G63" s="161"/>
      <c r="H63" s="162"/>
      <c r="I63" s="161"/>
      <c r="J63" s="163"/>
      <c r="K63" s="163"/>
      <c r="L63" s="163"/>
      <c r="M63" s="164"/>
      <c r="N63" s="161"/>
      <c r="O63" s="162"/>
      <c r="P63" s="165">
        <f>P62</f>
        <v>0</v>
      </c>
      <c r="Q63" s="165">
        <f t="shared" ref="Q63:AK63" si="22">Q62</f>
        <v>0</v>
      </c>
      <c r="R63" s="165">
        <f t="shared" si="22"/>
        <v>0</v>
      </c>
      <c r="S63" s="165">
        <f t="shared" si="22"/>
        <v>0</v>
      </c>
      <c r="T63" s="165">
        <f t="shared" si="22"/>
        <v>0</v>
      </c>
      <c r="U63" s="165">
        <f t="shared" si="22"/>
        <v>0</v>
      </c>
      <c r="V63" s="165">
        <f t="shared" si="22"/>
        <v>0</v>
      </c>
      <c r="W63" s="165">
        <f t="shared" si="22"/>
        <v>0</v>
      </c>
      <c r="X63" s="165">
        <f t="shared" si="22"/>
        <v>0</v>
      </c>
      <c r="Y63" s="165">
        <f t="shared" si="22"/>
        <v>0</v>
      </c>
      <c r="Z63" s="165">
        <f t="shared" si="22"/>
        <v>0</v>
      </c>
      <c r="AA63" s="165">
        <f t="shared" si="22"/>
        <v>0</v>
      </c>
      <c r="AB63" s="165">
        <f t="shared" si="22"/>
        <v>0</v>
      </c>
      <c r="AC63" s="165">
        <f t="shared" si="22"/>
        <v>0</v>
      </c>
      <c r="AD63" s="165">
        <f t="shared" si="22"/>
        <v>0</v>
      </c>
      <c r="AE63" s="165">
        <f t="shared" si="22"/>
        <v>0</v>
      </c>
      <c r="AF63" s="165">
        <f t="shared" si="22"/>
        <v>0</v>
      </c>
      <c r="AG63" s="165">
        <f t="shared" si="22"/>
        <v>0</v>
      </c>
      <c r="AH63" s="165">
        <f t="shared" si="22"/>
        <v>0</v>
      </c>
      <c r="AI63" s="165">
        <f t="shared" si="22"/>
        <v>0</v>
      </c>
      <c r="AJ63" s="165">
        <f t="shared" si="22"/>
        <v>0</v>
      </c>
      <c r="AK63" s="165">
        <f t="shared" si="22"/>
        <v>0</v>
      </c>
      <c r="AL63" s="165">
        <f t="shared" ref="AL63:AP63" si="23">AL62</f>
        <v>1346000000</v>
      </c>
      <c r="AM63" s="165">
        <f t="shared" si="23"/>
        <v>0</v>
      </c>
      <c r="AN63" s="165">
        <f t="shared" si="23"/>
        <v>0</v>
      </c>
      <c r="AO63" s="165">
        <f t="shared" si="23"/>
        <v>0</v>
      </c>
      <c r="AP63" s="165">
        <f t="shared" si="23"/>
        <v>0</v>
      </c>
      <c r="AQ63" s="165">
        <f>AQ62</f>
        <v>1346000000</v>
      </c>
    </row>
    <row r="64" spans="1:43" s="231" customFormat="1" ht="20.25" x14ac:dyDescent="0.25">
      <c r="A64" s="166"/>
      <c r="B64" s="166"/>
      <c r="C64" s="167"/>
      <c r="D64" s="166"/>
      <c r="E64" s="167"/>
      <c r="F64" s="167"/>
      <c r="G64" s="166"/>
      <c r="H64" s="167"/>
      <c r="I64" s="166"/>
      <c r="J64" s="168"/>
      <c r="K64" s="168"/>
      <c r="L64" s="168"/>
      <c r="M64" s="169"/>
      <c r="N64" s="166"/>
      <c r="O64" s="167"/>
      <c r="P64" s="170">
        <f>P34+P40+P63</f>
        <v>0</v>
      </c>
      <c r="Q64" s="170">
        <f t="shared" ref="Q64:AK64" si="24">Q34+Q40+Q63</f>
        <v>0</v>
      </c>
      <c r="R64" s="170">
        <f t="shared" si="24"/>
        <v>0</v>
      </c>
      <c r="S64" s="170">
        <f t="shared" si="24"/>
        <v>0</v>
      </c>
      <c r="T64" s="170">
        <f t="shared" si="24"/>
        <v>0</v>
      </c>
      <c r="U64" s="170">
        <f t="shared" si="24"/>
        <v>0</v>
      </c>
      <c r="V64" s="170">
        <f t="shared" si="24"/>
        <v>0</v>
      </c>
      <c r="W64" s="170">
        <f t="shared" si="24"/>
        <v>0</v>
      </c>
      <c r="X64" s="170">
        <f t="shared" si="24"/>
        <v>0</v>
      </c>
      <c r="Y64" s="170">
        <f t="shared" si="24"/>
        <v>0</v>
      </c>
      <c r="Z64" s="170">
        <f t="shared" si="24"/>
        <v>0</v>
      </c>
      <c r="AA64" s="170">
        <f t="shared" si="24"/>
        <v>0</v>
      </c>
      <c r="AB64" s="170">
        <f t="shared" si="24"/>
        <v>0</v>
      </c>
      <c r="AC64" s="170">
        <f t="shared" si="24"/>
        <v>0</v>
      </c>
      <c r="AD64" s="170">
        <f t="shared" si="24"/>
        <v>0</v>
      </c>
      <c r="AE64" s="170">
        <f t="shared" si="24"/>
        <v>0</v>
      </c>
      <c r="AF64" s="170">
        <f t="shared" si="24"/>
        <v>0</v>
      </c>
      <c r="AG64" s="170">
        <f t="shared" si="24"/>
        <v>0</v>
      </c>
      <c r="AH64" s="170">
        <f t="shared" si="24"/>
        <v>0</v>
      </c>
      <c r="AI64" s="170">
        <f t="shared" si="24"/>
        <v>0</v>
      </c>
      <c r="AJ64" s="170">
        <f t="shared" si="24"/>
        <v>0</v>
      </c>
      <c r="AK64" s="170">
        <f t="shared" si="24"/>
        <v>0</v>
      </c>
      <c r="AL64" s="170">
        <f t="shared" ref="AL64:AP64" si="25">AL34+AL40+AL63</f>
        <v>1556000000</v>
      </c>
      <c r="AM64" s="170">
        <f t="shared" si="25"/>
        <v>0</v>
      </c>
      <c r="AN64" s="170">
        <f t="shared" si="25"/>
        <v>0</v>
      </c>
      <c r="AO64" s="170">
        <f t="shared" si="25"/>
        <v>0</v>
      </c>
      <c r="AP64" s="170">
        <f t="shared" si="25"/>
        <v>0</v>
      </c>
      <c r="AQ64" s="170">
        <f>AQ34+AQ40+AQ63</f>
        <v>1556000000</v>
      </c>
    </row>
    <row r="65" spans="1:43" s="231" customFormat="1" ht="20.25" x14ac:dyDescent="0.25">
      <c r="A65" s="171"/>
      <c r="B65" s="171"/>
      <c r="C65" s="172"/>
      <c r="D65" s="171"/>
      <c r="E65" s="172"/>
      <c r="F65" s="172"/>
      <c r="G65" s="171"/>
      <c r="H65" s="172"/>
      <c r="I65" s="171"/>
      <c r="J65" s="173"/>
      <c r="K65" s="173"/>
      <c r="L65" s="173"/>
      <c r="M65" s="174"/>
      <c r="N65" s="171"/>
      <c r="O65" s="172"/>
      <c r="P65" s="175">
        <f>P64</f>
        <v>0</v>
      </c>
      <c r="Q65" s="175">
        <f t="shared" ref="Q65:AK65" si="26">Q64</f>
        <v>0</v>
      </c>
      <c r="R65" s="175">
        <f t="shared" si="26"/>
        <v>0</v>
      </c>
      <c r="S65" s="175">
        <f t="shared" si="26"/>
        <v>0</v>
      </c>
      <c r="T65" s="175">
        <f t="shared" si="26"/>
        <v>0</v>
      </c>
      <c r="U65" s="175">
        <f t="shared" si="26"/>
        <v>0</v>
      </c>
      <c r="V65" s="175">
        <f t="shared" si="26"/>
        <v>0</v>
      </c>
      <c r="W65" s="175">
        <f t="shared" si="26"/>
        <v>0</v>
      </c>
      <c r="X65" s="175">
        <f t="shared" si="26"/>
        <v>0</v>
      </c>
      <c r="Y65" s="175">
        <f t="shared" si="26"/>
        <v>0</v>
      </c>
      <c r="Z65" s="175">
        <f t="shared" si="26"/>
        <v>0</v>
      </c>
      <c r="AA65" s="175">
        <f t="shared" si="26"/>
        <v>0</v>
      </c>
      <c r="AB65" s="175">
        <f t="shared" si="26"/>
        <v>0</v>
      </c>
      <c r="AC65" s="175">
        <f t="shared" si="26"/>
        <v>0</v>
      </c>
      <c r="AD65" s="175">
        <f t="shared" si="26"/>
        <v>0</v>
      </c>
      <c r="AE65" s="175">
        <f t="shared" si="26"/>
        <v>0</v>
      </c>
      <c r="AF65" s="175">
        <f t="shared" si="26"/>
        <v>0</v>
      </c>
      <c r="AG65" s="175">
        <f t="shared" si="26"/>
        <v>0</v>
      </c>
      <c r="AH65" s="175">
        <f t="shared" si="26"/>
        <v>0</v>
      </c>
      <c r="AI65" s="175">
        <f t="shared" si="26"/>
        <v>0</v>
      </c>
      <c r="AJ65" s="175">
        <f t="shared" si="26"/>
        <v>0</v>
      </c>
      <c r="AK65" s="175">
        <f t="shared" si="26"/>
        <v>0</v>
      </c>
      <c r="AL65" s="175">
        <f t="shared" ref="AL65:AP65" si="27">AL64</f>
        <v>1556000000</v>
      </c>
      <c r="AM65" s="175">
        <f t="shared" si="27"/>
        <v>0</v>
      </c>
      <c r="AN65" s="175">
        <f t="shared" si="27"/>
        <v>0</v>
      </c>
      <c r="AO65" s="175">
        <f t="shared" si="27"/>
        <v>0</v>
      </c>
      <c r="AP65" s="175">
        <f t="shared" si="27"/>
        <v>0</v>
      </c>
      <c r="AQ65" s="175">
        <f>AQ64</f>
        <v>1556000000</v>
      </c>
    </row>
    <row r="66" spans="1:43" s="47" customFormat="1" ht="20.25" x14ac:dyDescent="0.25">
      <c r="A66" s="232"/>
      <c r="B66" s="223"/>
      <c r="C66" s="776"/>
      <c r="D66" s="223"/>
      <c r="E66" s="776"/>
      <c r="F66" s="776"/>
      <c r="G66" s="223"/>
      <c r="H66" s="776"/>
      <c r="I66" s="223"/>
      <c r="J66" s="233"/>
      <c r="K66" s="233"/>
      <c r="L66" s="233"/>
      <c r="M66" s="234"/>
      <c r="N66" s="223"/>
      <c r="O66" s="795"/>
      <c r="P66" s="235"/>
      <c r="Q66" s="235"/>
      <c r="R66" s="235"/>
      <c r="S66" s="235"/>
      <c r="T66" s="235"/>
      <c r="U66" s="235"/>
      <c r="V66" s="235"/>
      <c r="W66" s="235"/>
      <c r="X66" s="235"/>
      <c r="Y66" s="235"/>
      <c r="Z66" s="235"/>
      <c r="AA66" s="235"/>
      <c r="AB66" s="235"/>
      <c r="AC66" s="235"/>
      <c r="AD66" s="236"/>
      <c r="AE66" s="236"/>
      <c r="AF66" s="236"/>
      <c r="AG66" s="236"/>
      <c r="AH66" s="236"/>
      <c r="AI66" s="236"/>
      <c r="AJ66" s="235"/>
      <c r="AK66" s="235"/>
      <c r="AL66" s="237"/>
      <c r="AM66" s="235"/>
      <c r="AN66" s="235"/>
      <c r="AO66" s="235"/>
      <c r="AP66" s="235"/>
      <c r="AQ66" s="680"/>
    </row>
    <row r="67" spans="1:43" ht="20.25" x14ac:dyDescent="0.25">
      <c r="A67" s="238" t="s">
        <v>101</v>
      </c>
      <c r="B67" s="239"/>
      <c r="C67" s="240"/>
      <c r="D67" s="239"/>
      <c r="E67" s="239"/>
      <c r="F67" s="239"/>
      <c r="G67" s="239"/>
      <c r="H67" s="240"/>
      <c r="I67" s="239"/>
      <c r="J67" s="239"/>
      <c r="K67" s="239"/>
      <c r="L67" s="239"/>
      <c r="M67" s="656"/>
      <c r="N67" s="239"/>
      <c r="O67" s="136"/>
      <c r="P67" s="239"/>
      <c r="Q67" s="239"/>
      <c r="R67" s="239"/>
      <c r="S67" s="239"/>
      <c r="T67" s="239"/>
      <c r="U67" s="239"/>
      <c r="V67" s="239"/>
      <c r="W67" s="239"/>
      <c r="X67" s="239"/>
      <c r="Y67" s="239"/>
      <c r="Z67" s="239"/>
      <c r="AA67" s="239"/>
      <c r="AB67" s="239"/>
      <c r="AC67" s="239"/>
      <c r="AD67" s="239"/>
      <c r="AE67" s="239"/>
      <c r="AF67" s="239"/>
      <c r="AG67" s="239"/>
      <c r="AH67" s="239"/>
      <c r="AI67" s="239"/>
      <c r="AJ67" s="239"/>
      <c r="AK67" s="239"/>
      <c r="AL67" s="241"/>
      <c r="AM67" s="242"/>
      <c r="AN67" s="239"/>
      <c r="AO67" s="239"/>
      <c r="AP67" s="239"/>
      <c r="AQ67" s="564" t="s">
        <v>0</v>
      </c>
    </row>
    <row r="68" spans="1:43" ht="15" x14ac:dyDescent="0.25">
      <c r="A68" s="139">
        <v>5</v>
      </c>
      <c r="B68" s="140" t="s">
        <v>26</v>
      </c>
      <c r="C68" s="141"/>
      <c r="D68" s="140"/>
      <c r="E68" s="140"/>
      <c r="F68" s="140"/>
      <c r="G68" s="140"/>
      <c r="H68" s="141"/>
      <c r="I68" s="140"/>
      <c r="J68" s="140"/>
      <c r="K68" s="140"/>
      <c r="L68" s="140"/>
      <c r="M68" s="651"/>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2"/>
      <c r="AM68" s="140"/>
      <c r="AN68" s="140"/>
      <c r="AO68" s="140"/>
      <c r="AP68" s="140"/>
      <c r="AQ68" s="538"/>
    </row>
    <row r="69" spans="1:43" ht="15" x14ac:dyDescent="0.25">
      <c r="A69" s="184"/>
      <c r="B69" s="243">
        <v>28</v>
      </c>
      <c r="C69" s="146" t="s">
        <v>27</v>
      </c>
      <c r="D69" s="146"/>
      <c r="E69" s="146"/>
      <c r="F69" s="146"/>
      <c r="G69" s="146"/>
      <c r="H69" s="147"/>
      <c r="I69" s="146"/>
      <c r="J69" s="146"/>
      <c r="K69" s="146"/>
      <c r="L69" s="146"/>
      <c r="M69" s="652"/>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8"/>
      <c r="AM69" s="146"/>
      <c r="AN69" s="146"/>
      <c r="AO69" s="146"/>
      <c r="AP69" s="146"/>
      <c r="AQ69" s="524"/>
    </row>
    <row r="70" spans="1:43" ht="15" x14ac:dyDescent="0.25">
      <c r="A70" s="34"/>
      <c r="B70" s="184"/>
      <c r="C70" s="244"/>
      <c r="D70" s="186"/>
      <c r="E70" s="186"/>
      <c r="F70" s="187"/>
      <c r="G70" s="188">
        <v>88</v>
      </c>
      <c r="H70" s="189" t="s">
        <v>102</v>
      </c>
      <c r="I70" s="189"/>
      <c r="J70" s="189"/>
      <c r="K70" s="189"/>
      <c r="L70" s="189"/>
      <c r="M70" s="653"/>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90"/>
      <c r="AM70" s="245"/>
      <c r="AN70" s="189"/>
      <c r="AO70" s="189"/>
      <c r="AP70" s="189"/>
      <c r="AQ70" s="521"/>
    </row>
    <row r="71" spans="1:43" s="28" customFormat="1" ht="42.75" x14ac:dyDescent="0.25">
      <c r="A71" s="34"/>
      <c r="B71" s="34"/>
      <c r="C71" s="861">
        <v>38</v>
      </c>
      <c r="D71" s="849" t="s">
        <v>39</v>
      </c>
      <c r="E71" s="858">
        <v>0</v>
      </c>
      <c r="F71" s="858">
        <v>2</v>
      </c>
      <c r="G71" s="23"/>
      <c r="H71" s="762">
        <v>275</v>
      </c>
      <c r="I71" s="765" t="s">
        <v>103</v>
      </c>
      <c r="J71" s="42" t="s">
        <v>30</v>
      </c>
      <c r="K71" s="42">
        <v>4</v>
      </c>
      <c r="L71" s="997" t="s">
        <v>31</v>
      </c>
      <c r="M71" s="854" t="s">
        <v>104</v>
      </c>
      <c r="N71" s="849" t="s">
        <v>105</v>
      </c>
      <c r="O71" s="762" t="s">
        <v>38</v>
      </c>
      <c r="P71" s="43"/>
      <c r="Q71" s="43"/>
      <c r="R71" s="43"/>
      <c r="S71" s="43"/>
      <c r="T71" s="44">
        <v>0</v>
      </c>
      <c r="U71" s="44">
        <v>0</v>
      </c>
      <c r="V71" s="43"/>
      <c r="W71" s="43"/>
      <c r="X71" s="43"/>
      <c r="Y71" s="43"/>
      <c r="Z71" s="43"/>
      <c r="AA71" s="43"/>
      <c r="AB71" s="43"/>
      <c r="AC71" s="43"/>
      <c r="AD71" s="43"/>
      <c r="AE71" s="43"/>
      <c r="AF71" s="43"/>
      <c r="AG71" s="43"/>
      <c r="AH71" s="43"/>
      <c r="AI71" s="43"/>
      <c r="AJ71" s="43"/>
      <c r="AK71" s="43"/>
      <c r="AL71" s="110">
        <f>621000000+600000000</f>
        <v>1221000000</v>
      </c>
      <c r="AM71" s="14"/>
      <c r="AN71" s="45"/>
      <c r="AO71" s="43"/>
      <c r="AP71" s="43"/>
      <c r="AQ71" s="26">
        <f>P71+Q71+R71+S71+T71+U71+V71+W71+X71+Y71+Z71+AA71+AB71+AC71+AD71+AE71+AF71+AG71+AH71+AI71+AJ71+AK71+AL71+AM71+AN71+AP71+AO71</f>
        <v>1221000000</v>
      </c>
    </row>
    <row r="72" spans="1:43" s="28" customFormat="1" ht="63" customHeight="1" x14ac:dyDescent="0.25">
      <c r="A72" s="34"/>
      <c r="B72" s="34"/>
      <c r="C72" s="875"/>
      <c r="D72" s="857"/>
      <c r="E72" s="860"/>
      <c r="F72" s="860"/>
      <c r="G72" s="29"/>
      <c r="H72" s="762">
        <v>276</v>
      </c>
      <c r="I72" s="774" t="s">
        <v>106</v>
      </c>
      <c r="J72" s="24">
        <v>1</v>
      </c>
      <c r="K72" s="24">
        <v>1</v>
      </c>
      <c r="L72" s="997"/>
      <c r="M72" s="855"/>
      <c r="N72" s="857"/>
      <c r="O72" s="775" t="s">
        <v>38</v>
      </c>
      <c r="P72" s="43"/>
      <c r="Q72" s="43"/>
      <c r="R72" s="43"/>
      <c r="S72" s="43"/>
      <c r="T72" s="10">
        <f>41200000-41200000</f>
        <v>0</v>
      </c>
      <c r="U72" s="43"/>
      <c r="V72" s="43"/>
      <c r="W72" s="43"/>
      <c r="X72" s="43"/>
      <c r="Y72" s="43"/>
      <c r="Z72" s="43"/>
      <c r="AA72" s="43"/>
      <c r="AB72" s="43"/>
      <c r="AC72" s="43"/>
      <c r="AD72" s="43"/>
      <c r="AE72" s="43"/>
      <c r="AF72" s="43"/>
      <c r="AG72" s="43"/>
      <c r="AH72" s="43"/>
      <c r="AI72" s="43"/>
      <c r="AJ72" s="43"/>
      <c r="AK72" s="43"/>
      <c r="AL72" s="110">
        <f>3600000+146600000+110000000+4674563</f>
        <v>264874563</v>
      </c>
      <c r="AM72" s="14"/>
      <c r="AN72" s="43"/>
      <c r="AO72" s="43"/>
      <c r="AP72" s="43"/>
      <c r="AQ72" s="26">
        <f>P72+Q72+R72+S72+T72+U72+V72+W72+X72+Y72+Z72+AA72+AB72+AC72+AD72+AE72+AF72+AG72+AH72+AI72+AJ72+AK72+AL72+AM72+AN72+AP72+AO72</f>
        <v>264874563</v>
      </c>
    </row>
    <row r="73" spans="1:43" s="47" customFormat="1" ht="63" customHeight="1" x14ac:dyDescent="0.25">
      <c r="A73" s="34"/>
      <c r="B73" s="34"/>
      <c r="C73" s="862"/>
      <c r="D73" s="850"/>
      <c r="E73" s="859"/>
      <c r="F73" s="859"/>
      <c r="G73" s="29"/>
      <c r="H73" s="762">
        <v>277</v>
      </c>
      <c r="I73" s="774" t="s">
        <v>107</v>
      </c>
      <c r="J73" s="24">
        <v>1</v>
      </c>
      <c r="K73" s="24">
        <v>1</v>
      </c>
      <c r="L73" s="998"/>
      <c r="M73" s="856"/>
      <c r="N73" s="850"/>
      <c r="O73" s="775" t="s">
        <v>38</v>
      </c>
      <c r="P73" s="43"/>
      <c r="Q73" s="43"/>
      <c r="R73" s="43"/>
      <c r="S73" s="43"/>
      <c r="T73" s="44">
        <f>41200000+35332521+3764149</f>
        <v>80296670</v>
      </c>
      <c r="U73" s="43"/>
      <c r="V73" s="43"/>
      <c r="W73" s="43"/>
      <c r="X73" s="43"/>
      <c r="Y73" s="43"/>
      <c r="Z73" s="43"/>
      <c r="AA73" s="43"/>
      <c r="AB73" s="43"/>
      <c r="AC73" s="43"/>
      <c r="AD73" s="43"/>
      <c r="AE73" s="43"/>
      <c r="AF73" s="43"/>
      <c r="AG73" s="43"/>
      <c r="AH73" s="43"/>
      <c r="AI73" s="43"/>
      <c r="AJ73" s="43"/>
      <c r="AK73" s="46"/>
      <c r="AL73" s="110">
        <v>0</v>
      </c>
      <c r="AM73" s="14"/>
      <c r="AN73" s="26"/>
      <c r="AO73" s="10">
        <f>200000000+5733586+84641017</f>
        <v>290374603</v>
      </c>
      <c r="AP73" s="10"/>
      <c r="AQ73" s="26">
        <f>P73+Q73+R73+S73+T73+U73+V73+W73+X73+Y73+Z73+AA73+AB73+AC73+AD73+AE73+AF73+AG73+AH73+AI73+AJ73+AK73+AL73+AM73+AN73+AP73+AO73</f>
        <v>370671273</v>
      </c>
    </row>
    <row r="74" spans="1:43" s="28" customFormat="1" ht="41.25" customHeight="1" x14ac:dyDescent="0.25">
      <c r="A74" s="34"/>
      <c r="B74" s="34"/>
      <c r="C74" s="861">
        <v>38</v>
      </c>
      <c r="D74" s="849" t="s">
        <v>39</v>
      </c>
      <c r="E74" s="858">
        <v>0</v>
      </c>
      <c r="F74" s="858">
        <v>2</v>
      </c>
      <c r="G74" s="29"/>
      <c r="H74" s="762">
        <v>278</v>
      </c>
      <c r="I74" s="774" t="s">
        <v>108</v>
      </c>
      <c r="J74" s="24" t="s">
        <v>30</v>
      </c>
      <c r="K74" s="24">
        <v>1</v>
      </c>
      <c r="L74" s="996" t="s">
        <v>31</v>
      </c>
      <c r="M74" s="854" t="s">
        <v>109</v>
      </c>
      <c r="N74" s="849" t="s">
        <v>110</v>
      </c>
      <c r="O74" s="775" t="s">
        <v>38</v>
      </c>
      <c r="P74" s="26">
        <v>0</v>
      </c>
      <c r="Q74" s="26">
        <v>0</v>
      </c>
      <c r="R74" s="26">
        <v>0</v>
      </c>
      <c r="S74" s="26">
        <v>0</v>
      </c>
      <c r="T74" s="26">
        <v>0</v>
      </c>
      <c r="U74" s="26">
        <v>0</v>
      </c>
      <c r="V74" s="26">
        <v>0</v>
      </c>
      <c r="W74" s="26"/>
      <c r="X74" s="26"/>
      <c r="Y74" s="26"/>
      <c r="Z74" s="26">
        <v>0</v>
      </c>
      <c r="AA74" s="26"/>
      <c r="AB74" s="26">
        <v>0</v>
      </c>
      <c r="AC74" s="26">
        <v>0</v>
      </c>
      <c r="AD74" s="26"/>
      <c r="AE74" s="26"/>
      <c r="AF74" s="26"/>
      <c r="AG74" s="26"/>
      <c r="AH74" s="26"/>
      <c r="AI74" s="26"/>
      <c r="AJ74" s="26">
        <v>0</v>
      </c>
      <c r="AK74" s="26">
        <v>0</v>
      </c>
      <c r="AL74" s="110">
        <f>5700000+14300000+20000000</f>
        <v>40000000</v>
      </c>
      <c r="AM74" s="14"/>
      <c r="AN74" s="26">
        <v>0</v>
      </c>
      <c r="AO74" s="27">
        <v>0</v>
      </c>
      <c r="AP74" s="27"/>
      <c r="AQ74" s="26">
        <f>P74+Q74+R74+S74+T74+U74+V74+W74+X74+Y74+Z74+AA74+AB74+AC74+AD74+AE74+AF74+AG74+AH74+AI74+AJ74+AK74+AL74+AM74+AN74+AP74+AO74</f>
        <v>40000000</v>
      </c>
    </row>
    <row r="75" spans="1:43" s="28" customFormat="1" ht="66.75" customHeight="1" x14ac:dyDescent="0.25">
      <c r="A75" s="34"/>
      <c r="B75" s="34"/>
      <c r="C75" s="862"/>
      <c r="D75" s="850"/>
      <c r="E75" s="859"/>
      <c r="F75" s="859"/>
      <c r="G75" s="30"/>
      <c r="H75" s="762">
        <v>279</v>
      </c>
      <c r="I75" s="774" t="s">
        <v>111</v>
      </c>
      <c r="J75" s="24" t="s">
        <v>30</v>
      </c>
      <c r="K75" s="24">
        <v>1</v>
      </c>
      <c r="L75" s="998"/>
      <c r="M75" s="856"/>
      <c r="N75" s="850"/>
      <c r="O75" s="775" t="s">
        <v>38</v>
      </c>
      <c r="P75" s="26">
        <v>0</v>
      </c>
      <c r="Q75" s="26">
        <v>0</v>
      </c>
      <c r="R75" s="26">
        <v>0</v>
      </c>
      <c r="S75" s="26">
        <v>0</v>
      </c>
      <c r="T75" s="26">
        <v>0</v>
      </c>
      <c r="U75" s="26"/>
      <c r="V75" s="26">
        <v>0</v>
      </c>
      <c r="W75" s="26"/>
      <c r="X75" s="26"/>
      <c r="Y75" s="26"/>
      <c r="Z75" s="26">
        <v>0</v>
      </c>
      <c r="AA75" s="26"/>
      <c r="AB75" s="26">
        <v>0</v>
      </c>
      <c r="AC75" s="26">
        <v>0</v>
      </c>
      <c r="AD75" s="26"/>
      <c r="AE75" s="26"/>
      <c r="AF75" s="26"/>
      <c r="AG75" s="26"/>
      <c r="AH75" s="26"/>
      <c r="AI75" s="26"/>
      <c r="AJ75" s="26">
        <v>0</v>
      </c>
      <c r="AK75" s="26">
        <v>0</v>
      </c>
      <c r="AL75" s="110">
        <f>23100000+65700000+180000000+65388531</f>
        <v>334188531</v>
      </c>
      <c r="AM75" s="14"/>
      <c r="AN75" s="26"/>
      <c r="AO75" s="27">
        <v>0</v>
      </c>
      <c r="AP75" s="27"/>
      <c r="AQ75" s="26">
        <f>P75+Q75+R75+S75+T75+U75+V75+W75+X75+Y75+Z75+AA75+AB75+AC75+AD75+AE75+AF75+AG75+AH75+AI75+AJ75+AK75+AL75+AM75+AN75+AP75+AO75</f>
        <v>334188531</v>
      </c>
    </row>
    <row r="76" spans="1:43" s="28" customFormat="1" ht="15" x14ac:dyDescent="0.25">
      <c r="A76" s="34"/>
      <c r="B76" s="230"/>
      <c r="C76" s="579"/>
      <c r="D76" s="246"/>
      <c r="E76" s="246"/>
      <c r="F76" s="246"/>
      <c r="G76" s="154"/>
      <c r="H76" s="155"/>
      <c r="I76" s="154"/>
      <c r="J76" s="156"/>
      <c r="K76" s="156"/>
      <c r="L76" s="156"/>
      <c r="M76" s="157"/>
      <c r="N76" s="154"/>
      <c r="O76" s="155"/>
      <c r="P76" s="158">
        <f>SUM(P71:P75)</f>
        <v>0</v>
      </c>
      <c r="Q76" s="158">
        <f t="shared" ref="Q76:AK76" si="28">SUM(Q71:Q75)</f>
        <v>0</v>
      </c>
      <c r="R76" s="158">
        <f t="shared" si="28"/>
        <v>0</v>
      </c>
      <c r="S76" s="158">
        <f t="shared" si="28"/>
        <v>0</v>
      </c>
      <c r="T76" s="158">
        <f t="shared" si="28"/>
        <v>80296670</v>
      </c>
      <c r="U76" s="158">
        <f t="shared" si="28"/>
        <v>0</v>
      </c>
      <c r="V76" s="158">
        <f t="shared" si="28"/>
        <v>0</v>
      </c>
      <c r="W76" s="158">
        <f t="shared" si="28"/>
        <v>0</v>
      </c>
      <c r="X76" s="158">
        <f t="shared" si="28"/>
        <v>0</v>
      </c>
      <c r="Y76" s="158">
        <f t="shared" si="28"/>
        <v>0</v>
      </c>
      <c r="Z76" s="158">
        <f t="shared" si="28"/>
        <v>0</v>
      </c>
      <c r="AA76" s="158">
        <f t="shared" si="28"/>
        <v>0</v>
      </c>
      <c r="AB76" s="158">
        <f t="shared" si="28"/>
        <v>0</v>
      </c>
      <c r="AC76" s="158">
        <f t="shared" si="28"/>
        <v>0</v>
      </c>
      <c r="AD76" s="158">
        <f t="shared" si="28"/>
        <v>0</v>
      </c>
      <c r="AE76" s="158">
        <f t="shared" si="28"/>
        <v>0</v>
      </c>
      <c r="AF76" s="158">
        <f t="shared" si="28"/>
        <v>0</v>
      </c>
      <c r="AG76" s="158">
        <f t="shared" si="28"/>
        <v>0</v>
      </c>
      <c r="AH76" s="158">
        <f t="shared" si="28"/>
        <v>0</v>
      </c>
      <c r="AI76" s="158">
        <f t="shared" si="28"/>
        <v>0</v>
      </c>
      <c r="AJ76" s="158">
        <f t="shared" si="28"/>
        <v>0</v>
      </c>
      <c r="AK76" s="158">
        <f t="shared" si="28"/>
        <v>0</v>
      </c>
      <c r="AL76" s="158">
        <f t="shared" ref="AL76:AP76" si="29">SUM(AL71:AL75)</f>
        <v>1860063094</v>
      </c>
      <c r="AM76" s="158">
        <f t="shared" si="29"/>
        <v>0</v>
      </c>
      <c r="AN76" s="158">
        <f t="shared" si="29"/>
        <v>0</v>
      </c>
      <c r="AO76" s="158">
        <f t="shared" si="29"/>
        <v>290374603</v>
      </c>
      <c r="AP76" s="158">
        <f t="shared" si="29"/>
        <v>0</v>
      </c>
      <c r="AQ76" s="158">
        <f>SUM(AQ71:AQ75)</f>
        <v>2230734367</v>
      </c>
    </row>
    <row r="77" spans="1:43" s="28" customFormat="1" ht="15" x14ac:dyDescent="0.25">
      <c r="A77" s="230"/>
      <c r="B77" s="218"/>
      <c r="C77" s="162"/>
      <c r="D77" s="161"/>
      <c r="E77" s="162"/>
      <c r="F77" s="162"/>
      <c r="G77" s="161"/>
      <c r="H77" s="162"/>
      <c r="I77" s="161"/>
      <c r="J77" s="163"/>
      <c r="K77" s="163"/>
      <c r="L77" s="163"/>
      <c r="M77" s="164"/>
      <c r="N77" s="161"/>
      <c r="O77" s="162"/>
      <c r="P77" s="165">
        <f>P76</f>
        <v>0</v>
      </c>
      <c r="Q77" s="165">
        <f t="shared" ref="Q77:AK77" si="30">Q76</f>
        <v>0</v>
      </c>
      <c r="R77" s="165">
        <f t="shared" si="30"/>
        <v>0</v>
      </c>
      <c r="S77" s="165">
        <f t="shared" si="30"/>
        <v>0</v>
      </c>
      <c r="T77" s="165">
        <f t="shared" si="30"/>
        <v>80296670</v>
      </c>
      <c r="U77" s="165">
        <f t="shared" si="30"/>
        <v>0</v>
      </c>
      <c r="V77" s="165">
        <f t="shared" si="30"/>
        <v>0</v>
      </c>
      <c r="W77" s="165">
        <f t="shared" si="30"/>
        <v>0</v>
      </c>
      <c r="X77" s="165">
        <f t="shared" si="30"/>
        <v>0</v>
      </c>
      <c r="Y77" s="165">
        <f t="shared" si="30"/>
        <v>0</v>
      </c>
      <c r="Z77" s="165">
        <f t="shared" si="30"/>
        <v>0</v>
      </c>
      <c r="AA77" s="165">
        <f t="shared" si="30"/>
        <v>0</v>
      </c>
      <c r="AB77" s="165">
        <f t="shared" si="30"/>
        <v>0</v>
      </c>
      <c r="AC77" s="165">
        <f t="shared" si="30"/>
        <v>0</v>
      </c>
      <c r="AD77" s="165">
        <f t="shared" si="30"/>
        <v>0</v>
      </c>
      <c r="AE77" s="165">
        <f t="shared" si="30"/>
        <v>0</v>
      </c>
      <c r="AF77" s="165">
        <f t="shared" si="30"/>
        <v>0</v>
      </c>
      <c r="AG77" s="165">
        <f t="shared" si="30"/>
        <v>0</v>
      </c>
      <c r="AH77" s="165">
        <f t="shared" si="30"/>
        <v>0</v>
      </c>
      <c r="AI77" s="165">
        <f t="shared" si="30"/>
        <v>0</v>
      </c>
      <c r="AJ77" s="165">
        <f t="shared" si="30"/>
        <v>0</v>
      </c>
      <c r="AK77" s="165">
        <f t="shared" si="30"/>
        <v>0</v>
      </c>
      <c r="AL77" s="165">
        <f t="shared" ref="AL77:AP77" si="31">AL76</f>
        <v>1860063094</v>
      </c>
      <c r="AM77" s="165">
        <f t="shared" si="31"/>
        <v>0</v>
      </c>
      <c r="AN77" s="165">
        <f t="shared" si="31"/>
        <v>0</v>
      </c>
      <c r="AO77" s="165">
        <f t="shared" si="31"/>
        <v>290374603</v>
      </c>
      <c r="AP77" s="165">
        <f t="shared" si="31"/>
        <v>0</v>
      </c>
      <c r="AQ77" s="165">
        <f t="shared" ref="AQ77:AQ79" si="32">AQ76</f>
        <v>2230734367</v>
      </c>
    </row>
    <row r="78" spans="1:43" s="28" customFormat="1" ht="15" x14ac:dyDescent="0.25">
      <c r="A78" s="166"/>
      <c r="B78" s="166"/>
      <c r="C78" s="167"/>
      <c r="D78" s="166"/>
      <c r="E78" s="167"/>
      <c r="F78" s="167"/>
      <c r="G78" s="166"/>
      <c r="H78" s="167"/>
      <c r="I78" s="166"/>
      <c r="J78" s="168"/>
      <c r="K78" s="168"/>
      <c r="L78" s="168"/>
      <c r="M78" s="169"/>
      <c r="N78" s="166"/>
      <c r="O78" s="167"/>
      <c r="P78" s="170">
        <f>P77</f>
        <v>0</v>
      </c>
      <c r="Q78" s="170">
        <f t="shared" ref="Q78:AK78" si="33">Q77</f>
        <v>0</v>
      </c>
      <c r="R78" s="170">
        <f t="shared" si="33"/>
        <v>0</v>
      </c>
      <c r="S78" s="170">
        <f t="shared" si="33"/>
        <v>0</v>
      </c>
      <c r="T78" s="170">
        <f t="shared" si="33"/>
        <v>80296670</v>
      </c>
      <c r="U78" s="170">
        <f t="shared" si="33"/>
        <v>0</v>
      </c>
      <c r="V78" s="170">
        <f t="shared" si="33"/>
        <v>0</v>
      </c>
      <c r="W78" s="170">
        <f t="shared" si="33"/>
        <v>0</v>
      </c>
      <c r="X78" s="170">
        <f t="shared" si="33"/>
        <v>0</v>
      </c>
      <c r="Y78" s="170">
        <f t="shared" si="33"/>
        <v>0</v>
      </c>
      <c r="Z78" s="170">
        <f t="shared" si="33"/>
        <v>0</v>
      </c>
      <c r="AA78" s="170">
        <f t="shared" si="33"/>
        <v>0</v>
      </c>
      <c r="AB78" s="170">
        <f t="shared" si="33"/>
        <v>0</v>
      </c>
      <c r="AC78" s="170">
        <f t="shared" si="33"/>
        <v>0</v>
      </c>
      <c r="AD78" s="170">
        <f t="shared" si="33"/>
        <v>0</v>
      </c>
      <c r="AE78" s="170">
        <f t="shared" si="33"/>
        <v>0</v>
      </c>
      <c r="AF78" s="170">
        <f t="shared" si="33"/>
        <v>0</v>
      </c>
      <c r="AG78" s="170">
        <f t="shared" si="33"/>
        <v>0</v>
      </c>
      <c r="AH78" s="170">
        <f t="shared" si="33"/>
        <v>0</v>
      </c>
      <c r="AI78" s="170">
        <f t="shared" si="33"/>
        <v>0</v>
      </c>
      <c r="AJ78" s="170">
        <f t="shared" si="33"/>
        <v>0</v>
      </c>
      <c r="AK78" s="170">
        <f t="shared" si="33"/>
        <v>0</v>
      </c>
      <c r="AL78" s="170">
        <f t="shared" ref="AL78:AP78" si="34">AL77</f>
        <v>1860063094</v>
      </c>
      <c r="AM78" s="170">
        <f t="shared" si="34"/>
        <v>0</v>
      </c>
      <c r="AN78" s="170">
        <f t="shared" si="34"/>
        <v>0</v>
      </c>
      <c r="AO78" s="170">
        <f t="shared" si="34"/>
        <v>290374603</v>
      </c>
      <c r="AP78" s="170">
        <f t="shared" si="34"/>
        <v>0</v>
      </c>
      <c r="AQ78" s="170">
        <f t="shared" si="32"/>
        <v>2230734367</v>
      </c>
    </row>
    <row r="79" spans="1:43" s="28" customFormat="1" ht="15" x14ac:dyDescent="0.25">
      <c r="A79" s="171"/>
      <c r="B79" s="171"/>
      <c r="C79" s="172"/>
      <c r="D79" s="171"/>
      <c r="E79" s="172"/>
      <c r="F79" s="172"/>
      <c r="G79" s="171"/>
      <c r="H79" s="172"/>
      <c r="I79" s="171"/>
      <c r="J79" s="173"/>
      <c r="K79" s="173"/>
      <c r="L79" s="173"/>
      <c r="M79" s="174"/>
      <c r="N79" s="171"/>
      <c r="O79" s="172"/>
      <c r="P79" s="175">
        <f>P78</f>
        <v>0</v>
      </c>
      <c r="Q79" s="175">
        <f t="shared" ref="Q79:AK79" si="35">Q78</f>
        <v>0</v>
      </c>
      <c r="R79" s="175">
        <f t="shared" si="35"/>
        <v>0</v>
      </c>
      <c r="S79" s="175">
        <f t="shared" si="35"/>
        <v>0</v>
      </c>
      <c r="T79" s="175">
        <f t="shared" si="35"/>
        <v>80296670</v>
      </c>
      <c r="U79" s="175">
        <f t="shared" si="35"/>
        <v>0</v>
      </c>
      <c r="V79" s="175">
        <f t="shared" si="35"/>
        <v>0</v>
      </c>
      <c r="W79" s="175">
        <f t="shared" si="35"/>
        <v>0</v>
      </c>
      <c r="X79" s="175">
        <f t="shared" si="35"/>
        <v>0</v>
      </c>
      <c r="Y79" s="175">
        <f t="shared" si="35"/>
        <v>0</v>
      </c>
      <c r="Z79" s="175">
        <f t="shared" si="35"/>
        <v>0</v>
      </c>
      <c r="AA79" s="175">
        <f t="shared" si="35"/>
        <v>0</v>
      </c>
      <c r="AB79" s="175">
        <f t="shared" si="35"/>
        <v>0</v>
      </c>
      <c r="AC79" s="175">
        <f t="shared" si="35"/>
        <v>0</v>
      </c>
      <c r="AD79" s="175">
        <f t="shared" si="35"/>
        <v>0</v>
      </c>
      <c r="AE79" s="175">
        <f t="shared" si="35"/>
        <v>0</v>
      </c>
      <c r="AF79" s="175">
        <f t="shared" si="35"/>
        <v>0</v>
      </c>
      <c r="AG79" s="175">
        <f t="shared" si="35"/>
        <v>0</v>
      </c>
      <c r="AH79" s="175">
        <f t="shared" si="35"/>
        <v>0</v>
      </c>
      <c r="AI79" s="175">
        <f t="shared" si="35"/>
        <v>0</v>
      </c>
      <c r="AJ79" s="175">
        <f t="shared" si="35"/>
        <v>0</v>
      </c>
      <c r="AK79" s="175">
        <f t="shared" si="35"/>
        <v>0</v>
      </c>
      <c r="AL79" s="175">
        <f t="shared" ref="AL79:AP79" si="36">AL78</f>
        <v>1860063094</v>
      </c>
      <c r="AM79" s="175">
        <f t="shared" si="36"/>
        <v>0</v>
      </c>
      <c r="AN79" s="175">
        <f t="shared" si="36"/>
        <v>0</v>
      </c>
      <c r="AO79" s="175">
        <f t="shared" si="36"/>
        <v>290374603</v>
      </c>
      <c r="AP79" s="175">
        <f t="shared" si="36"/>
        <v>0</v>
      </c>
      <c r="AQ79" s="175">
        <f t="shared" si="32"/>
        <v>2230734367</v>
      </c>
    </row>
    <row r="80" spans="1:43" s="28" customFormat="1" ht="15" x14ac:dyDescent="0.25">
      <c r="A80" s="176"/>
      <c r="B80" s="177"/>
      <c r="C80" s="795"/>
      <c r="D80" s="177"/>
      <c r="E80" s="795"/>
      <c r="F80" s="795"/>
      <c r="G80" s="177"/>
      <c r="H80" s="795"/>
      <c r="I80" s="177"/>
      <c r="J80" s="178"/>
      <c r="K80" s="178"/>
      <c r="L80" s="178"/>
      <c r="M80" s="179"/>
      <c r="N80" s="177"/>
      <c r="O80" s="795"/>
      <c r="P80" s="180"/>
      <c r="Q80" s="180"/>
      <c r="R80" s="180"/>
      <c r="S80" s="180"/>
      <c r="T80" s="180"/>
      <c r="U80" s="180"/>
      <c r="V80" s="180"/>
      <c r="W80" s="180"/>
      <c r="X80" s="180"/>
      <c r="Y80" s="180"/>
      <c r="Z80" s="180"/>
      <c r="AA80" s="180"/>
      <c r="AB80" s="180"/>
      <c r="AC80" s="180"/>
      <c r="AD80" s="181"/>
      <c r="AE80" s="181"/>
      <c r="AF80" s="181"/>
      <c r="AG80" s="181"/>
      <c r="AH80" s="181"/>
      <c r="AI80" s="181"/>
      <c r="AJ80" s="180"/>
      <c r="AK80" s="180"/>
      <c r="AL80" s="182"/>
      <c r="AM80" s="183"/>
      <c r="AN80" s="180"/>
      <c r="AO80" s="180"/>
      <c r="AP80" s="180"/>
      <c r="AQ80" s="815"/>
    </row>
    <row r="81" spans="1:43" s="28" customFormat="1" ht="20.25" x14ac:dyDescent="0.25">
      <c r="A81" s="134" t="s">
        <v>112</v>
      </c>
      <c r="B81" s="135"/>
      <c r="C81" s="136"/>
      <c r="D81" s="135"/>
      <c r="E81" s="135"/>
      <c r="F81" s="135"/>
      <c r="G81" s="135"/>
      <c r="H81" s="136"/>
      <c r="I81" s="135"/>
      <c r="J81" s="135"/>
      <c r="K81" s="135"/>
      <c r="L81" s="135"/>
      <c r="M81" s="650"/>
      <c r="N81" s="135"/>
      <c r="O81" s="136"/>
      <c r="P81" s="135"/>
      <c r="Q81" s="135"/>
      <c r="R81" s="135"/>
      <c r="S81" s="135"/>
      <c r="T81" s="135"/>
      <c r="U81" s="135"/>
      <c r="V81" s="135"/>
      <c r="W81" s="135"/>
      <c r="X81" s="135"/>
      <c r="Y81" s="135"/>
      <c r="Z81" s="135"/>
      <c r="AA81" s="135"/>
      <c r="AB81" s="135"/>
      <c r="AC81" s="135"/>
      <c r="AD81" s="135"/>
      <c r="AE81" s="135"/>
      <c r="AF81" s="135"/>
      <c r="AG81" s="135"/>
      <c r="AH81" s="135"/>
      <c r="AI81" s="135"/>
      <c r="AJ81" s="135"/>
      <c r="AK81" s="135"/>
      <c r="AL81" s="137"/>
      <c r="AM81" s="138"/>
      <c r="AN81" s="135"/>
      <c r="AO81" s="135"/>
      <c r="AP81" s="135"/>
      <c r="AQ81" s="564" t="s">
        <v>0</v>
      </c>
    </row>
    <row r="82" spans="1:43" s="28" customFormat="1" ht="15" x14ac:dyDescent="0.25">
      <c r="A82" s="139">
        <v>2</v>
      </c>
      <c r="B82" s="140" t="s">
        <v>113</v>
      </c>
      <c r="C82" s="141"/>
      <c r="D82" s="140"/>
      <c r="E82" s="140"/>
      <c r="F82" s="140"/>
      <c r="G82" s="140"/>
      <c r="H82" s="141"/>
      <c r="I82" s="140"/>
      <c r="J82" s="140"/>
      <c r="K82" s="140"/>
      <c r="L82" s="140"/>
      <c r="M82" s="651"/>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42"/>
      <c r="AM82" s="140"/>
      <c r="AN82" s="140"/>
      <c r="AO82" s="140"/>
      <c r="AP82" s="140"/>
      <c r="AQ82" s="538"/>
    </row>
    <row r="83" spans="1:43" s="28" customFormat="1" ht="15" x14ac:dyDescent="0.25">
      <c r="A83" s="143"/>
      <c r="B83" s="252">
        <v>4</v>
      </c>
      <c r="C83" s="145" t="s">
        <v>114</v>
      </c>
      <c r="D83" s="146"/>
      <c r="E83" s="146"/>
      <c r="F83" s="146"/>
      <c r="G83" s="146"/>
      <c r="H83" s="147"/>
      <c r="I83" s="146"/>
      <c r="J83" s="146"/>
      <c r="K83" s="146"/>
      <c r="L83" s="146"/>
      <c r="M83" s="652"/>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148"/>
      <c r="AM83" s="146"/>
      <c r="AN83" s="146"/>
      <c r="AO83" s="146"/>
      <c r="AP83" s="146"/>
      <c r="AQ83" s="524"/>
    </row>
    <row r="84" spans="1:43" s="28" customFormat="1" ht="15" x14ac:dyDescent="0.25">
      <c r="A84" s="22"/>
      <c r="B84" s="143"/>
      <c r="C84" s="244"/>
      <c r="D84" s="186"/>
      <c r="E84" s="186"/>
      <c r="F84" s="187"/>
      <c r="G84" s="188">
        <v>14</v>
      </c>
      <c r="H84" s="189" t="s">
        <v>115</v>
      </c>
      <c r="I84" s="189"/>
      <c r="J84" s="189"/>
      <c r="K84" s="189"/>
      <c r="L84" s="189"/>
      <c r="M84" s="653"/>
      <c r="N84" s="189"/>
      <c r="O84" s="189"/>
      <c r="P84" s="189"/>
      <c r="Q84" s="189"/>
      <c r="R84" s="189"/>
      <c r="S84" s="189"/>
      <c r="T84" s="189"/>
      <c r="U84" s="189"/>
      <c r="V84" s="189"/>
      <c r="W84" s="189"/>
      <c r="X84" s="189"/>
      <c r="Y84" s="189"/>
      <c r="Z84" s="189"/>
      <c r="AA84" s="189"/>
      <c r="AB84" s="189"/>
      <c r="AC84" s="189"/>
      <c r="AD84" s="189"/>
      <c r="AE84" s="189"/>
      <c r="AF84" s="189"/>
      <c r="AG84" s="189"/>
      <c r="AH84" s="189"/>
      <c r="AI84" s="189"/>
      <c r="AJ84" s="189"/>
      <c r="AK84" s="189"/>
      <c r="AL84" s="190"/>
      <c r="AM84" s="189"/>
      <c r="AN84" s="189"/>
      <c r="AO84" s="189"/>
      <c r="AP84" s="189"/>
      <c r="AQ84" s="521"/>
    </row>
    <row r="85" spans="1:43" s="28" customFormat="1" ht="78" customHeight="1" x14ac:dyDescent="0.25">
      <c r="A85" s="22"/>
      <c r="B85" s="22"/>
      <c r="C85" s="858">
        <v>9</v>
      </c>
      <c r="D85" s="849" t="s">
        <v>116</v>
      </c>
      <c r="E85" s="858">
        <v>59</v>
      </c>
      <c r="F85" s="858">
        <v>87</v>
      </c>
      <c r="G85" s="29"/>
      <c r="H85" s="837">
        <v>54</v>
      </c>
      <c r="I85" s="774" t="s">
        <v>117</v>
      </c>
      <c r="J85" s="11">
        <v>129.85</v>
      </c>
      <c r="K85" s="11">
        <v>130</v>
      </c>
      <c r="L85" s="975" t="s">
        <v>118</v>
      </c>
      <c r="M85" s="854" t="s">
        <v>119</v>
      </c>
      <c r="N85" s="849" t="s">
        <v>120</v>
      </c>
      <c r="O85" s="775" t="s">
        <v>38</v>
      </c>
      <c r="P85" s="26"/>
      <c r="Q85" s="26"/>
      <c r="R85" s="26"/>
      <c r="S85" s="26"/>
      <c r="T85" s="26"/>
      <c r="U85" s="10">
        <v>425211130.79000002</v>
      </c>
      <c r="V85" s="26"/>
      <c r="W85" s="26"/>
      <c r="X85" s="26"/>
      <c r="Y85" s="26"/>
      <c r="Z85" s="26"/>
      <c r="AA85" s="26"/>
      <c r="AB85" s="26"/>
      <c r="AC85" s="26"/>
      <c r="AD85" s="26"/>
      <c r="AE85" s="26"/>
      <c r="AF85" s="26"/>
      <c r="AG85" s="26"/>
      <c r="AH85" s="26"/>
      <c r="AI85" s="26"/>
      <c r="AJ85" s="26"/>
      <c r="AK85" s="26"/>
      <c r="AL85" s="110">
        <v>299921940.20999998</v>
      </c>
      <c r="AM85" s="38"/>
      <c r="AN85" s="26"/>
      <c r="AO85" s="27"/>
      <c r="AP85" s="27"/>
      <c r="AQ85" s="26">
        <f>P85+Q85+R85+S85+T85+U85+V85+W85+X85+Y85+Z85+AA85+AB85+AC85+AD85+AE85+AF85+AG85+AH85+AI85+AJ85+AK85+AL85+AM85+AN85+AP85+AO85</f>
        <v>725133071</v>
      </c>
    </row>
    <row r="86" spans="1:43" s="28" customFormat="1" ht="61.5" customHeight="1" x14ac:dyDescent="0.25">
      <c r="A86" s="22"/>
      <c r="B86" s="22"/>
      <c r="C86" s="860"/>
      <c r="D86" s="857"/>
      <c r="E86" s="860"/>
      <c r="F86" s="860"/>
      <c r="G86" s="29"/>
      <c r="H86" s="775">
        <v>55</v>
      </c>
      <c r="I86" s="774" t="s">
        <v>121</v>
      </c>
      <c r="J86" s="11">
        <v>12</v>
      </c>
      <c r="K86" s="11">
        <v>12</v>
      </c>
      <c r="L86" s="976"/>
      <c r="M86" s="855"/>
      <c r="N86" s="857"/>
      <c r="O86" s="775" t="s">
        <v>38</v>
      </c>
      <c r="P86" s="26"/>
      <c r="Q86" s="26"/>
      <c r="R86" s="26"/>
      <c r="S86" s="26"/>
      <c r="T86" s="26"/>
      <c r="U86" s="10">
        <v>195943362.20999998</v>
      </c>
      <c r="V86" s="26"/>
      <c r="W86" s="26"/>
      <c r="X86" s="26"/>
      <c r="Y86" s="26"/>
      <c r="Z86" s="26"/>
      <c r="AA86" s="26"/>
      <c r="AB86" s="26"/>
      <c r="AC86" s="26"/>
      <c r="AD86" s="26"/>
      <c r="AE86" s="26"/>
      <c r="AF86" s="26"/>
      <c r="AG86" s="26"/>
      <c r="AH86" s="26"/>
      <c r="AI86" s="26"/>
      <c r="AJ86" s="26"/>
      <c r="AK86" s="26"/>
      <c r="AL86" s="110">
        <v>260479137.78999999</v>
      </c>
      <c r="AM86" s="38"/>
      <c r="AN86" s="26"/>
      <c r="AO86" s="27"/>
      <c r="AP86" s="27"/>
      <c r="AQ86" s="26">
        <f>P86+Q86+R86+S86+T86+U86+V86+W86+X86+Y86+Z86+AA86+AB86+AC86+AD86+AE86+AF86+AG86+AH86+AI86+AJ86+AK86+AL86+AM86+AN86+AP86+AO86</f>
        <v>456422500</v>
      </c>
    </row>
    <row r="87" spans="1:43" s="28" customFormat="1" ht="99.75" x14ac:dyDescent="0.25">
      <c r="A87" s="22"/>
      <c r="B87" s="22"/>
      <c r="C87" s="859"/>
      <c r="D87" s="850"/>
      <c r="E87" s="859"/>
      <c r="F87" s="859"/>
      <c r="G87" s="30"/>
      <c r="H87" s="775">
        <v>56</v>
      </c>
      <c r="I87" s="774" t="s">
        <v>122</v>
      </c>
      <c r="J87" s="11">
        <v>9</v>
      </c>
      <c r="K87" s="11">
        <v>6</v>
      </c>
      <c r="L87" s="977"/>
      <c r="M87" s="856"/>
      <c r="N87" s="850"/>
      <c r="O87" s="775" t="s">
        <v>34</v>
      </c>
      <c r="P87" s="26">
        <v>0</v>
      </c>
      <c r="Q87" s="26">
        <v>0</v>
      </c>
      <c r="R87" s="26">
        <v>0</v>
      </c>
      <c r="S87" s="26">
        <v>0</v>
      </c>
      <c r="T87" s="26">
        <v>0</v>
      </c>
      <c r="U87" s="10">
        <v>15482711.069999993</v>
      </c>
      <c r="V87" s="26">
        <v>0</v>
      </c>
      <c r="W87" s="26"/>
      <c r="X87" s="26"/>
      <c r="Y87" s="26"/>
      <c r="Z87" s="26">
        <v>0</v>
      </c>
      <c r="AA87" s="26"/>
      <c r="AB87" s="26">
        <v>0</v>
      </c>
      <c r="AC87" s="26">
        <v>0</v>
      </c>
      <c r="AD87" s="26"/>
      <c r="AE87" s="26"/>
      <c r="AF87" s="26"/>
      <c r="AG87" s="26"/>
      <c r="AH87" s="26"/>
      <c r="AI87" s="26"/>
      <c r="AJ87" s="26">
        <v>0</v>
      </c>
      <c r="AK87" s="26">
        <v>0</v>
      </c>
      <c r="AL87" s="110"/>
      <c r="AM87" s="38"/>
      <c r="AN87" s="26">
        <v>0</v>
      </c>
      <c r="AO87" s="27">
        <v>0</v>
      </c>
      <c r="AP87" s="27"/>
      <c r="AQ87" s="26">
        <f>P87+Q87+R87+S87+T87+U87+V87+W87+X87+Y87+Z87+AA87+AB87+AC87+AD87+AE87+AF87+AG87+AH87+AI87+AJ87+AK87+AL87+AM87+AN87+AP87+AO87</f>
        <v>15482711.069999993</v>
      </c>
    </row>
    <row r="88" spans="1:43" s="28" customFormat="1" ht="15" x14ac:dyDescent="0.25">
      <c r="A88" s="22"/>
      <c r="B88" s="22"/>
      <c r="C88" s="775"/>
      <c r="D88" s="774"/>
      <c r="E88" s="775"/>
      <c r="F88" s="775"/>
      <c r="G88" s="154"/>
      <c r="H88" s="155"/>
      <c r="I88" s="154"/>
      <c r="J88" s="253"/>
      <c r="K88" s="253"/>
      <c r="L88" s="253"/>
      <c r="M88" s="157"/>
      <c r="N88" s="154"/>
      <c r="O88" s="155"/>
      <c r="P88" s="158">
        <f>SUM(P85:P87)</f>
        <v>0</v>
      </c>
      <c r="Q88" s="158">
        <f t="shared" ref="Q88:AK88" si="37">SUM(Q85:Q87)</f>
        <v>0</v>
      </c>
      <c r="R88" s="158">
        <f t="shared" si="37"/>
        <v>0</v>
      </c>
      <c r="S88" s="158">
        <f t="shared" si="37"/>
        <v>0</v>
      </c>
      <c r="T88" s="158">
        <f t="shared" si="37"/>
        <v>0</v>
      </c>
      <c r="U88" s="158">
        <f t="shared" si="37"/>
        <v>636637204.06999993</v>
      </c>
      <c r="V88" s="158">
        <f t="shared" si="37"/>
        <v>0</v>
      </c>
      <c r="W88" s="158">
        <f t="shared" si="37"/>
        <v>0</v>
      </c>
      <c r="X88" s="158">
        <f t="shared" si="37"/>
        <v>0</v>
      </c>
      <c r="Y88" s="158">
        <f t="shared" si="37"/>
        <v>0</v>
      </c>
      <c r="Z88" s="158">
        <f t="shared" si="37"/>
        <v>0</v>
      </c>
      <c r="AA88" s="158">
        <f t="shared" si="37"/>
        <v>0</v>
      </c>
      <c r="AB88" s="158">
        <f t="shared" si="37"/>
        <v>0</v>
      </c>
      <c r="AC88" s="158">
        <f t="shared" si="37"/>
        <v>0</v>
      </c>
      <c r="AD88" s="158">
        <f t="shared" si="37"/>
        <v>0</v>
      </c>
      <c r="AE88" s="158">
        <f t="shared" si="37"/>
        <v>0</v>
      </c>
      <c r="AF88" s="158">
        <f t="shared" si="37"/>
        <v>0</v>
      </c>
      <c r="AG88" s="158">
        <f t="shared" si="37"/>
        <v>0</v>
      </c>
      <c r="AH88" s="158">
        <f t="shared" si="37"/>
        <v>0</v>
      </c>
      <c r="AI88" s="158">
        <f t="shared" si="37"/>
        <v>0</v>
      </c>
      <c r="AJ88" s="158">
        <f t="shared" si="37"/>
        <v>0</v>
      </c>
      <c r="AK88" s="158">
        <f t="shared" si="37"/>
        <v>0</v>
      </c>
      <c r="AL88" s="158">
        <f t="shared" ref="AL88:AQ88" si="38">SUM(AL85:AL87)</f>
        <v>560401078</v>
      </c>
      <c r="AM88" s="158">
        <f t="shared" si="38"/>
        <v>0</v>
      </c>
      <c r="AN88" s="158">
        <f t="shared" si="38"/>
        <v>0</v>
      </c>
      <c r="AO88" s="158">
        <f t="shared" si="38"/>
        <v>0</v>
      </c>
      <c r="AP88" s="158">
        <f t="shared" si="38"/>
        <v>0</v>
      </c>
      <c r="AQ88" s="158">
        <f t="shared" si="38"/>
        <v>1197038282.0699999</v>
      </c>
    </row>
    <row r="89" spans="1:43" s="28" customFormat="1" ht="15" x14ac:dyDescent="0.25">
      <c r="A89" s="22"/>
      <c r="B89" s="22"/>
      <c r="C89" s="775"/>
      <c r="D89" s="774"/>
      <c r="E89" s="775"/>
      <c r="F89" s="775"/>
      <c r="G89" s="774"/>
      <c r="H89" s="775"/>
      <c r="I89" s="774"/>
      <c r="J89" s="11"/>
      <c r="K89" s="11"/>
      <c r="L89" s="11"/>
      <c r="M89" s="37"/>
      <c r="N89" s="774"/>
      <c r="O89" s="775"/>
      <c r="P89" s="26"/>
      <c r="Q89" s="26"/>
      <c r="R89" s="26"/>
      <c r="S89" s="26"/>
      <c r="T89" s="26"/>
      <c r="U89" s="26"/>
      <c r="V89" s="26"/>
      <c r="W89" s="26"/>
      <c r="X89" s="26"/>
      <c r="Y89" s="26"/>
      <c r="Z89" s="26"/>
      <c r="AA89" s="26"/>
      <c r="AB89" s="26"/>
      <c r="AC89" s="26"/>
      <c r="AD89" s="254"/>
      <c r="AE89" s="254"/>
      <c r="AF89" s="254"/>
      <c r="AG89" s="254"/>
      <c r="AH89" s="254"/>
      <c r="AI89" s="254"/>
      <c r="AJ89" s="26"/>
      <c r="AK89" s="26"/>
      <c r="AL89" s="110"/>
      <c r="AM89" s="38"/>
      <c r="AN89" s="26"/>
      <c r="AO89" s="27"/>
      <c r="AP89" s="27"/>
      <c r="AQ89" s="26"/>
    </row>
    <row r="90" spans="1:43" s="28" customFormat="1" ht="15" x14ac:dyDescent="0.25">
      <c r="A90" s="22"/>
      <c r="B90" s="22"/>
      <c r="C90" s="255"/>
      <c r="D90" s="256"/>
      <c r="E90" s="256"/>
      <c r="F90" s="257"/>
      <c r="G90" s="258">
        <v>15</v>
      </c>
      <c r="H90" s="669" t="s">
        <v>123</v>
      </c>
      <c r="I90" s="189"/>
      <c r="J90" s="189"/>
      <c r="K90" s="189"/>
      <c r="L90" s="189"/>
      <c r="M90" s="653"/>
      <c r="N90" s="189"/>
      <c r="O90" s="189"/>
      <c r="P90" s="189"/>
      <c r="Q90" s="189"/>
      <c r="R90" s="189"/>
      <c r="S90" s="189"/>
      <c r="T90" s="189"/>
      <c r="U90" s="189"/>
      <c r="V90" s="189"/>
      <c r="W90" s="189"/>
      <c r="X90" s="189"/>
      <c r="Y90" s="189"/>
      <c r="Z90" s="189"/>
      <c r="AA90" s="189"/>
      <c r="AB90" s="189"/>
      <c r="AC90" s="189"/>
      <c r="AD90" s="189"/>
      <c r="AE90" s="189"/>
      <c r="AF90" s="189"/>
      <c r="AG90" s="189"/>
      <c r="AH90" s="189"/>
      <c r="AI90" s="189"/>
      <c r="AJ90" s="189"/>
      <c r="AK90" s="189"/>
      <c r="AL90" s="190"/>
      <c r="AM90" s="189"/>
      <c r="AN90" s="189"/>
      <c r="AO90" s="189"/>
      <c r="AP90" s="189"/>
      <c r="AQ90" s="521"/>
    </row>
    <row r="91" spans="1:43" s="28" customFormat="1" ht="69.75" customHeight="1" x14ac:dyDescent="0.25">
      <c r="A91" s="22"/>
      <c r="B91" s="22"/>
      <c r="C91" s="858">
        <v>7</v>
      </c>
      <c r="D91" s="849" t="s">
        <v>124</v>
      </c>
      <c r="E91" s="954">
        <v>0.317</v>
      </c>
      <c r="F91" s="1003">
        <v>0.27</v>
      </c>
      <c r="G91" s="29"/>
      <c r="H91" s="775">
        <v>57</v>
      </c>
      <c r="I91" s="774" t="s">
        <v>125</v>
      </c>
      <c r="J91" s="11">
        <v>103</v>
      </c>
      <c r="K91" s="21">
        <v>12</v>
      </c>
      <c r="L91" s="975" t="s">
        <v>126</v>
      </c>
      <c r="M91" s="854" t="s">
        <v>127</v>
      </c>
      <c r="N91" s="849" t="s">
        <v>128</v>
      </c>
      <c r="O91" s="775" t="s">
        <v>34</v>
      </c>
      <c r="P91" s="26"/>
      <c r="Q91" s="26"/>
      <c r="R91" s="672">
        <v>7758783451.21</v>
      </c>
      <c r="S91" s="26"/>
      <c r="T91" s="26"/>
      <c r="U91" s="26"/>
      <c r="V91" s="26"/>
      <c r="W91" s="26"/>
      <c r="X91" s="26"/>
      <c r="Y91" s="26"/>
      <c r="Z91" s="26"/>
      <c r="AA91" s="26"/>
      <c r="AB91" s="26"/>
      <c r="AC91" s="26"/>
      <c r="AD91" s="26"/>
      <c r="AE91" s="26"/>
      <c r="AF91" s="26"/>
      <c r="AG91" s="26"/>
      <c r="AH91" s="26"/>
      <c r="AI91" s="26"/>
      <c r="AJ91" s="26"/>
      <c r="AK91" s="26"/>
      <c r="AL91" s="110">
        <v>8450000</v>
      </c>
      <c r="AM91" s="38"/>
      <c r="AN91" s="26">
        <v>0</v>
      </c>
      <c r="AO91" s="48"/>
      <c r="AP91" s="48"/>
      <c r="AQ91" s="26">
        <f t="shared" ref="AQ91:AQ99" si="39">P91+Q91+R91+S91+T91+U91+V91+W91+X91+Y91+Z91+AA91+AB91+AC91+AD91+AE91+AF91+AG91+AH91+AI91+AJ91+AK91+AL91+AM91+AN91+AP91+AO91</f>
        <v>7767233451.21</v>
      </c>
    </row>
    <row r="92" spans="1:43" s="28" customFormat="1" ht="85.5" customHeight="1" x14ac:dyDescent="0.25">
      <c r="A92" s="22"/>
      <c r="B92" s="22"/>
      <c r="C92" s="860"/>
      <c r="D92" s="857"/>
      <c r="E92" s="1002"/>
      <c r="F92" s="922"/>
      <c r="G92" s="29"/>
      <c r="H92" s="775">
        <v>58</v>
      </c>
      <c r="I92" s="774" t="s">
        <v>129</v>
      </c>
      <c r="J92" s="11">
        <v>6</v>
      </c>
      <c r="K92" s="21">
        <v>1</v>
      </c>
      <c r="L92" s="976"/>
      <c r="M92" s="855"/>
      <c r="N92" s="857"/>
      <c r="O92" s="775" t="s">
        <v>34</v>
      </c>
      <c r="P92" s="26">
        <v>0</v>
      </c>
      <c r="Q92" s="26">
        <v>0</v>
      </c>
      <c r="R92" s="10"/>
      <c r="S92" s="26">
        <v>0</v>
      </c>
      <c r="T92" s="26">
        <v>0</v>
      </c>
      <c r="U92" s="26">
        <v>0</v>
      </c>
      <c r="V92" s="26">
        <v>0</v>
      </c>
      <c r="W92" s="26"/>
      <c r="X92" s="26"/>
      <c r="Y92" s="26"/>
      <c r="Z92" s="26">
        <v>0</v>
      </c>
      <c r="AA92" s="26"/>
      <c r="AB92" s="26">
        <v>0</v>
      </c>
      <c r="AC92" s="26">
        <v>0</v>
      </c>
      <c r="AD92" s="26"/>
      <c r="AE92" s="26"/>
      <c r="AF92" s="26"/>
      <c r="AG92" s="26"/>
      <c r="AH92" s="26"/>
      <c r="AI92" s="26"/>
      <c r="AJ92" s="26">
        <v>0</v>
      </c>
      <c r="AK92" s="26">
        <v>0</v>
      </c>
      <c r="AL92" s="110">
        <v>50000000</v>
      </c>
      <c r="AM92" s="38"/>
      <c r="AN92" s="26">
        <v>0</v>
      </c>
      <c r="AO92" s="27">
        <v>0</v>
      </c>
      <c r="AP92" s="27"/>
      <c r="AQ92" s="26">
        <f t="shared" si="39"/>
        <v>50000000</v>
      </c>
    </row>
    <row r="93" spans="1:43" s="28" customFormat="1" ht="105" customHeight="1" x14ac:dyDescent="0.25">
      <c r="A93" s="22"/>
      <c r="B93" s="22"/>
      <c r="C93" s="860"/>
      <c r="D93" s="857"/>
      <c r="E93" s="1002"/>
      <c r="F93" s="922"/>
      <c r="G93" s="29"/>
      <c r="H93" s="775">
        <v>59</v>
      </c>
      <c r="I93" s="774" t="s">
        <v>130</v>
      </c>
      <c r="J93" s="11">
        <v>82</v>
      </c>
      <c r="K93" s="21">
        <v>12</v>
      </c>
      <c r="L93" s="976"/>
      <c r="M93" s="855"/>
      <c r="N93" s="857"/>
      <c r="O93" s="775" t="s">
        <v>34</v>
      </c>
      <c r="P93" s="26">
        <v>0</v>
      </c>
      <c r="Q93" s="26">
        <v>0</v>
      </c>
      <c r="R93" s="10">
        <v>1315337096</v>
      </c>
      <c r="S93" s="26">
        <v>0</v>
      </c>
      <c r="T93" s="26">
        <v>0</v>
      </c>
      <c r="U93" s="26">
        <v>0</v>
      </c>
      <c r="V93" s="26">
        <v>0</v>
      </c>
      <c r="W93" s="26"/>
      <c r="X93" s="26"/>
      <c r="Y93" s="26"/>
      <c r="Z93" s="26">
        <v>0</v>
      </c>
      <c r="AA93" s="26"/>
      <c r="AB93" s="26">
        <v>0</v>
      </c>
      <c r="AC93" s="26">
        <v>0</v>
      </c>
      <c r="AD93" s="26"/>
      <c r="AE93" s="26"/>
      <c r="AF93" s="26"/>
      <c r="AG93" s="26"/>
      <c r="AH93" s="26"/>
      <c r="AI93" s="26"/>
      <c r="AJ93" s="26">
        <v>0</v>
      </c>
      <c r="AK93" s="26">
        <v>0</v>
      </c>
      <c r="AL93" s="110">
        <v>0</v>
      </c>
      <c r="AM93" s="38"/>
      <c r="AN93" s="26">
        <v>0</v>
      </c>
      <c r="AO93" s="27">
        <v>0</v>
      </c>
      <c r="AP93" s="27"/>
      <c r="AQ93" s="26">
        <f t="shared" si="39"/>
        <v>1315337096</v>
      </c>
    </row>
    <row r="94" spans="1:43" s="28" customFormat="1" ht="117.75" customHeight="1" x14ac:dyDescent="0.25">
      <c r="A94" s="22"/>
      <c r="B94" s="22"/>
      <c r="C94" s="860"/>
      <c r="D94" s="857"/>
      <c r="E94" s="1002"/>
      <c r="F94" s="922"/>
      <c r="G94" s="29"/>
      <c r="H94" s="775">
        <v>60</v>
      </c>
      <c r="I94" s="774" t="s">
        <v>913</v>
      </c>
      <c r="J94" s="11">
        <v>9</v>
      </c>
      <c r="K94" s="21">
        <v>12</v>
      </c>
      <c r="L94" s="976"/>
      <c r="M94" s="855"/>
      <c r="N94" s="857"/>
      <c r="O94" s="775" t="s">
        <v>34</v>
      </c>
      <c r="P94" s="26">
        <v>0</v>
      </c>
      <c r="Q94" s="26">
        <v>0</v>
      </c>
      <c r="R94" s="10"/>
      <c r="S94" s="26">
        <v>0</v>
      </c>
      <c r="T94" s="26">
        <v>0</v>
      </c>
      <c r="U94" s="26">
        <v>0</v>
      </c>
      <c r="V94" s="26">
        <v>0</v>
      </c>
      <c r="W94" s="26"/>
      <c r="X94" s="26"/>
      <c r="Y94" s="26"/>
      <c r="Z94" s="26">
        <v>0</v>
      </c>
      <c r="AA94" s="26"/>
      <c r="AB94" s="26">
        <v>0</v>
      </c>
      <c r="AC94" s="26">
        <v>0</v>
      </c>
      <c r="AD94" s="26"/>
      <c r="AE94" s="26"/>
      <c r="AF94" s="26"/>
      <c r="AG94" s="26"/>
      <c r="AH94" s="26"/>
      <c r="AI94" s="26"/>
      <c r="AJ94" s="26">
        <v>0</v>
      </c>
      <c r="AK94" s="26">
        <v>0</v>
      </c>
      <c r="AL94" s="110">
        <v>350000000</v>
      </c>
      <c r="AM94" s="38"/>
      <c r="AN94" s="26">
        <v>0</v>
      </c>
      <c r="AO94" s="27">
        <v>0</v>
      </c>
      <c r="AP94" s="27"/>
      <c r="AQ94" s="26">
        <f t="shared" si="39"/>
        <v>350000000</v>
      </c>
    </row>
    <row r="95" spans="1:43" s="28" customFormat="1" ht="107.25" customHeight="1" x14ac:dyDescent="0.25">
      <c r="A95" s="22"/>
      <c r="B95" s="22"/>
      <c r="C95" s="860"/>
      <c r="D95" s="857"/>
      <c r="E95" s="1002"/>
      <c r="F95" s="922"/>
      <c r="G95" s="29"/>
      <c r="H95" s="775">
        <v>61</v>
      </c>
      <c r="I95" s="774" t="s">
        <v>131</v>
      </c>
      <c r="J95" s="11">
        <v>2</v>
      </c>
      <c r="K95" s="21">
        <v>2</v>
      </c>
      <c r="L95" s="976"/>
      <c r="M95" s="855"/>
      <c r="N95" s="857"/>
      <c r="O95" s="775" t="s">
        <v>34</v>
      </c>
      <c r="P95" s="26">
        <v>0</v>
      </c>
      <c r="Q95" s="26">
        <v>0</v>
      </c>
      <c r="R95" s="129">
        <v>0</v>
      </c>
      <c r="S95" s="26">
        <v>0</v>
      </c>
      <c r="T95" s="26">
        <v>0</v>
      </c>
      <c r="U95" s="26">
        <v>0</v>
      </c>
      <c r="V95" s="26">
        <v>0</v>
      </c>
      <c r="W95" s="26"/>
      <c r="X95" s="26"/>
      <c r="Y95" s="26"/>
      <c r="Z95" s="26">
        <v>0</v>
      </c>
      <c r="AA95" s="26"/>
      <c r="AB95" s="26">
        <v>0</v>
      </c>
      <c r="AC95" s="26">
        <v>0</v>
      </c>
      <c r="AD95" s="26"/>
      <c r="AE95" s="26"/>
      <c r="AF95" s="26"/>
      <c r="AG95" s="26"/>
      <c r="AH95" s="26"/>
      <c r="AI95" s="26"/>
      <c r="AJ95" s="26">
        <v>0</v>
      </c>
      <c r="AK95" s="26">
        <v>0</v>
      </c>
      <c r="AL95" s="110">
        <v>334300000</v>
      </c>
      <c r="AM95" s="38"/>
      <c r="AN95" s="26">
        <v>56061566</v>
      </c>
      <c r="AO95" s="27">
        <v>128000000</v>
      </c>
      <c r="AP95" s="27"/>
      <c r="AQ95" s="26">
        <f t="shared" si="39"/>
        <v>518361566</v>
      </c>
    </row>
    <row r="96" spans="1:43" s="28" customFormat="1" ht="84" customHeight="1" x14ac:dyDescent="0.25">
      <c r="A96" s="22"/>
      <c r="B96" s="22"/>
      <c r="C96" s="860"/>
      <c r="D96" s="857"/>
      <c r="E96" s="1002"/>
      <c r="F96" s="922"/>
      <c r="G96" s="29"/>
      <c r="H96" s="775">
        <v>62</v>
      </c>
      <c r="I96" s="774" t="s">
        <v>132</v>
      </c>
      <c r="J96" s="11">
        <v>1</v>
      </c>
      <c r="K96" s="21">
        <v>2</v>
      </c>
      <c r="L96" s="976"/>
      <c r="M96" s="855"/>
      <c r="N96" s="857"/>
      <c r="O96" s="775" t="s">
        <v>38</v>
      </c>
      <c r="P96" s="26">
        <v>0</v>
      </c>
      <c r="Q96" s="26">
        <v>0</v>
      </c>
      <c r="R96" s="10"/>
      <c r="S96" s="26">
        <v>0</v>
      </c>
      <c r="T96" s="26">
        <v>0</v>
      </c>
      <c r="U96" s="26">
        <v>0</v>
      </c>
      <c r="V96" s="26">
        <v>0</v>
      </c>
      <c r="W96" s="26"/>
      <c r="X96" s="26"/>
      <c r="Y96" s="26"/>
      <c r="Z96" s="26">
        <v>0</v>
      </c>
      <c r="AA96" s="26"/>
      <c r="AB96" s="26">
        <v>0</v>
      </c>
      <c r="AC96" s="26">
        <v>0</v>
      </c>
      <c r="AD96" s="26"/>
      <c r="AE96" s="26"/>
      <c r="AF96" s="26"/>
      <c r="AG96" s="26"/>
      <c r="AH96" s="26"/>
      <c r="AI96" s="26"/>
      <c r="AJ96" s="26">
        <v>0</v>
      </c>
      <c r="AK96" s="26">
        <v>0</v>
      </c>
      <c r="AL96" s="110">
        <v>205550000</v>
      </c>
      <c r="AM96" s="38"/>
      <c r="AN96" s="26">
        <v>0</v>
      </c>
      <c r="AO96" s="27">
        <v>0</v>
      </c>
      <c r="AP96" s="27"/>
      <c r="AQ96" s="26">
        <f t="shared" si="39"/>
        <v>205550000</v>
      </c>
    </row>
    <row r="97" spans="1:43" s="28" customFormat="1" ht="57" customHeight="1" x14ac:dyDescent="0.25">
      <c r="A97" s="22"/>
      <c r="B97" s="22"/>
      <c r="C97" s="860"/>
      <c r="D97" s="857"/>
      <c r="E97" s="1002"/>
      <c r="F97" s="922"/>
      <c r="G97" s="29"/>
      <c r="H97" s="775">
        <v>63</v>
      </c>
      <c r="I97" s="774" t="s">
        <v>133</v>
      </c>
      <c r="J97" s="11" t="s">
        <v>30</v>
      </c>
      <c r="K97" s="21">
        <f>250-250</f>
        <v>0</v>
      </c>
      <c r="L97" s="976"/>
      <c r="M97" s="855"/>
      <c r="N97" s="857"/>
      <c r="O97" s="775" t="s">
        <v>34</v>
      </c>
      <c r="P97" s="26"/>
      <c r="Q97" s="26"/>
      <c r="R97" s="14"/>
      <c r="S97" s="26"/>
      <c r="T97" s="26"/>
      <c r="U97" s="26"/>
      <c r="V97" s="26"/>
      <c r="W97" s="26"/>
      <c r="X97" s="26"/>
      <c r="Y97" s="26"/>
      <c r="Z97" s="26"/>
      <c r="AA97" s="26"/>
      <c r="AB97" s="26"/>
      <c r="AC97" s="26"/>
      <c r="AD97" s="26"/>
      <c r="AE97" s="26"/>
      <c r="AF97" s="26"/>
      <c r="AG97" s="26"/>
      <c r="AH97" s="26"/>
      <c r="AI97" s="26"/>
      <c r="AJ97" s="26"/>
      <c r="AK97" s="26"/>
      <c r="AL97" s="112">
        <f>400000000-400000000</f>
        <v>0</v>
      </c>
      <c r="AM97" s="50"/>
      <c r="AN97" s="26"/>
      <c r="AO97" s="27"/>
      <c r="AP97" s="27"/>
      <c r="AQ97" s="26">
        <f t="shared" si="39"/>
        <v>0</v>
      </c>
    </row>
    <row r="98" spans="1:43" s="28" customFormat="1" ht="74.25" customHeight="1" x14ac:dyDescent="0.25">
      <c r="A98" s="22"/>
      <c r="B98" s="22"/>
      <c r="C98" s="859"/>
      <c r="D98" s="850"/>
      <c r="E98" s="955"/>
      <c r="F98" s="923"/>
      <c r="G98" s="30"/>
      <c r="H98" s="775">
        <v>64</v>
      </c>
      <c r="I98" s="774" t="s">
        <v>134</v>
      </c>
      <c r="J98" s="11">
        <v>0</v>
      </c>
      <c r="K98" s="21">
        <v>1</v>
      </c>
      <c r="L98" s="977"/>
      <c r="M98" s="856"/>
      <c r="N98" s="850"/>
      <c r="O98" s="775" t="s">
        <v>135</v>
      </c>
      <c r="P98" s="26">
        <v>0</v>
      </c>
      <c r="Q98" s="26">
        <v>0</v>
      </c>
      <c r="R98" s="49">
        <v>0</v>
      </c>
      <c r="S98" s="26">
        <v>0</v>
      </c>
      <c r="T98" s="26">
        <v>0</v>
      </c>
      <c r="U98" s="26">
        <v>0</v>
      </c>
      <c r="V98" s="26">
        <v>0</v>
      </c>
      <c r="W98" s="26"/>
      <c r="X98" s="26"/>
      <c r="Y98" s="26"/>
      <c r="Z98" s="26">
        <v>0</v>
      </c>
      <c r="AA98" s="26"/>
      <c r="AB98" s="26">
        <v>0</v>
      </c>
      <c r="AC98" s="26">
        <v>0</v>
      </c>
      <c r="AD98" s="26"/>
      <c r="AE98" s="26"/>
      <c r="AF98" s="26"/>
      <c r="AG98" s="26"/>
      <c r="AH98" s="26"/>
      <c r="AI98" s="26"/>
      <c r="AJ98" s="26">
        <v>0</v>
      </c>
      <c r="AK98" s="26">
        <v>0</v>
      </c>
      <c r="AL98" s="112">
        <v>30000000</v>
      </c>
      <c r="AM98" s="10"/>
      <c r="AN98" s="26">
        <v>0</v>
      </c>
      <c r="AO98" s="27">
        <v>0</v>
      </c>
      <c r="AP98" s="27"/>
      <c r="AQ98" s="26">
        <f t="shared" si="39"/>
        <v>30000000</v>
      </c>
    </row>
    <row r="99" spans="1:43" s="28" customFormat="1" ht="84.75" customHeight="1" x14ac:dyDescent="0.25">
      <c r="A99" s="22"/>
      <c r="B99" s="22"/>
      <c r="C99" s="762"/>
      <c r="D99" s="765"/>
      <c r="E99" s="780"/>
      <c r="F99" s="783"/>
      <c r="G99" s="29"/>
      <c r="H99" s="822">
        <v>59</v>
      </c>
      <c r="I99" s="821" t="s">
        <v>130</v>
      </c>
      <c r="J99" s="11">
        <v>82</v>
      </c>
      <c r="K99" s="21">
        <v>12</v>
      </c>
      <c r="L99" s="820" t="s">
        <v>126</v>
      </c>
      <c r="M99" s="823"/>
      <c r="N99" s="831" t="s">
        <v>931</v>
      </c>
      <c r="O99" s="775" t="s">
        <v>34</v>
      </c>
      <c r="P99" s="26">
        <v>0</v>
      </c>
      <c r="Q99" s="26">
        <v>0</v>
      </c>
      <c r="R99" s="10"/>
      <c r="S99" s="26">
        <v>0</v>
      </c>
      <c r="T99" s="26">
        <v>0</v>
      </c>
      <c r="U99" s="26">
        <v>0</v>
      </c>
      <c r="V99" s="26">
        <v>0</v>
      </c>
      <c r="W99" s="26"/>
      <c r="X99" s="26"/>
      <c r="Y99" s="26"/>
      <c r="Z99" s="26">
        <v>0</v>
      </c>
      <c r="AA99" s="26"/>
      <c r="AB99" s="26">
        <v>0</v>
      </c>
      <c r="AC99" s="26">
        <v>0</v>
      </c>
      <c r="AD99" s="26"/>
      <c r="AE99" s="26"/>
      <c r="AF99" s="26"/>
      <c r="AG99" s="26"/>
      <c r="AH99" s="26"/>
      <c r="AI99" s="26"/>
      <c r="AJ99" s="26">
        <v>0</v>
      </c>
      <c r="AK99" s="26">
        <v>0</v>
      </c>
      <c r="AL99" s="110">
        <v>0</v>
      </c>
      <c r="AM99" s="38"/>
      <c r="AN99" s="26">
        <v>0</v>
      </c>
      <c r="AO99" s="27">
        <v>611890318</v>
      </c>
      <c r="AP99" s="27"/>
      <c r="AQ99" s="26">
        <f t="shared" si="39"/>
        <v>611890318</v>
      </c>
    </row>
    <row r="100" spans="1:43" ht="15" x14ac:dyDescent="0.25">
      <c r="A100" s="22"/>
      <c r="B100" s="160"/>
      <c r="C100" s="775"/>
      <c r="D100" s="774"/>
      <c r="E100" s="775"/>
      <c r="F100" s="775"/>
      <c r="G100" s="154"/>
      <c r="H100" s="155"/>
      <c r="I100" s="259"/>
      <c r="J100" s="253"/>
      <c r="K100" s="253"/>
      <c r="L100" s="260"/>
      <c r="M100" s="157"/>
      <c r="N100" s="259"/>
      <c r="O100" s="155"/>
      <c r="P100" s="158">
        <f>SUM(P91:P99)</f>
        <v>0</v>
      </c>
      <c r="Q100" s="158">
        <f t="shared" ref="Q100:AK100" si="40">SUM(Q91:Q99)</f>
        <v>0</v>
      </c>
      <c r="R100" s="158">
        <f t="shared" si="40"/>
        <v>9074120547.2099991</v>
      </c>
      <c r="S100" s="158">
        <f t="shared" si="40"/>
        <v>0</v>
      </c>
      <c r="T100" s="158">
        <f t="shared" si="40"/>
        <v>0</v>
      </c>
      <c r="U100" s="158">
        <f t="shared" si="40"/>
        <v>0</v>
      </c>
      <c r="V100" s="158">
        <f t="shared" si="40"/>
        <v>0</v>
      </c>
      <c r="W100" s="158">
        <f t="shared" si="40"/>
        <v>0</v>
      </c>
      <c r="X100" s="158">
        <f t="shared" si="40"/>
        <v>0</v>
      </c>
      <c r="Y100" s="158">
        <f t="shared" si="40"/>
        <v>0</v>
      </c>
      <c r="Z100" s="158">
        <f t="shared" si="40"/>
        <v>0</v>
      </c>
      <c r="AA100" s="158">
        <f t="shared" si="40"/>
        <v>0</v>
      </c>
      <c r="AB100" s="158">
        <f t="shared" si="40"/>
        <v>0</v>
      </c>
      <c r="AC100" s="158">
        <f t="shared" si="40"/>
        <v>0</v>
      </c>
      <c r="AD100" s="158">
        <f t="shared" si="40"/>
        <v>0</v>
      </c>
      <c r="AE100" s="158">
        <f t="shared" si="40"/>
        <v>0</v>
      </c>
      <c r="AF100" s="158">
        <f t="shared" si="40"/>
        <v>0</v>
      </c>
      <c r="AG100" s="158">
        <f t="shared" si="40"/>
        <v>0</v>
      </c>
      <c r="AH100" s="158">
        <f t="shared" si="40"/>
        <v>0</v>
      </c>
      <c r="AI100" s="158">
        <f t="shared" si="40"/>
        <v>0</v>
      </c>
      <c r="AJ100" s="158">
        <f t="shared" si="40"/>
        <v>0</v>
      </c>
      <c r="AK100" s="158">
        <f t="shared" si="40"/>
        <v>0</v>
      </c>
      <c r="AL100" s="158">
        <f t="shared" ref="AL100:AQ100" si="41">SUM(AL91:AL99)</f>
        <v>978300000</v>
      </c>
      <c r="AM100" s="158">
        <f t="shared" si="41"/>
        <v>0</v>
      </c>
      <c r="AN100" s="158">
        <f t="shared" si="41"/>
        <v>56061566</v>
      </c>
      <c r="AO100" s="158">
        <f>SUM(AO91:AO99)</f>
        <v>739890318</v>
      </c>
      <c r="AP100" s="158">
        <f t="shared" si="41"/>
        <v>0</v>
      </c>
      <c r="AQ100" s="158">
        <f t="shared" si="41"/>
        <v>10848372431.209999</v>
      </c>
    </row>
    <row r="101" spans="1:43" ht="15" x14ac:dyDescent="0.25">
      <c r="A101" s="160"/>
      <c r="B101" s="161"/>
      <c r="C101" s="162"/>
      <c r="D101" s="161"/>
      <c r="E101" s="162"/>
      <c r="F101" s="162"/>
      <c r="G101" s="161"/>
      <c r="H101" s="162"/>
      <c r="I101" s="161"/>
      <c r="J101" s="261"/>
      <c r="K101" s="261"/>
      <c r="L101" s="261"/>
      <c r="M101" s="164"/>
      <c r="N101" s="161"/>
      <c r="O101" s="162"/>
      <c r="P101" s="165">
        <f t="shared" ref="P101:AK101" si="42">P100+P88</f>
        <v>0</v>
      </c>
      <c r="Q101" s="165">
        <f t="shared" si="42"/>
        <v>0</v>
      </c>
      <c r="R101" s="165">
        <f t="shared" si="42"/>
        <v>9074120547.2099991</v>
      </c>
      <c r="S101" s="165">
        <f t="shared" si="42"/>
        <v>0</v>
      </c>
      <c r="T101" s="165">
        <f t="shared" si="42"/>
        <v>0</v>
      </c>
      <c r="U101" s="165">
        <f t="shared" si="42"/>
        <v>636637204.06999993</v>
      </c>
      <c r="V101" s="165">
        <f t="shared" si="42"/>
        <v>0</v>
      </c>
      <c r="W101" s="165">
        <f t="shared" si="42"/>
        <v>0</v>
      </c>
      <c r="X101" s="165">
        <f t="shared" si="42"/>
        <v>0</v>
      </c>
      <c r="Y101" s="165">
        <f t="shared" si="42"/>
        <v>0</v>
      </c>
      <c r="Z101" s="165">
        <f t="shared" si="42"/>
        <v>0</v>
      </c>
      <c r="AA101" s="165">
        <f t="shared" si="42"/>
        <v>0</v>
      </c>
      <c r="AB101" s="165">
        <f t="shared" si="42"/>
        <v>0</v>
      </c>
      <c r="AC101" s="165">
        <f t="shared" si="42"/>
        <v>0</v>
      </c>
      <c r="AD101" s="165">
        <f t="shared" si="42"/>
        <v>0</v>
      </c>
      <c r="AE101" s="165">
        <f t="shared" si="42"/>
        <v>0</v>
      </c>
      <c r="AF101" s="165">
        <f t="shared" si="42"/>
        <v>0</v>
      </c>
      <c r="AG101" s="165">
        <f t="shared" si="42"/>
        <v>0</v>
      </c>
      <c r="AH101" s="165">
        <f t="shared" si="42"/>
        <v>0</v>
      </c>
      <c r="AI101" s="165">
        <f t="shared" si="42"/>
        <v>0</v>
      </c>
      <c r="AJ101" s="165">
        <f t="shared" si="42"/>
        <v>0</v>
      </c>
      <c r="AK101" s="165">
        <f t="shared" si="42"/>
        <v>0</v>
      </c>
      <c r="AL101" s="165">
        <f t="shared" ref="AL101:AP101" si="43">AL100+AL88</f>
        <v>1538701078</v>
      </c>
      <c r="AM101" s="165">
        <f t="shared" si="43"/>
        <v>0</v>
      </c>
      <c r="AN101" s="165">
        <f t="shared" si="43"/>
        <v>56061566</v>
      </c>
      <c r="AO101" s="165">
        <f>AO100+AO88</f>
        <v>739890318</v>
      </c>
      <c r="AP101" s="165">
        <f t="shared" si="43"/>
        <v>0</v>
      </c>
      <c r="AQ101" s="165">
        <f>AQ100+AQ88</f>
        <v>12045410713.279999</v>
      </c>
    </row>
    <row r="102" spans="1:43" ht="15" x14ac:dyDescent="0.25">
      <c r="A102" s="262"/>
      <c r="B102" s="166"/>
      <c r="C102" s="167"/>
      <c r="D102" s="166"/>
      <c r="E102" s="167"/>
      <c r="F102" s="167"/>
      <c r="G102" s="166"/>
      <c r="H102" s="167"/>
      <c r="I102" s="166"/>
      <c r="J102" s="263"/>
      <c r="K102" s="263"/>
      <c r="L102" s="263"/>
      <c r="M102" s="169"/>
      <c r="N102" s="166"/>
      <c r="O102" s="167"/>
      <c r="P102" s="170">
        <f t="shared" ref="P102:AK102" si="44">P101</f>
        <v>0</v>
      </c>
      <c r="Q102" s="170">
        <f t="shared" si="44"/>
        <v>0</v>
      </c>
      <c r="R102" s="170">
        <f t="shared" si="44"/>
        <v>9074120547.2099991</v>
      </c>
      <c r="S102" s="170">
        <f t="shared" si="44"/>
        <v>0</v>
      </c>
      <c r="T102" s="170">
        <f t="shared" si="44"/>
        <v>0</v>
      </c>
      <c r="U102" s="170">
        <f t="shared" si="44"/>
        <v>636637204.06999993</v>
      </c>
      <c r="V102" s="170">
        <f t="shared" si="44"/>
        <v>0</v>
      </c>
      <c r="W102" s="170">
        <f t="shared" si="44"/>
        <v>0</v>
      </c>
      <c r="X102" s="170">
        <f t="shared" si="44"/>
        <v>0</v>
      </c>
      <c r="Y102" s="170">
        <f t="shared" si="44"/>
        <v>0</v>
      </c>
      <c r="Z102" s="170">
        <f t="shared" si="44"/>
        <v>0</v>
      </c>
      <c r="AA102" s="170">
        <f t="shared" si="44"/>
        <v>0</v>
      </c>
      <c r="AB102" s="170">
        <f t="shared" si="44"/>
        <v>0</v>
      </c>
      <c r="AC102" s="170">
        <f t="shared" si="44"/>
        <v>0</v>
      </c>
      <c r="AD102" s="170">
        <f t="shared" si="44"/>
        <v>0</v>
      </c>
      <c r="AE102" s="170">
        <f t="shared" si="44"/>
        <v>0</v>
      </c>
      <c r="AF102" s="170">
        <f t="shared" si="44"/>
        <v>0</v>
      </c>
      <c r="AG102" s="170">
        <f t="shared" si="44"/>
        <v>0</v>
      </c>
      <c r="AH102" s="170">
        <f t="shared" si="44"/>
        <v>0</v>
      </c>
      <c r="AI102" s="170">
        <f t="shared" si="44"/>
        <v>0</v>
      </c>
      <c r="AJ102" s="170">
        <f t="shared" si="44"/>
        <v>0</v>
      </c>
      <c r="AK102" s="170">
        <f t="shared" si="44"/>
        <v>0</v>
      </c>
      <c r="AL102" s="170">
        <f t="shared" ref="AL102:AN102" si="45">AL101</f>
        <v>1538701078</v>
      </c>
      <c r="AM102" s="170">
        <f t="shared" si="45"/>
        <v>0</v>
      </c>
      <c r="AN102" s="170">
        <f t="shared" si="45"/>
        <v>56061566</v>
      </c>
      <c r="AO102" s="170">
        <f t="shared" ref="AO102:AQ102" si="46">AO101</f>
        <v>739890318</v>
      </c>
      <c r="AP102" s="170">
        <f t="shared" si="46"/>
        <v>0</v>
      </c>
      <c r="AQ102" s="170">
        <f t="shared" si="46"/>
        <v>12045410713.279999</v>
      </c>
    </row>
    <row r="103" spans="1:43" s="28" customFormat="1" ht="15" x14ac:dyDescent="0.25">
      <c r="A103" s="177"/>
      <c r="B103" s="177"/>
      <c r="C103" s="795"/>
      <c r="D103" s="177"/>
      <c r="E103" s="795"/>
      <c r="F103" s="795"/>
      <c r="G103" s="177"/>
      <c r="H103" s="795"/>
      <c r="I103" s="177"/>
      <c r="J103" s="264"/>
      <c r="K103" s="264"/>
      <c r="L103" s="264"/>
      <c r="M103" s="179"/>
      <c r="N103" s="177"/>
      <c r="O103" s="795"/>
      <c r="P103" s="180"/>
      <c r="Q103" s="180"/>
      <c r="R103" s="180"/>
      <c r="S103" s="180"/>
      <c r="T103" s="180"/>
      <c r="U103" s="180"/>
      <c r="V103" s="180"/>
      <c r="W103" s="180"/>
      <c r="X103" s="180"/>
      <c r="Y103" s="180"/>
      <c r="Z103" s="180"/>
      <c r="AA103" s="180"/>
      <c r="AB103" s="180"/>
      <c r="AC103" s="180"/>
      <c r="AD103" s="265"/>
      <c r="AE103" s="265"/>
      <c r="AF103" s="265"/>
      <c r="AG103" s="265"/>
      <c r="AH103" s="265"/>
      <c r="AI103" s="265"/>
      <c r="AJ103" s="106"/>
      <c r="AK103" s="180"/>
      <c r="AL103" s="182"/>
      <c r="AM103" s="183"/>
      <c r="AN103" s="180"/>
      <c r="AO103" s="180"/>
      <c r="AP103" s="180"/>
      <c r="AQ103" s="26"/>
    </row>
    <row r="104" spans="1:43" s="28" customFormat="1" ht="15" x14ac:dyDescent="0.25">
      <c r="A104" s="139">
        <v>1</v>
      </c>
      <c r="B104" s="140" t="s">
        <v>136</v>
      </c>
      <c r="C104" s="141"/>
      <c r="D104" s="140"/>
      <c r="E104" s="140"/>
      <c r="F104" s="140"/>
      <c r="G104" s="140"/>
      <c r="H104" s="141"/>
      <c r="I104" s="140"/>
      <c r="J104" s="140"/>
      <c r="K104" s="140"/>
      <c r="L104" s="140"/>
      <c r="M104" s="651"/>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c r="AI104" s="140"/>
      <c r="AJ104" s="140"/>
      <c r="AK104" s="140"/>
      <c r="AL104" s="142"/>
      <c r="AM104" s="140"/>
      <c r="AN104" s="140"/>
      <c r="AO104" s="140"/>
      <c r="AP104" s="140"/>
      <c r="AQ104" s="538"/>
    </row>
    <row r="105" spans="1:43" s="28" customFormat="1" ht="15" x14ac:dyDescent="0.25">
      <c r="A105" s="185"/>
      <c r="B105" s="266">
        <v>1</v>
      </c>
      <c r="C105" s="838" t="s">
        <v>137</v>
      </c>
      <c r="D105" s="146"/>
      <c r="E105" s="146"/>
      <c r="F105" s="146"/>
      <c r="G105" s="146"/>
      <c r="H105" s="147"/>
      <c r="I105" s="146"/>
      <c r="J105" s="146"/>
      <c r="K105" s="146"/>
      <c r="L105" s="146"/>
      <c r="M105" s="652"/>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c r="AI105" s="146"/>
      <c r="AJ105" s="146"/>
      <c r="AK105" s="146"/>
      <c r="AL105" s="148"/>
      <c r="AM105" s="146"/>
      <c r="AN105" s="146"/>
      <c r="AO105" s="146"/>
      <c r="AP105" s="146"/>
      <c r="AQ105" s="524"/>
    </row>
    <row r="106" spans="1:43" s="28" customFormat="1" ht="15" x14ac:dyDescent="0.25">
      <c r="A106" s="20"/>
      <c r="B106" s="185"/>
      <c r="C106" s="244"/>
      <c r="D106" s="186"/>
      <c r="E106" s="186"/>
      <c r="F106" s="187"/>
      <c r="G106" s="188">
        <v>2</v>
      </c>
      <c r="H106" s="189" t="s">
        <v>138</v>
      </c>
      <c r="I106" s="189"/>
      <c r="J106" s="189"/>
      <c r="K106" s="189"/>
      <c r="L106" s="189"/>
      <c r="M106" s="189"/>
      <c r="N106" s="189"/>
      <c r="O106" s="189"/>
      <c r="P106" s="189"/>
      <c r="Q106" s="189"/>
      <c r="R106" s="267"/>
      <c r="S106" s="267"/>
      <c r="T106" s="189"/>
      <c r="U106" s="189"/>
      <c r="V106" s="189"/>
      <c r="W106" s="189"/>
      <c r="X106" s="189"/>
      <c r="Y106" s="189"/>
      <c r="Z106" s="189"/>
      <c r="AA106" s="189"/>
      <c r="AB106" s="189"/>
      <c r="AC106" s="189"/>
      <c r="AD106" s="189"/>
      <c r="AE106" s="189"/>
      <c r="AF106" s="189"/>
      <c r="AG106" s="189"/>
      <c r="AH106" s="189"/>
      <c r="AI106" s="189"/>
      <c r="AJ106" s="189"/>
      <c r="AK106" s="189"/>
      <c r="AL106" s="190"/>
      <c r="AM106" s="189"/>
      <c r="AN106" s="189"/>
      <c r="AO106" s="189"/>
      <c r="AP106" s="189"/>
      <c r="AQ106" s="521"/>
    </row>
    <row r="107" spans="1:43" s="28" customFormat="1" ht="100.5" customHeight="1" x14ac:dyDescent="0.25">
      <c r="A107" s="20"/>
      <c r="B107" s="20"/>
      <c r="C107" s="773">
        <v>3</v>
      </c>
      <c r="D107" s="774" t="s">
        <v>139</v>
      </c>
      <c r="E107" s="775" t="s">
        <v>140</v>
      </c>
      <c r="F107" s="775" t="s">
        <v>141</v>
      </c>
      <c r="G107" s="23"/>
      <c r="H107" s="775">
        <v>9</v>
      </c>
      <c r="I107" s="774" t="s">
        <v>142</v>
      </c>
      <c r="J107" s="11">
        <v>35</v>
      </c>
      <c r="K107" s="11">
        <v>6</v>
      </c>
      <c r="L107" s="51" t="s">
        <v>143</v>
      </c>
      <c r="M107" s="813" t="s">
        <v>144</v>
      </c>
      <c r="N107" s="774" t="s">
        <v>145</v>
      </c>
      <c r="O107" s="775" t="s">
        <v>34</v>
      </c>
      <c r="P107" s="26">
        <v>0</v>
      </c>
      <c r="Q107" s="26">
        <v>0</v>
      </c>
      <c r="R107" s="32">
        <v>716758463</v>
      </c>
      <c r="S107" s="26">
        <v>0</v>
      </c>
      <c r="T107" s="26">
        <v>0</v>
      </c>
      <c r="U107" s="26">
        <v>0</v>
      </c>
      <c r="V107" s="26">
        <v>0</v>
      </c>
      <c r="W107" s="26"/>
      <c r="X107" s="26"/>
      <c r="Y107" s="26"/>
      <c r="Z107" s="26">
        <v>0</v>
      </c>
      <c r="AA107" s="26"/>
      <c r="AB107" s="26">
        <v>0</v>
      </c>
      <c r="AC107" s="26">
        <v>0</v>
      </c>
      <c r="AD107" s="26"/>
      <c r="AE107" s="26"/>
      <c r="AF107" s="26"/>
      <c r="AG107" s="26"/>
      <c r="AH107" s="26"/>
      <c r="AI107" s="26"/>
      <c r="AJ107" s="26">
        <v>0</v>
      </c>
      <c r="AK107" s="32">
        <f>110991608+3283223</f>
        <v>114274831</v>
      </c>
      <c r="AL107" s="111"/>
      <c r="AM107" s="32"/>
      <c r="AN107" s="26">
        <v>0</v>
      </c>
      <c r="AO107" s="27">
        <v>0</v>
      </c>
      <c r="AP107" s="27"/>
      <c r="AQ107" s="26">
        <f t="shared" ref="AQ107:AQ112" si="47">P107+Q107+R107+S107+T107+U107+V107+W107+X107+Y107+Z107+AA107+AB107+AC107+AD107+AE107+AF107+AG107+AH107+AI107+AJ107+AK107+AL107+AM107+AN107+AP107+AO107</f>
        <v>831033294</v>
      </c>
    </row>
    <row r="108" spans="1:43" s="28" customFormat="1" ht="108.75" customHeight="1" x14ac:dyDescent="0.25">
      <c r="A108" s="20"/>
      <c r="B108" s="20"/>
      <c r="C108" s="773">
        <v>3</v>
      </c>
      <c r="D108" s="774" t="s">
        <v>139</v>
      </c>
      <c r="E108" s="775" t="s">
        <v>140</v>
      </c>
      <c r="F108" s="775" t="s">
        <v>141</v>
      </c>
      <c r="G108" s="29"/>
      <c r="H108" s="775">
        <v>9</v>
      </c>
      <c r="I108" s="774" t="s">
        <v>142</v>
      </c>
      <c r="J108" s="11">
        <v>35</v>
      </c>
      <c r="K108" s="11">
        <v>6</v>
      </c>
      <c r="L108" s="51" t="s">
        <v>143</v>
      </c>
      <c r="M108" s="813" t="s">
        <v>146</v>
      </c>
      <c r="N108" s="774" t="s">
        <v>147</v>
      </c>
      <c r="O108" s="775" t="s">
        <v>34</v>
      </c>
      <c r="P108" s="26"/>
      <c r="Q108" s="26"/>
      <c r="R108" s="26">
        <v>93241537</v>
      </c>
      <c r="S108" s="26"/>
      <c r="T108" s="26"/>
      <c r="U108" s="26"/>
      <c r="V108" s="26"/>
      <c r="W108" s="26"/>
      <c r="X108" s="26"/>
      <c r="Y108" s="26"/>
      <c r="Z108" s="26"/>
      <c r="AA108" s="26"/>
      <c r="AB108" s="26"/>
      <c r="AC108" s="26"/>
      <c r="AD108" s="26"/>
      <c r="AE108" s="26"/>
      <c r="AF108" s="26"/>
      <c r="AG108" s="26"/>
      <c r="AH108" s="26"/>
      <c r="AI108" s="26"/>
      <c r="AJ108" s="26">
        <v>0</v>
      </c>
      <c r="AK108" s="52">
        <v>646707933</v>
      </c>
      <c r="AL108" s="112"/>
      <c r="AM108" s="10"/>
      <c r="AN108" s="26"/>
      <c r="AO108" s="27"/>
      <c r="AP108" s="27"/>
      <c r="AQ108" s="26">
        <f t="shared" si="47"/>
        <v>739949470</v>
      </c>
    </row>
    <row r="109" spans="1:43" s="28" customFormat="1" ht="119.25" customHeight="1" x14ac:dyDescent="0.25">
      <c r="A109" s="20"/>
      <c r="B109" s="20"/>
      <c r="C109" s="773">
        <v>3</v>
      </c>
      <c r="D109" s="774" t="s">
        <v>139</v>
      </c>
      <c r="E109" s="775" t="s">
        <v>140</v>
      </c>
      <c r="F109" s="775" t="s">
        <v>141</v>
      </c>
      <c r="G109" s="29"/>
      <c r="H109" s="775">
        <v>10</v>
      </c>
      <c r="I109" s="774" t="s">
        <v>148</v>
      </c>
      <c r="J109" s="53">
        <v>1</v>
      </c>
      <c r="K109" s="53">
        <v>5</v>
      </c>
      <c r="L109" s="51" t="s">
        <v>143</v>
      </c>
      <c r="M109" s="813" t="s">
        <v>149</v>
      </c>
      <c r="N109" s="774" t="s">
        <v>150</v>
      </c>
      <c r="O109" s="775" t="s">
        <v>34</v>
      </c>
      <c r="P109" s="26">
        <v>0</v>
      </c>
      <c r="Q109" s="26">
        <v>0</v>
      </c>
      <c r="R109" s="26">
        <v>0</v>
      </c>
      <c r="S109" s="26">
        <v>0</v>
      </c>
      <c r="T109" s="26">
        <v>0</v>
      </c>
      <c r="U109" s="26">
        <v>0</v>
      </c>
      <c r="V109" s="26">
        <v>0</v>
      </c>
      <c r="W109" s="26"/>
      <c r="X109" s="26"/>
      <c r="Y109" s="26"/>
      <c r="Z109" s="26">
        <v>0</v>
      </c>
      <c r="AA109" s="26"/>
      <c r="AB109" s="26">
        <v>0</v>
      </c>
      <c r="AC109" s="26">
        <v>0</v>
      </c>
      <c r="AD109" s="26"/>
      <c r="AE109" s="26"/>
      <c r="AF109" s="26"/>
      <c r="AG109" s="26"/>
      <c r="AH109" s="26"/>
      <c r="AI109" s="26"/>
      <c r="AJ109" s="26">
        <v>0</v>
      </c>
      <c r="AK109" s="52">
        <v>49717418</v>
      </c>
      <c r="AL109" s="110">
        <v>0</v>
      </c>
      <c r="AM109" s="38"/>
      <c r="AN109" s="26">
        <v>0</v>
      </c>
      <c r="AO109" s="27">
        <v>0</v>
      </c>
      <c r="AP109" s="27"/>
      <c r="AQ109" s="26">
        <f t="shared" si="47"/>
        <v>49717418</v>
      </c>
    </row>
    <row r="110" spans="1:43" s="47" customFormat="1" ht="81" customHeight="1" x14ac:dyDescent="0.25">
      <c r="A110" s="20"/>
      <c r="B110" s="20"/>
      <c r="C110" s="773">
        <v>3</v>
      </c>
      <c r="D110" s="774" t="s">
        <v>139</v>
      </c>
      <c r="E110" s="775" t="s">
        <v>140</v>
      </c>
      <c r="F110" s="775" t="s">
        <v>141</v>
      </c>
      <c r="G110" s="29"/>
      <c r="H110" s="775">
        <v>11</v>
      </c>
      <c r="I110" s="774" t="s">
        <v>151</v>
      </c>
      <c r="J110" s="11">
        <v>1</v>
      </c>
      <c r="K110" s="11">
        <v>1</v>
      </c>
      <c r="L110" s="51" t="s">
        <v>143</v>
      </c>
      <c r="M110" s="813" t="s">
        <v>152</v>
      </c>
      <c r="N110" s="54" t="s">
        <v>153</v>
      </c>
      <c r="O110" s="775" t="s">
        <v>38</v>
      </c>
      <c r="P110" s="26">
        <v>0</v>
      </c>
      <c r="Q110" s="26">
        <v>0</v>
      </c>
      <c r="R110" s="26">
        <v>0</v>
      </c>
      <c r="S110" s="26">
        <v>0</v>
      </c>
      <c r="T110" s="26">
        <v>0</v>
      </c>
      <c r="U110" s="26">
        <v>0</v>
      </c>
      <c r="V110" s="26">
        <v>0</v>
      </c>
      <c r="W110" s="26"/>
      <c r="X110" s="26"/>
      <c r="Y110" s="26"/>
      <c r="Z110" s="26">
        <v>0</v>
      </c>
      <c r="AA110" s="26"/>
      <c r="AB110" s="26">
        <v>0</v>
      </c>
      <c r="AC110" s="26">
        <v>0</v>
      </c>
      <c r="AD110" s="26"/>
      <c r="AE110" s="26"/>
      <c r="AF110" s="26"/>
      <c r="AG110" s="26"/>
      <c r="AH110" s="26"/>
      <c r="AI110" s="26"/>
      <c r="AJ110" s="26">
        <v>0</v>
      </c>
      <c r="AK110" s="52">
        <v>324800000</v>
      </c>
      <c r="AL110" s="110">
        <v>0</v>
      </c>
      <c r="AM110" s="38"/>
      <c r="AN110" s="26">
        <v>0</v>
      </c>
      <c r="AO110" s="27">
        <v>0</v>
      </c>
      <c r="AP110" s="27"/>
      <c r="AQ110" s="26">
        <f t="shared" si="47"/>
        <v>324800000</v>
      </c>
    </row>
    <row r="111" spans="1:43" s="28" customFormat="1" ht="114" customHeight="1" x14ac:dyDescent="0.25">
      <c r="A111" s="20"/>
      <c r="B111" s="20"/>
      <c r="C111" s="773">
        <v>3</v>
      </c>
      <c r="D111" s="774" t="s">
        <v>139</v>
      </c>
      <c r="E111" s="775" t="s">
        <v>140</v>
      </c>
      <c r="F111" s="775" t="s">
        <v>141</v>
      </c>
      <c r="G111" s="29"/>
      <c r="H111" s="775">
        <v>12</v>
      </c>
      <c r="I111" s="774" t="s">
        <v>154</v>
      </c>
      <c r="J111" s="11">
        <v>1</v>
      </c>
      <c r="K111" s="11">
        <v>3</v>
      </c>
      <c r="L111" s="51" t="s">
        <v>143</v>
      </c>
      <c r="M111" s="813" t="s">
        <v>155</v>
      </c>
      <c r="N111" s="54" t="s">
        <v>156</v>
      </c>
      <c r="O111" s="775" t="s">
        <v>38</v>
      </c>
      <c r="P111" s="26">
        <v>0</v>
      </c>
      <c r="Q111" s="26">
        <v>0</v>
      </c>
      <c r="R111" s="26">
        <v>0</v>
      </c>
      <c r="S111" s="26">
        <v>0</v>
      </c>
      <c r="T111" s="26">
        <v>0</v>
      </c>
      <c r="U111" s="26">
        <v>0</v>
      </c>
      <c r="V111" s="26">
        <v>0</v>
      </c>
      <c r="W111" s="26"/>
      <c r="X111" s="26"/>
      <c r="Y111" s="26"/>
      <c r="Z111" s="26">
        <v>0</v>
      </c>
      <c r="AA111" s="26"/>
      <c r="AB111" s="26">
        <v>0</v>
      </c>
      <c r="AC111" s="26">
        <v>0</v>
      </c>
      <c r="AD111" s="26"/>
      <c r="AE111" s="26"/>
      <c r="AF111" s="26"/>
      <c r="AG111" s="26"/>
      <c r="AH111" s="26"/>
      <c r="AI111" s="26"/>
      <c r="AJ111" s="26">
        <v>0</v>
      </c>
      <c r="AK111" s="52">
        <v>1032300000</v>
      </c>
      <c r="AL111" s="110">
        <v>0</v>
      </c>
      <c r="AM111" s="38"/>
      <c r="AN111" s="26">
        <v>0</v>
      </c>
      <c r="AO111" s="27">
        <v>0</v>
      </c>
      <c r="AP111" s="27"/>
      <c r="AQ111" s="26">
        <f t="shared" si="47"/>
        <v>1032300000</v>
      </c>
    </row>
    <row r="112" spans="1:43" s="28" customFormat="1" ht="104.25" customHeight="1" x14ac:dyDescent="0.25">
      <c r="A112" s="20"/>
      <c r="B112" s="20"/>
      <c r="C112" s="773">
        <v>3</v>
      </c>
      <c r="D112" s="774" t="s">
        <v>139</v>
      </c>
      <c r="E112" s="775" t="s">
        <v>140</v>
      </c>
      <c r="F112" s="775" t="s">
        <v>141</v>
      </c>
      <c r="G112" s="30"/>
      <c r="H112" s="775">
        <v>13</v>
      </c>
      <c r="I112" s="774" t="s">
        <v>157</v>
      </c>
      <c r="J112" s="11">
        <v>0</v>
      </c>
      <c r="K112" s="11">
        <v>2</v>
      </c>
      <c r="L112" s="51" t="s">
        <v>143</v>
      </c>
      <c r="M112" s="813" t="s">
        <v>158</v>
      </c>
      <c r="N112" s="54" t="s">
        <v>159</v>
      </c>
      <c r="O112" s="775" t="s">
        <v>38</v>
      </c>
      <c r="P112" s="26">
        <v>0</v>
      </c>
      <c r="Q112" s="26">
        <v>0</v>
      </c>
      <c r="R112" s="26">
        <v>0</v>
      </c>
      <c r="S112" s="26">
        <v>0</v>
      </c>
      <c r="T112" s="26">
        <v>0</v>
      </c>
      <c r="U112" s="26">
        <v>0</v>
      </c>
      <c r="V112" s="26">
        <v>0</v>
      </c>
      <c r="W112" s="26"/>
      <c r="X112" s="26"/>
      <c r="Y112" s="26"/>
      <c r="Z112" s="26">
        <v>0</v>
      </c>
      <c r="AA112" s="26"/>
      <c r="AB112" s="26">
        <v>0</v>
      </c>
      <c r="AC112" s="26">
        <v>0</v>
      </c>
      <c r="AD112" s="26"/>
      <c r="AE112" s="26"/>
      <c r="AF112" s="26"/>
      <c r="AG112" s="26"/>
      <c r="AH112" s="26"/>
      <c r="AI112" s="26"/>
      <c r="AJ112" s="26">
        <v>0</v>
      </c>
      <c r="AK112" s="52">
        <v>265000000</v>
      </c>
      <c r="AL112" s="110">
        <v>0</v>
      </c>
      <c r="AM112" s="38"/>
      <c r="AN112" s="26">
        <v>0</v>
      </c>
      <c r="AO112" s="27">
        <v>0</v>
      </c>
      <c r="AP112" s="27"/>
      <c r="AQ112" s="26">
        <f t="shared" si="47"/>
        <v>265000000</v>
      </c>
    </row>
    <row r="113" spans="1:43" s="28" customFormat="1" ht="15" x14ac:dyDescent="0.25">
      <c r="A113" s="20"/>
      <c r="B113" s="152"/>
      <c r="C113" s="773"/>
      <c r="D113" s="774"/>
      <c r="E113" s="775"/>
      <c r="F113" s="775"/>
      <c r="G113" s="268"/>
      <c r="H113" s="269"/>
      <c r="I113" s="268"/>
      <c r="J113" s="270"/>
      <c r="K113" s="270"/>
      <c r="L113" s="270"/>
      <c r="M113" s="271"/>
      <c r="N113" s="272"/>
      <c r="O113" s="269"/>
      <c r="P113" s="273">
        <f>SUM(P107:P112)</f>
        <v>0</v>
      </c>
      <c r="Q113" s="273">
        <f t="shared" ref="Q113:AK113" si="48">SUM(Q107:Q112)</f>
        <v>0</v>
      </c>
      <c r="R113" s="273">
        <f t="shared" si="48"/>
        <v>810000000</v>
      </c>
      <c r="S113" s="273">
        <f t="shared" si="48"/>
        <v>0</v>
      </c>
      <c r="T113" s="273">
        <f t="shared" si="48"/>
        <v>0</v>
      </c>
      <c r="U113" s="273">
        <f t="shared" si="48"/>
        <v>0</v>
      </c>
      <c r="V113" s="273">
        <f t="shared" si="48"/>
        <v>0</v>
      </c>
      <c r="W113" s="273">
        <f t="shared" si="48"/>
        <v>0</v>
      </c>
      <c r="X113" s="273">
        <f t="shared" si="48"/>
        <v>0</v>
      </c>
      <c r="Y113" s="273">
        <f t="shared" si="48"/>
        <v>0</v>
      </c>
      <c r="Z113" s="273">
        <f t="shared" si="48"/>
        <v>0</v>
      </c>
      <c r="AA113" s="273">
        <f t="shared" si="48"/>
        <v>0</v>
      </c>
      <c r="AB113" s="273">
        <f t="shared" si="48"/>
        <v>0</v>
      </c>
      <c r="AC113" s="273">
        <f t="shared" si="48"/>
        <v>0</v>
      </c>
      <c r="AD113" s="273">
        <f t="shared" si="48"/>
        <v>0</v>
      </c>
      <c r="AE113" s="273">
        <f t="shared" si="48"/>
        <v>0</v>
      </c>
      <c r="AF113" s="273">
        <f t="shared" si="48"/>
        <v>0</v>
      </c>
      <c r="AG113" s="273">
        <f t="shared" si="48"/>
        <v>0</v>
      </c>
      <c r="AH113" s="273">
        <f t="shared" si="48"/>
        <v>0</v>
      </c>
      <c r="AI113" s="273">
        <f t="shared" si="48"/>
        <v>0</v>
      </c>
      <c r="AJ113" s="273">
        <f t="shared" si="48"/>
        <v>0</v>
      </c>
      <c r="AK113" s="273">
        <f t="shared" si="48"/>
        <v>2432800182</v>
      </c>
      <c r="AL113" s="273">
        <f t="shared" ref="AL113:AQ113" si="49">SUM(AL107:AL112)</f>
        <v>0</v>
      </c>
      <c r="AM113" s="273">
        <f t="shared" si="49"/>
        <v>0</v>
      </c>
      <c r="AN113" s="273">
        <f t="shared" si="49"/>
        <v>0</v>
      </c>
      <c r="AO113" s="273">
        <f t="shared" si="49"/>
        <v>0</v>
      </c>
      <c r="AP113" s="273">
        <f t="shared" si="49"/>
        <v>0</v>
      </c>
      <c r="AQ113" s="273">
        <f t="shared" si="49"/>
        <v>3242800182</v>
      </c>
    </row>
    <row r="114" spans="1:43" ht="15" x14ac:dyDescent="0.25">
      <c r="A114" s="152"/>
      <c r="B114" s="161"/>
      <c r="C114" s="220"/>
      <c r="D114" s="161"/>
      <c r="E114" s="162"/>
      <c r="F114" s="162"/>
      <c r="G114" s="161"/>
      <c r="H114" s="162"/>
      <c r="I114" s="161"/>
      <c r="J114" s="261"/>
      <c r="K114" s="261"/>
      <c r="L114" s="261"/>
      <c r="M114" s="164"/>
      <c r="N114" s="161"/>
      <c r="O114" s="162"/>
      <c r="P114" s="165">
        <f>P113</f>
        <v>0</v>
      </c>
      <c r="Q114" s="165">
        <f t="shared" ref="Q114:AK114" si="50">Q113</f>
        <v>0</v>
      </c>
      <c r="R114" s="165">
        <f t="shared" si="50"/>
        <v>810000000</v>
      </c>
      <c r="S114" s="165">
        <f t="shared" si="50"/>
        <v>0</v>
      </c>
      <c r="T114" s="165">
        <f t="shared" si="50"/>
        <v>0</v>
      </c>
      <c r="U114" s="165">
        <f t="shared" si="50"/>
        <v>0</v>
      </c>
      <c r="V114" s="165">
        <f t="shared" si="50"/>
        <v>0</v>
      </c>
      <c r="W114" s="165">
        <f t="shared" si="50"/>
        <v>0</v>
      </c>
      <c r="X114" s="165">
        <f t="shared" si="50"/>
        <v>0</v>
      </c>
      <c r="Y114" s="165">
        <f t="shared" si="50"/>
        <v>0</v>
      </c>
      <c r="Z114" s="165">
        <f t="shared" si="50"/>
        <v>0</v>
      </c>
      <c r="AA114" s="165">
        <f t="shared" si="50"/>
        <v>0</v>
      </c>
      <c r="AB114" s="165">
        <f t="shared" si="50"/>
        <v>0</v>
      </c>
      <c r="AC114" s="165">
        <f t="shared" si="50"/>
        <v>0</v>
      </c>
      <c r="AD114" s="165">
        <f t="shared" si="50"/>
        <v>0</v>
      </c>
      <c r="AE114" s="165">
        <f t="shared" si="50"/>
        <v>0</v>
      </c>
      <c r="AF114" s="165">
        <f t="shared" si="50"/>
        <v>0</v>
      </c>
      <c r="AG114" s="165">
        <f t="shared" si="50"/>
        <v>0</v>
      </c>
      <c r="AH114" s="165">
        <f t="shared" si="50"/>
        <v>0</v>
      </c>
      <c r="AI114" s="165">
        <f t="shared" si="50"/>
        <v>0</v>
      </c>
      <c r="AJ114" s="165">
        <f t="shared" si="50"/>
        <v>0</v>
      </c>
      <c r="AK114" s="165">
        <f t="shared" si="50"/>
        <v>2432800182</v>
      </c>
      <c r="AL114" s="165">
        <f t="shared" ref="AL114:AQ114" si="51">AL113</f>
        <v>0</v>
      </c>
      <c r="AM114" s="165">
        <f t="shared" si="51"/>
        <v>0</v>
      </c>
      <c r="AN114" s="165">
        <f t="shared" si="51"/>
        <v>0</v>
      </c>
      <c r="AO114" s="165">
        <f t="shared" si="51"/>
        <v>0</v>
      </c>
      <c r="AP114" s="165">
        <f t="shared" si="51"/>
        <v>0</v>
      </c>
      <c r="AQ114" s="165">
        <f t="shared" si="51"/>
        <v>3242800182</v>
      </c>
    </row>
    <row r="115" spans="1:43" ht="15" x14ac:dyDescent="0.25">
      <c r="A115" s="139">
        <v>4</v>
      </c>
      <c r="B115" s="140" t="s">
        <v>161</v>
      </c>
      <c r="C115" s="141"/>
      <c r="D115" s="140"/>
      <c r="E115" s="140"/>
      <c r="F115" s="140"/>
      <c r="G115" s="140"/>
      <c r="H115" s="141"/>
      <c r="I115" s="140"/>
      <c r="J115" s="140"/>
      <c r="K115" s="140"/>
      <c r="L115" s="140"/>
      <c r="M115" s="651"/>
      <c r="N115" s="140"/>
      <c r="O115" s="140"/>
      <c r="P115" s="140"/>
      <c r="Q115" s="140"/>
      <c r="R115" s="140"/>
      <c r="S115" s="140"/>
      <c r="T115" s="140"/>
      <c r="U115" s="140"/>
      <c r="V115" s="140"/>
      <c r="W115" s="140"/>
      <c r="X115" s="140"/>
      <c r="Y115" s="140"/>
      <c r="Z115" s="140"/>
      <c r="AA115" s="140"/>
      <c r="AB115" s="140"/>
      <c r="AC115" s="140"/>
      <c r="AD115" s="140"/>
      <c r="AE115" s="140"/>
      <c r="AF115" s="140"/>
      <c r="AG115" s="140"/>
      <c r="AH115" s="140"/>
      <c r="AI115" s="140"/>
      <c r="AJ115" s="140"/>
      <c r="AK115" s="140"/>
      <c r="AL115" s="142"/>
      <c r="AM115" s="140"/>
      <c r="AN115" s="140"/>
      <c r="AO115" s="140"/>
      <c r="AP115" s="140"/>
      <c r="AQ115" s="538"/>
    </row>
    <row r="116" spans="1:43" ht="15" x14ac:dyDescent="0.25">
      <c r="A116" s="185"/>
      <c r="B116" s="266">
        <v>23</v>
      </c>
      <c r="C116" s="145" t="s">
        <v>162</v>
      </c>
      <c r="D116" s="146"/>
      <c r="E116" s="146"/>
      <c r="F116" s="146"/>
      <c r="G116" s="146"/>
      <c r="H116" s="147"/>
      <c r="I116" s="146"/>
      <c r="J116" s="146"/>
      <c r="K116" s="146"/>
      <c r="L116" s="146"/>
      <c r="M116" s="652"/>
      <c r="N116" s="146"/>
      <c r="O116" s="146"/>
      <c r="P116" s="146"/>
      <c r="Q116" s="146"/>
      <c r="R116" s="146"/>
      <c r="S116" s="146"/>
      <c r="T116" s="146"/>
      <c r="U116" s="146"/>
      <c r="V116" s="146"/>
      <c r="W116" s="146"/>
      <c r="X116" s="146"/>
      <c r="Y116" s="146"/>
      <c r="Z116" s="146"/>
      <c r="AA116" s="146"/>
      <c r="AB116" s="146"/>
      <c r="AC116" s="146"/>
      <c r="AD116" s="146"/>
      <c r="AE116" s="146"/>
      <c r="AF116" s="146"/>
      <c r="AG116" s="146"/>
      <c r="AH116" s="146"/>
      <c r="AI116" s="146"/>
      <c r="AJ116" s="146"/>
      <c r="AK116" s="146"/>
      <c r="AL116" s="148"/>
      <c r="AM116" s="146"/>
      <c r="AN116" s="146"/>
      <c r="AO116" s="146"/>
      <c r="AP116" s="146"/>
      <c r="AQ116" s="524"/>
    </row>
    <row r="117" spans="1:43" ht="15" x14ac:dyDescent="0.25">
      <c r="A117" s="20"/>
      <c r="B117" s="20"/>
      <c r="C117" s="215"/>
      <c r="D117" s="799"/>
      <c r="E117" s="579"/>
      <c r="F117" s="579"/>
      <c r="G117" s="258">
        <v>77</v>
      </c>
      <c r="H117" s="614" t="s">
        <v>929</v>
      </c>
      <c r="I117" s="283"/>
      <c r="J117" s="283"/>
      <c r="K117" s="283"/>
      <c r="L117" s="283"/>
      <c r="M117" s="657"/>
      <c r="N117" s="283"/>
      <c r="O117" s="189"/>
      <c r="P117" s="189"/>
      <c r="Q117" s="189"/>
      <c r="R117" s="189"/>
      <c r="S117" s="189"/>
      <c r="T117" s="189"/>
      <c r="U117" s="189"/>
      <c r="V117" s="189"/>
      <c r="W117" s="189"/>
      <c r="X117" s="189"/>
      <c r="Y117" s="189"/>
      <c r="Z117" s="189"/>
      <c r="AA117" s="189"/>
      <c r="AB117" s="189"/>
      <c r="AC117" s="189"/>
      <c r="AD117" s="189"/>
      <c r="AE117" s="189"/>
      <c r="AF117" s="189"/>
      <c r="AG117" s="189"/>
      <c r="AH117" s="189"/>
      <c r="AI117" s="189"/>
      <c r="AJ117" s="189"/>
      <c r="AK117" s="189"/>
      <c r="AL117" s="190"/>
      <c r="AM117" s="189"/>
      <c r="AN117" s="189"/>
      <c r="AO117" s="189"/>
      <c r="AP117" s="189"/>
      <c r="AQ117" s="521"/>
    </row>
    <row r="118" spans="1:43" ht="91.5" customHeight="1" x14ac:dyDescent="0.25">
      <c r="A118" s="20"/>
      <c r="B118" s="612"/>
      <c r="C118" s="244"/>
      <c r="D118" s="186"/>
      <c r="E118" s="186"/>
      <c r="F118" s="187"/>
      <c r="G118" s="100"/>
      <c r="H118" s="822">
        <v>223</v>
      </c>
      <c r="I118" s="821" t="s">
        <v>877</v>
      </c>
      <c r="J118" s="24" t="s">
        <v>30</v>
      </c>
      <c r="K118" s="24">
        <v>1</v>
      </c>
      <c r="L118" s="490" t="s">
        <v>118</v>
      </c>
      <c r="M118" s="824"/>
      <c r="N118" s="70" t="s">
        <v>930</v>
      </c>
      <c r="O118" s="775" t="s">
        <v>38</v>
      </c>
      <c r="P118" s="26">
        <v>0</v>
      </c>
      <c r="Q118" s="26">
        <v>0</v>
      </c>
      <c r="R118" s="26">
        <v>0</v>
      </c>
      <c r="S118" s="26">
        <v>0</v>
      </c>
      <c r="T118" s="26">
        <v>0</v>
      </c>
      <c r="U118" s="26">
        <v>0</v>
      </c>
      <c r="V118" s="26">
        <v>0</v>
      </c>
      <c r="W118" s="26"/>
      <c r="X118" s="26"/>
      <c r="Y118" s="26"/>
      <c r="Z118" s="26">
        <v>0</v>
      </c>
      <c r="AA118" s="26"/>
      <c r="AB118" s="26">
        <v>0</v>
      </c>
      <c r="AC118" s="26">
        <v>0</v>
      </c>
      <c r="AD118" s="254"/>
      <c r="AE118" s="254"/>
      <c r="AF118" s="254"/>
      <c r="AG118" s="254"/>
      <c r="AH118" s="254"/>
      <c r="AI118" s="254"/>
      <c r="AJ118" s="26">
        <v>0</v>
      </c>
      <c r="AK118" s="26">
        <v>0</v>
      </c>
      <c r="AL118" s="110">
        <v>0</v>
      </c>
      <c r="AM118" s="110">
        <v>0</v>
      </c>
      <c r="AN118" s="14"/>
      <c r="AO118" s="293">
        <v>500000000</v>
      </c>
      <c r="AP118" s="293">
        <v>0</v>
      </c>
      <c r="AQ118" s="26">
        <f>P118+Q118+R118+S118+T118+U118+V118+W118+X118+Y118+Z118+AA118+AB118+AC118+AD118+AE118+AF118+AG118+AH118+AI118+AJ118+AK118+AL118+AM118+AN118+AP118+AO118</f>
        <v>500000000</v>
      </c>
    </row>
    <row r="119" spans="1:43" s="28" customFormat="1" ht="15" x14ac:dyDescent="0.25">
      <c r="A119" s="20"/>
      <c r="B119" s="152"/>
      <c r="C119" s="773"/>
      <c r="D119" s="774"/>
      <c r="E119" s="775"/>
      <c r="F119" s="775"/>
      <c r="G119" s="268"/>
      <c r="H119" s="269"/>
      <c r="I119" s="268"/>
      <c r="J119" s="270"/>
      <c r="K119" s="270"/>
      <c r="L119" s="270"/>
      <c r="M119" s="271"/>
      <c r="N119" s="272"/>
      <c r="O119" s="269"/>
      <c r="P119" s="273">
        <f>SUM(P118)</f>
        <v>0</v>
      </c>
      <c r="Q119" s="273">
        <f t="shared" ref="Q119:AK119" si="52">SUM(Q118)</f>
        <v>0</v>
      </c>
      <c r="R119" s="273">
        <f t="shared" si="52"/>
        <v>0</v>
      </c>
      <c r="S119" s="273">
        <f t="shared" si="52"/>
        <v>0</v>
      </c>
      <c r="T119" s="273">
        <f t="shared" si="52"/>
        <v>0</v>
      </c>
      <c r="U119" s="273">
        <f t="shared" si="52"/>
        <v>0</v>
      </c>
      <c r="V119" s="273">
        <f t="shared" si="52"/>
        <v>0</v>
      </c>
      <c r="W119" s="273">
        <f t="shared" si="52"/>
        <v>0</v>
      </c>
      <c r="X119" s="273">
        <f t="shared" si="52"/>
        <v>0</v>
      </c>
      <c r="Y119" s="273">
        <f t="shared" si="52"/>
        <v>0</v>
      </c>
      <c r="Z119" s="273">
        <f t="shared" si="52"/>
        <v>0</v>
      </c>
      <c r="AA119" s="273">
        <f t="shared" si="52"/>
        <v>0</v>
      </c>
      <c r="AB119" s="273">
        <f t="shared" si="52"/>
        <v>0</v>
      </c>
      <c r="AC119" s="273">
        <f t="shared" si="52"/>
        <v>0</v>
      </c>
      <c r="AD119" s="273">
        <f t="shared" si="52"/>
        <v>0</v>
      </c>
      <c r="AE119" s="273">
        <f t="shared" si="52"/>
        <v>0</v>
      </c>
      <c r="AF119" s="273">
        <f t="shared" si="52"/>
        <v>0</v>
      </c>
      <c r="AG119" s="273">
        <f t="shared" si="52"/>
        <v>0</v>
      </c>
      <c r="AH119" s="273">
        <f t="shared" si="52"/>
        <v>0</v>
      </c>
      <c r="AI119" s="273">
        <f t="shared" si="52"/>
        <v>0</v>
      </c>
      <c r="AJ119" s="273">
        <f t="shared" si="52"/>
        <v>0</v>
      </c>
      <c r="AK119" s="273">
        <f t="shared" si="52"/>
        <v>0</v>
      </c>
      <c r="AL119" s="273">
        <f t="shared" ref="AL119:AQ119" si="53">SUM(AL118)</f>
        <v>0</v>
      </c>
      <c r="AM119" s="273">
        <f t="shared" si="53"/>
        <v>0</v>
      </c>
      <c r="AN119" s="273">
        <f t="shared" si="53"/>
        <v>0</v>
      </c>
      <c r="AO119" s="273">
        <f t="shared" si="53"/>
        <v>500000000</v>
      </c>
      <c r="AP119" s="273">
        <f t="shared" si="53"/>
        <v>0</v>
      </c>
      <c r="AQ119" s="273">
        <f t="shared" si="53"/>
        <v>500000000</v>
      </c>
    </row>
    <row r="120" spans="1:43" ht="15" x14ac:dyDescent="0.25">
      <c r="A120" s="152"/>
      <c r="B120" s="161"/>
      <c r="C120" s="220"/>
      <c r="D120" s="161"/>
      <c r="E120" s="162"/>
      <c r="F120" s="162"/>
      <c r="G120" s="161"/>
      <c r="H120" s="162"/>
      <c r="I120" s="161"/>
      <c r="J120" s="261"/>
      <c r="K120" s="261"/>
      <c r="L120" s="261"/>
      <c r="M120" s="164"/>
      <c r="N120" s="161"/>
      <c r="O120" s="162"/>
      <c r="P120" s="165">
        <f t="shared" ref="P120:AK120" si="54">P119</f>
        <v>0</v>
      </c>
      <c r="Q120" s="165">
        <f t="shared" si="54"/>
        <v>0</v>
      </c>
      <c r="R120" s="165">
        <f t="shared" si="54"/>
        <v>0</v>
      </c>
      <c r="S120" s="165">
        <f t="shared" si="54"/>
        <v>0</v>
      </c>
      <c r="T120" s="165">
        <f t="shared" si="54"/>
        <v>0</v>
      </c>
      <c r="U120" s="165">
        <f t="shared" si="54"/>
        <v>0</v>
      </c>
      <c r="V120" s="165">
        <f t="shared" si="54"/>
        <v>0</v>
      </c>
      <c r="W120" s="165">
        <f t="shared" si="54"/>
        <v>0</v>
      </c>
      <c r="X120" s="165">
        <f t="shared" si="54"/>
        <v>0</v>
      </c>
      <c r="Y120" s="165">
        <f t="shared" si="54"/>
        <v>0</v>
      </c>
      <c r="Z120" s="165">
        <f t="shared" si="54"/>
        <v>0</v>
      </c>
      <c r="AA120" s="165">
        <f t="shared" si="54"/>
        <v>0</v>
      </c>
      <c r="AB120" s="165">
        <f t="shared" si="54"/>
        <v>0</v>
      </c>
      <c r="AC120" s="165">
        <f t="shared" si="54"/>
        <v>0</v>
      </c>
      <c r="AD120" s="165">
        <f t="shared" si="54"/>
        <v>0</v>
      </c>
      <c r="AE120" s="165">
        <f t="shared" si="54"/>
        <v>0</v>
      </c>
      <c r="AF120" s="165">
        <f t="shared" si="54"/>
        <v>0</v>
      </c>
      <c r="AG120" s="165">
        <f t="shared" si="54"/>
        <v>0</v>
      </c>
      <c r="AH120" s="165">
        <f t="shared" si="54"/>
        <v>0</v>
      </c>
      <c r="AI120" s="165">
        <f t="shared" si="54"/>
        <v>0</v>
      </c>
      <c r="AJ120" s="165">
        <f t="shared" si="54"/>
        <v>0</v>
      </c>
      <c r="AK120" s="165">
        <f t="shared" si="54"/>
        <v>0</v>
      </c>
      <c r="AL120" s="165">
        <f t="shared" ref="AL120:AQ120" si="55">AL119</f>
        <v>0</v>
      </c>
      <c r="AM120" s="165">
        <f t="shared" si="55"/>
        <v>0</v>
      </c>
      <c r="AN120" s="165">
        <f t="shared" si="55"/>
        <v>0</v>
      </c>
      <c r="AO120" s="165">
        <f>AO119</f>
        <v>500000000</v>
      </c>
      <c r="AP120" s="165">
        <f t="shared" si="55"/>
        <v>0</v>
      </c>
      <c r="AQ120" s="165">
        <f t="shared" si="55"/>
        <v>500000000</v>
      </c>
    </row>
    <row r="121" spans="1:43" ht="15" x14ac:dyDescent="0.25">
      <c r="A121" s="166"/>
      <c r="B121" s="166"/>
      <c r="C121" s="167"/>
      <c r="D121" s="166"/>
      <c r="E121" s="167"/>
      <c r="F121" s="167"/>
      <c r="G121" s="166"/>
      <c r="H121" s="167"/>
      <c r="I121" s="166"/>
      <c r="J121" s="263"/>
      <c r="K121" s="263"/>
      <c r="L121" s="263"/>
      <c r="M121" s="169"/>
      <c r="N121" s="166"/>
      <c r="O121" s="167"/>
      <c r="P121" s="170">
        <f>+P120+P114+P101</f>
        <v>0</v>
      </c>
      <c r="Q121" s="170">
        <f t="shared" ref="Q121:AK121" si="56">+Q120+Q114+Q101</f>
        <v>0</v>
      </c>
      <c r="R121" s="170">
        <f t="shared" si="56"/>
        <v>9884120547.2099991</v>
      </c>
      <c r="S121" s="170">
        <f t="shared" si="56"/>
        <v>0</v>
      </c>
      <c r="T121" s="170">
        <f t="shared" si="56"/>
        <v>0</v>
      </c>
      <c r="U121" s="170">
        <f t="shared" si="56"/>
        <v>636637204.06999993</v>
      </c>
      <c r="V121" s="170">
        <f t="shared" si="56"/>
        <v>0</v>
      </c>
      <c r="W121" s="170">
        <f t="shared" si="56"/>
        <v>0</v>
      </c>
      <c r="X121" s="170">
        <f t="shared" si="56"/>
        <v>0</v>
      </c>
      <c r="Y121" s="170">
        <f t="shared" si="56"/>
        <v>0</v>
      </c>
      <c r="Z121" s="170">
        <f t="shared" si="56"/>
        <v>0</v>
      </c>
      <c r="AA121" s="170">
        <f t="shared" si="56"/>
        <v>0</v>
      </c>
      <c r="AB121" s="170">
        <f t="shared" si="56"/>
        <v>0</v>
      </c>
      <c r="AC121" s="170">
        <f t="shared" si="56"/>
        <v>0</v>
      </c>
      <c r="AD121" s="170">
        <f t="shared" si="56"/>
        <v>0</v>
      </c>
      <c r="AE121" s="170">
        <f t="shared" si="56"/>
        <v>0</v>
      </c>
      <c r="AF121" s="170">
        <f t="shared" si="56"/>
        <v>0</v>
      </c>
      <c r="AG121" s="170">
        <f t="shared" si="56"/>
        <v>0</v>
      </c>
      <c r="AH121" s="170">
        <f t="shared" si="56"/>
        <v>0</v>
      </c>
      <c r="AI121" s="170">
        <f t="shared" si="56"/>
        <v>0</v>
      </c>
      <c r="AJ121" s="170">
        <f t="shared" si="56"/>
        <v>0</v>
      </c>
      <c r="AK121" s="170">
        <f t="shared" si="56"/>
        <v>2432800182</v>
      </c>
      <c r="AL121" s="170">
        <f t="shared" ref="AL121:AP121" si="57">+AL120+AL114+AL101</f>
        <v>1538701078</v>
      </c>
      <c r="AM121" s="170">
        <f t="shared" si="57"/>
        <v>0</v>
      </c>
      <c r="AN121" s="170">
        <f t="shared" si="57"/>
        <v>56061566</v>
      </c>
      <c r="AO121" s="170">
        <f t="shared" si="57"/>
        <v>1239890318</v>
      </c>
      <c r="AP121" s="170">
        <f t="shared" si="57"/>
        <v>0</v>
      </c>
      <c r="AQ121" s="170">
        <f>+AQ120+AQ114+AQ101</f>
        <v>15788210895.279999</v>
      </c>
    </row>
    <row r="122" spans="1:43" ht="15" x14ac:dyDescent="0.25">
      <c r="A122" s="171"/>
      <c r="B122" s="171"/>
      <c r="C122" s="172"/>
      <c r="D122" s="171"/>
      <c r="E122" s="172"/>
      <c r="F122" s="172"/>
      <c r="G122" s="171"/>
      <c r="H122" s="172"/>
      <c r="I122" s="171"/>
      <c r="J122" s="274"/>
      <c r="K122" s="274"/>
      <c r="L122" s="274"/>
      <c r="M122" s="174"/>
      <c r="N122" s="171"/>
      <c r="O122" s="172"/>
      <c r="P122" s="175">
        <f>+P121</f>
        <v>0</v>
      </c>
      <c r="Q122" s="175">
        <f t="shared" ref="Q122:AK122" si="58">+Q121</f>
        <v>0</v>
      </c>
      <c r="R122" s="175">
        <f t="shared" si="58"/>
        <v>9884120547.2099991</v>
      </c>
      <c r="S122" s="175">
        <f t="shared" si="58"/>
        <v>0</v>
      </c>
      <c r="T122" s="175">
        <f t="shared" si="58"/>
        <v>0</v>
      </c>
      <c r="U122" s="175">
        <f t="shared" si="58"/>
        <v>636637204.06999993</v>
      </c>
      <c r="V122" s="175">
        <f t="shared" si="58"/>
        <v>0</v>
      </c>
      <c r="W122" s="175">
        <f t="shared" si="58"/>
        <v>0</v>
      </c>
      <c r="X122" s="175">
        <f t="shared" si="58"/>
        <v>0</v>
      </c>
      <c r="Y122" s="175">
        <f t="shared" si="58"/>
        <v>0</v>
      </c>
      <c r="Z122" s="175">
        <f t="shared" si="58"/>
        <v>0</v>
      </c>
      <c r="AA122" s="175">
        <f t="shared" si="58"/>
        <v>0</v>
      </c>
      <c r="AB122" s="175">
        <f t="shared" si="58"/>
        <v>0</v>
      </c>
      <c r="AC122" s="175">
        <f t="shared" si="58"/>
        <v>0</v>
      </c>
      <c r="AD122" s="175">
        <f t="shared" si="58"/>
        <v>0</v>
      </c>
      <c r="AE122" s="175">
        <f t="shared" si="58"/>
        <v>0</v>
      </c>
      <c r="AF122" s="175">
        <f t="shared" si="58"/>
        <v>0</v>
      </c>
      <c r="AG122" s="175">
        <f t="shared" si="58"/>
        <v>0</v>
      </c>
      <c r="AH122" s="175">
        <f t="shared" si="58"/>
        <v>0</v>
      </c>
      <c r="AI122" s="175">
        <f t="shared" si="58"/>
        <v>0</v>
      </c>
      <c r="AJ122" s="175">
        <f t="shared" si="58"/>
        <v>0</v>
      </c>
      <c r="AK122" s="175">
        <f t="shared" si="58"/>
        <v>2432800182</v>
      </c>
      <c r="AL122" s="175">
        <f t="shared" ref="AL122:AQ122" si="59">+AL121</f>
        <v>1538701078</v>
      </c>
      <c r="AM122" s="175">
        <f t="shared" si="59"/>
        <v>0</v>
      </c>
      <c r="AN122" s="175">
        <f t="shared" si="59"/>
        <v>56061566</v>
      </c>
      <c r="AO122" s="175">
        <f t="shared" si="59"/>
        <v>1239890318</v>
      </c>
      <c r="AP122" s="175">
        <f t="shared" si="59"/>
        <v>0</v>
      </c>
      <c r="AQ122" s="175">
        <f t="shared" si="59"/>
        <v>15788210895.279999</v>
      </c>
    </row>
    <row r="123" spans="1:43" s="28" customFormat="1" ht="15" x14ac:dyDescent="0.25">
      <c r="A123" s="176"/>
      <c r="B123" s="177"/>
      <c r="C123" s="795"/>
      <c r="D123" s="223"/>
      <c r="E123" s="795"/>
      <c r="F123" s="795"/>
      <c r="G123" s="177"/>
      <c r="H123" s="795"/>
      <c r="I123" s="177"/>
      <c r="J123" s="264"/>
      <c r="K123" s="264"/>
      <c r="L123" s="264"/>
      <c r="M123" s="179"/>
      <c r="N123" s="177"/>
      <c r="O123" s="795"/>
      <c r="P123" s="180"/>
      <c r="Q123" s="180"/>
      <c r="R123" s="180"/>
      <c r="S123" s="180"/>
      <c r="T123" s="180"/>
      <c r="U123" s="180"/>
      <c r="V123" s="180"/>
      <c r="W123" s="180"/>
      <c r="X123" s="180"/>
      <c r="Y123" s="180"/>
      <c r="Z123" s="180"/>
      <c r="AA123" s="180"/>
      <c r="AB123" s="180"/>
      <c r="AC123" s="180"/>
      <c r="AD123" s="181"/>
      <c r="AE123" s="181"/>
      <c r="AF123" s="181"/>
      <c r="AG123" s="181"/>
      <c r="AH123" s="181"/>
      <c r="AI123" s="181"/>
      <c r="AJ123" s="180"/>
      <c r="AK123" s="180"/>
      <c r="AL123" s="182"/>
      <c r="AM123" s="180"/>
      <c r="AN123" s="180"/>
      <c r="AO123" s="180"/>
      <c r="AP123" s="180"/>
      <c r="AQ123" s="26"/>
    </row>
    <row r="124" spans="1:43" ht="20.25" x14ac:dyDescent="0.25">
      <c r="A124" s="134" t="s">
        <v>160</v>
      </c>
      <c r="B124" s="135"/>
      <c r="C124" s="136"/>
      <c r="D124" s="239"/>
      <c r="E124" s="135"/>
      <c r="F124" s="135"/>
      <c r="G124" s="135"/>
      <c r="H124" s="136"/>
      <c r="I124" s="135"/>
      <c r="J124" s="135"/>
      <c r="K124" s="135"/>
      <c r="L124" s="135"/>
      <c r="M124" s="650"/>
      <c r="N124" s="135"/>
      <c r="O124" s="136"/>
      <c r="P124" s="135"/>
      <c r="Q124" s="135"/>
      <c r="R124" s="135"/>
      <c r="S124" s="135"/>
      <c r="T124" s="135"/>
      <c r="U124" s="135"/>
      <c r="V124" s="135"/>
      <c r="W124" s="135"/>
      <c r="X124" s="135"/>
      <c r="Y124" s="135"/>
      <c r="Z124" s="135"/>
      <c r="AA124" s="135"/>
      <c r="AB124" s="135"/>
      <c r="AC124" s="135"/>
      <c r="AD124" s="135"/>
      <c r="AE124" s="135"/>
      <c r="AF124" s="135"/>
      <c r="AG124" s="135"/>
      <c r="AH124" s="135"/>
      <c r="AI124" s="135"/>
      <c r="AJ124" s="135"/>
      <c r="AK124" s="135"/>
      <c r="AL124" s="137"/>
      <c r="AM124" s="138"/>
      <c r="AN124" s="135"/>
      <c r="AO124" s="135"/>
      <c r="AP124" s="135"/>
      <c r="AQ124" s="564" t="s">
        <v>0</v>
      </c>
    </row>
    <row r="125" spans="1:43" ht="15" x14ac:dyDescent="0.25">
      <c r="A125" s="139">
        <v>4</v>
      </c>
      <c r="B125" s="140" t="s">
        <v>161</v>
      </c>
      <c r="C125" s="141"/>
      <c r="D125" s="140"/>
      <c r="E125" s="140"/>
      <c r="F125" s="140"/>
      <c r="G125" s="140"/>
      <c r="H125" s="141"/>
      <c r="I125" s="140"/>
      <c r="J125" s="140"/>
      <c r="K125" s="140"/>
      <c r="L125" s="140"/>
      <c r="M125" s="651"/>
      <c r="N125" s="140"/>
      <c r="O125" s="140"/>
      <c r="P125" s="140"/>
      <c r="Q125" s="140"/>
      <c r="R125" s="140"/>
      <c r="S125" s="140"/>
      <c r="T125" s="140"/>
      <c r="U125" s="140"/>
      <c r="V125" s="140"/>
      <c r="W125" s="140"/>
      <c r="X125" s="140"/>
      <c r="Y125" s="140"/>
      <c r="Z125" s="140"/>
      <c r="AA125" s="140"/>
      <c r="AB125" s="140"/>
      <c r="AC125" s="140"/>
      <c r="AD125" s="140"/>
      <c r="AE125" s="140"/>
      <c r="AF125" s="140"/>
      <c r="AG125" s="140"/>
      <c r="AH125" s="140"/>
      <c r="AI125" s="140"/>
      <c r="AJ125" s="140"/>
      <c r="AK125" s="140"/>
      <c r="AL125" s="142"/>
      <c r="AM125" s="140"/>
      <c r="AN125" s="140"/>
      <c r="AO125" s="140"/>
      <c r="AP125" s="140"/>
      <c r="AQ125" s="538"/>
    </row>
    <row r="126" spans="1:43" ht="15" x14ac:dyDescent="0.25">
      <c r="A126" s="185"/>
      <c r="B126" s="266">
        <v>23</v>
      </c>
      <c r="C126" s="145" t="s">
        <v>162</v>
      </c>
      <c r="D126" s="146"/>
      <c r="E126" s="146"/>
      <c r="F126" s="146"/>
      <c r="G126" s="146"/>
      <c r="H126" s="147"/>
      <c r="I126" s="146"/>
      <c r="J126" s="146"/>
      <c r="K126" s="146"/>
      <c r="L126" s="146"/>
      <c r="M126" s="652"/>
      <c r="N126" s="146"/>
      <c r="O126" s="146"/>
      <c r="P126" s="146"/>
      <c r="Q126" s="146"/>
      <c r="R126" s="146"/>
      <c r="S126" s="146"/>
      <c r="T126" s="146"/>
      <c r="U126" s="146"/>
      <c r="V126" s="146"/>
      <c r="W126" s="146"/>
      <c r="X126" s="146"/>
      <c r="Y126" s="146"/>
      <c r="Z126" s="146"/>
      <c r="AA126" s="146"/>
      <c r="AB126" s="146"/>
      <c r="AC126" s="146"/>
      <c r="AD126" s="146"/>
      <c r="AE126" s="146"/>
      <c r="AF126" s="146"/>
      <c r="AG126" s="146"/>
      <c r="AH126" s="146"/>
      <c r="AI126" s="146"/>
      <c r="AJ126" s="146"/>
      <c r="AK126" s="146"/>
      <c r="AL126" s="148"/>
      <c r="AM126" s="146"/>
      <c r="AN126" s="146"/>
      <c r="AO126" s="146"/>
      <c r="AP126" s="146"/>
      <c r="AQ126" s="524"/>
    </row>
    <row r="127" spans="1:43" thickBot="1" x14ac:dyDescent="0.3">
      <c r="A127" s="20"/>
      <c r="B127" s="185"/>
      <c r="C127" s="244"/>
      <c r="D127" s="186"/>
      <c r="E127" s="186"/>
      <c r="F127" s="187"/>
      <c r="G127" s="188">
        <v>75</v>
      </c>
      <c r="H127" s="189" t="s">
        <v>163</v>
      </c>
      <c r="I127" s="189"/>
      <c r="J127" s="189"/>
      <c r="K127" s="189"/>
      <c r="L127" s="189"/>
      <c r="M127" s="653"/>
      <c r="N127" s="189"/>
      <c r="O127" s="189"/>
      <c r="P127" s="189"/>
      <c r="Q127" s="189"/>
      <c r="R127" s="189"/>
      <c r="S127" s="189"/>
      <c r="T127" s="189"/>
      <c r="U127" s="189"/>
      <c r="V127" s="189"/>
      <c r="W127" s="189"/>
      <c r="X127" s="189"/>
      <c r="Y127" s="189"/>
      <c r="Z127" s="189"/>
      <c r="AA127" s="189"/>
      <c r="AB127" s="189"/>
      <c r="AC127" s="189"/>
      <c r="AD127" s="189"/>
      <c r="AE127" s="189"/>
      <c r="AF127" s="189"/>
      <c r="AG127" s="189"/>
      <c r="AH127" s="189"/>
      <c r="AI127" s="189"/>
      <c r="AJ127" s="189"/>
      <c r="AK127" s="189"/>
      <c r="AL127" s="190"/>
      <c r="AM127" s="189"/>
      <c r="AN127" s="189"/>
      <c r="AO127" s="189"/>
      <c r="AP127" s="189"/>
      <c r="AQ127" s="521"/>
    </row>
    <row r="128" spans="1:43" s="28" customFormat="1" ht="71.25" x14ac:dyDescent="0.25">
      <c r="A128" s="20"/>
      <c r="B128" s="20"/>
      <c r="C128" s="982">
        <v>10</v>
      </c>
      <c r="D128" s="987" t="s">
        <v>164</v>
      </c>
      <c r="E128" s="999" t="s">
        <v>165</v>
      </c>
      <c r="F128" s="999" t="s">
        <v>166</v>
      </c>
      <c r="G128" s="23"/>
      <c r="H128" s="775">
        <v>214</v>
      </c>
      <c r="I128" s="774" t="s">
        <v>167</v>
      </c>
      <c r="J128" s="24" t="s">
        <v>30</v>
      </c>
      <c r="K128" s="56">
        <v>1</v>
      </c>
      <c r="L128" s="996" t="s">
        <v>168</v>
      </c>
      <c r="M128" s="854" t="s">
        <v>169</v>
      </c>
      <c r="N128" s="849" t="s">
        <v>170</v>
      </c>
      <c r="O128" s="57" t="s">
        <v>34</v>
      </c>
      <c r="P128" s="26">
        <v>0</v>
      </c>
      <c r="Q128" s="26">
        <v>0</v>
      </c>
      <c r="R128" s="26">
        <v>0</v>
      </c>
      <c r="S128" s="58">
        <v>49300000</v>
      </c>
      <c r="T128" s="26">
        <v>0</v>
      </c>
      <c r="U128" s="26">
        <v>0</v>
      </c>
      <c r="V128" s="26">
        <v>0</v>
      </c>
      <c r="W128" s="26"/>
      <c r="X128" s="26"/>
      <c r="Y128" s="26"/>
      <c r="Z128" s="26">
        <v>0</v>
      </c>
      <c r="AA128" s="26"/>
      <c r="AB128" s="26">
        <v>0</v>
      </c>
      <c r="AC128" s="26">
        <v>0</v>
      </c>
      <c r="AD128" s="26"/>
      <c r="AE128" s="26"/>
      <c r="AF128" s="26"/>
      <c r="AG128" s="26"/>
      <c r="AH128" s="26"/>
      <c r="AI128" s="26"/>
      <c r="AJ128" s="26">
        <v>0</v>
      </c>
      <c r="AK128" s="26">
        <v>0</v>
      </c>
      <c r="AL128" s="110">
        <f>30000000-30000000</f>
        <v>0</v>
      </c>
      <c r="AM128" s="38"/>
      <c r="AN128" s="26">
        <v>0</v>
      </c>
      <c r="AO128" s="59">
        <v>0</v>
      </c>
      <c r="AP128" s="59"/>
      <c r="AQ128" s="26">
        <f>P128+Q128+R128+S128+T128+U128+V128+W128+X128+Y128+Z128+AA128+AB128+AC128+AD128+AE128+AF128+AG128+AH128+AI128+AJ128+AK128+AL128+AM128+AN128+AP128+AO128</f>
        <v>49300000</v>
      </c>
    </row>
    <row r="129" spans="1:43" s="28" customFormat="1" ht="60.75" customHeight="1" x14ac:dyDescent="0.25">
      <c r="A129" s="20"/>
      <c r="B129" s="20"/>
      <c r="C129" s="861"/>
      <c r="D129" s="987"/>
      <c r="E129" s="858"/>
      <c r="F129" s="858"/>
      <c r="G129" s="29"/>
      <c r="H129" s="775">
        <v>215</v>
      </c>
      <c r="I129" s="774" t="s">
        <v>171</v>
      </c>
      <c r="J129" s="24">
        <v>10</v>
      </c>
      <c r="K129" s="56">
        <v>3</v>
      </c>
      <c r="L129" s="997"/>
      <c r="M129" s="855"/>
      <c r="N129" s="857"/>
      <c r="O129" s="60" t="s">
        <v>135</v>
      </c>
      <c r="P129" s="26">
        <v>0</v>
      </c>
      <c r="Q129" s="26">
        <v>0</v>
      </c>
      <c r="R129" s="26">
        <v>0</v>
      </c>
      <c r="S129" s="55">
        <f>5100000+100000000</f>
        <v>105100000</v>
      </c>
      <c r="T129" s="26">
        <v>0</v>
      </c>
      <c r="U129" s="26">
        <v>0</v>
      </c>
      <c r="V129" s="26">
        <v>0</v>
      </c>
      <c r="W129" s="26"/>
      <c r="X129" s="26"/>
      <c r="Y129" s="26"/>
      <c r="Z129" s="26">
        <v>0</v>
      </c>
      <c r="AA129" s="26"/>
      <c r="AB129" s="26">
        <v>0</v>
      </c>
      <c r="AC129" s="26">
        <v>0</v>
      </c>
      <c r="AD129" s="26"/>
      <c r="AE129" s="26"/>
      <c r="AF129" s="26"/>
      <c r="AG129" s="26"/>
      <c r="AH129" s="26"/>
      <c r="AI129" s="26"/>
      <c r="AJ129" s="26">
        <v>0</v>
      </c>
      <c r="AK129" s="26">
        <v>0</v>
      </c>
      <c r="AL129" s="110"/>
      <c r="AM129" s="38"/>
      <c r="AN129" s="26">
        <v>0</v>
      </c>
      <c r="AO129" s="26">
        <v>0</v>
      </c>
      <c r="AP129" s="26"/>
      <c r="AQ129" s="26">
        <f>P129+Q129+R129+S129+T129+U129+V129+W129+X129+Y129+Z129+AA129+AB129+AC129+AD129+AE129+AF129+AG129+AH129+AI129+AJ129+AK129+AL129+AM129+AN129+AP129+AO129</f>
        <v>105100000</v>
      </c>
    </row>
    <row r="130" spans="1:43" s="28" customFormat="1" ht="72" customHeight="1" x14ac:dyDescent="0.25">
      <c r="A130" s="20"/>
      <c r="B130" s="20"/>
      <c r="C130" s="861"/>
      <c r="D130" s="987"/>
      <c r="E130" s="858"/>
      <c r="F130" s="858"/>
      <c r="G130" s="29"/>
      <c r="H130" s="775">
        <v>216</v>
      </c>
      <c r="I130" s="774" t="s">
        <v>172</v>
      </c>
      <c r="J130" s="61" t="s">
        <v>173</v>
      </c>
      <c r="K130" s="673">
        <v>2.9940000000000002</v>
      </c>
      <c r="L130" s="997"/>
      <c r="M130" s="855"/>
      <c r="N130" s="857"/>
      <c r="O130" s="60" t="s">
        <v>34</v>
      </c>
      <c r="P130" s="26">
        <v>0</v>
      </c>
      <c r="Q130" s="26">
        <v>0</v>
      </c>
      <c r="R130" s="26">
        <v>0</v>
      </c>
      <c r="S130" s="55">
        <f>767600000+2000000000-284356796.9</f>
        <v>2483243203.0999999</v>
      </c>
      <c r="T130" s="26">
        <v>0</v>
      </c>
      <c r="U130" s="26">
        <v>0</v>
      </c>
      <c r="V130" s="26">
        <v>0</v>
      </c>
      <c r="W130" s="26"/>
      <c r="X130" s="26"/>
      <c r="Y130" s="26"/>
      <c r="Z130" s="26">
        <v>0</v>
      </c>
      <c r="AA130" s="26"/>
      <c r="AB130" s="26">
        <v>0</v>
      </c>
      <c r="AC130" s="26">
        <v>0</v>
      </c>
      <c r="AD130" s="26"/>
      <c r="AE130" s="26"/>
      <c r="AF130" s="26"/>
      <c r="AG130" s="26"/>
      <c r="AH130" s="26"/>
      <c r="AI130" s="26"/>
      <c r="AJ130" s="26">
        <v>0</v>
      </c>
      <c r="AK130" s="26">
        <v>0</v>
      </c>
      <c r="AL130" s="110">
        <f>50000000+30000000</f>
        <v>80000000</v>
      </c>
      <c r="AM130" s="38"/>
      <c r="AN130" s="26">
        <v>0</v>
      </c>
      <c r="AO130" s="27">
        <v>0</v>
      </c>
      <c r="AP130" s="27"/>
      <c r="AQ130" s="26">
        <f>P130+Q130+R130+S130+T130+U130+V130+W130+X130+Y130+Z130+AA130+AB130+AC130+AD130+AE130+AF130+AG130+AH130+AI130+AJ130+AK130+AL130+AM130+AN130+AP130+AO130</f>
        <v>2563243203.0999999</v>
      </c>
    </row>
    <row r="131" spans="1:43" s="28" customFormat="1" ht="90.75" customHeight="1" x14ac:dyDescent="0.25">
      <c r="A131" s="20"/>
      <c r="B131" s="20"/>
      <c r="C131" s="875">
        <v>12</v>
      </c>
      <c r="D131" s="987" t="s">
        <v>174</v>
      </c>
      <c r="E131" s="860">
        <v>3166</v>
      </c>
      <c r="F131" s="860">
        <v>2500</v>
      </c>
      <c r="G131" s="29"/>
      <c r="H131" s="775">
        <v>217</v>
      </c>
      <c r="I131" s="774" t="s">
        <v>175</v>
      </c>
      <c r="J131" s="61" t="s">
        <v>173</v>
      </c>
      <c r="K131" s="62" t="s">
        <v>176</v>
      </c>
      <c r="L131" s="997"/>
      <c r="M131" s="855"/>
      <c r="N131" s="857"/>
      <c r="O131" s="57" t="s">
        <v>38</v>
      </c>
      <c r="P131" s="26">
        <v>0</v>
      </c>
      <c r="Q131" s="26">
        <v>0</v>
      </c>
      <c r="R131" s="26">
        <v>0</v>
      </c>
      <c r="S131" s="55">
        <f>460500000+5333631612</f>
        <v>5794131612</v>
      </c>
      <c r="T131" s="26">
        <v>0</v>
      </c>
      <c r="U131" s="26">
        <v>0</v>
      </c>
      <c r="V131" s="26">
        <v>0</v>
      </c>
      <c r="W131" s="26"/>
      <c r="X131" s="26"/>
      <c r="Y131" s="26"/>
      <c r="Z131" s="26">
        <v>0</v>
      </c>
      <c r="AA131" s="26"/>
      <c r="AB131" s="26">
        <v>0</v>
      </c>
      <c r="AC131" s="26">
        <v>0</v>
      </c>
      <c r="AD131" s="26"/>
      <c r="AE131" s="26"/>
      <c r="AF131" s="26"/>
      <c r="AG131" s="26"/>
      <c r="AH131" s="26"/>
      <c r="AI131" s="26"/>
      <c r="AJ131" s="26">
        <v>0</v>
      </c>
      <c r="AK131" s="26">
        <v>0</v>
      </c>
      <c r="AL131" s="110">
        <v>0</v>
      </c>
      <c r="AM131" s="38"/>
      <c r="AN131" s="26">
        <v>0</v>
      </c>
      <c r="AO131" s="27">
        <v>0</v>
      </c>
      <c r="AP131" s="27"/>
      <c r="AQ131" s="26">
        <f>P131+Q131+R131+S131+T131+U131+V131+W131+X131+Y131+Z131+AA131+AB131+AC131+AD131+AE131+AF131+AG131+AH131+AI131+AJ131+AK131+AL131+AM131+AN131+AP131+AO131</f>
        <v>5794131612</v>
      </c>
    </row>
    <row r="132" spans="1:43" s="28" customFormat="1" ht="39.75" customHeight="1" x14ac:dyDescent="0.25">
      <c r="A132" s="20"/>
      <c r="B132" s="20"/>
      <c r="C132" s="862"/>
      <c r="D132" s="987"/>
      <c r="E132" s="859"/>
      <c r="F132" s="859"/>
      <c r="G132" s="30"/>
      <c r="H132" s="775">
        <v>218</v>
      </c>
      <c r="I132" s="774" t="s">
        <v>177</v>
      </c>
      <c r="J132" s="24">
        <v>3</v>
      </c>
      <c r="K132" s="24">
        <v>3</v>
      </c>
      <c r="L132" s="998"/>
      <c r="M132" s="856"/>
      <c r="N132" s="850"/>
      <c r="O132" s="57" t="s">
        <v>38</v>
      </c>
      <c r="P132" s="26">
        <v>0</v>
      </c>
      <c r="Q132" s="26">
        <v>0</v>
      </c>
      <c r="R132" s="26">
        <v>0</v>
      </c>
      <c r="S132" s="55">
        <f>230500000+25000000</f>
        <v>255500000</v>
      </c>
      <c r="T132" s="26">
        <v>0</v>
      </c>
      <c r="U132" s="26">
        <v>0</v>
      </c>
      <c r="V132" s="26">
        <v>0</v>
      </c>
      <c r="W132" s="26"/>
      <c r="X132" s="26"/>
      <c r="Y132" s="26"/>
      <c r="Z132" s="26">
        <v>0</v>
      </c>
      <c r="AA132" s="26"/>
      <c r="AB132" s="26">
        <v>0</v>
      </c>
      <c r="AC132" s="26">
        <v>0</v>
      </c>
      <c r="AD132" s="26"/>
      <c r="AE132" s="26"/>
      <c r="AF132" s="26"/>
      <c r="AG132" s="26"/>
      <c r="AH132" s="26"/>
      <c r="AI132" s="26"/>
      <c r="AJ132" s="26">
        <v>0</v>
      </c>
      <c r="AK132" s="26">
        <v>0</v>
      </c>
      <c r="AL132" s="110">
        <v>0</v>
      </c>
      <c r="AM132" s="38"/>
      <c r="AN132" s="26">
        <v>0</v>
      </c>
      <c r="AO132" s="27">
        <v>0</v>
      </c>
      <c r="AP132" s="27"/>
      <c r="AQ132" s="26">
        <f>P132+Q132+R132+S132+T132+U132+V132+W132+X132+Y132+Z132+AA132+AB132+AC132+AD132+AE132+AF132+AG132+AH132+AI132+AJ132+AK132+AL132+AM132+AN132+AP132+AO132</f>
        <v>255500000</v>
      </c>
    </row>
    <row r="133" spans="1:43" ht="15" x14ac:dyDescent="0.25">
      <c r="A133" s="20"/>
      <c r="B133" s="20"/>
      <c r="C133" s="215"/>
      <c r="D133" s="799"/>
      <c r="E133" s="579"/>
      <c r="F133" s="579"/>
      <c r="G133" s="154"/>
      <c r="H133" s="155"/>
      <c r="I133" s="154"/>
      <c r="J133" s="156"/>
      <c r="K133" s="156"/>
      <c r="L133" s="156"/>
      <c r="M133" s="157"/>
      <c r="N133" s="154"/>
      <c r="O133" s="155"/>
      <c r="P133" s="158">
        <f t="shared" ref="P133:AK133" si="60">SUM(P128:P132)</f>
        <v>0</v>
      </c>
      <c r="Q133" s="158">
        <f t="shared" si="60"/>
        <v>0</v>
      </c>
      <c r="R133" s="158">
        <f t="shared" si="60"/>
        <v>0</v>
      </c>
      <c r="S133" s="158">
        <f t="shared" si="60"/>
        <v>8687274815.1000004</v>
      </c>
      <c r="T133" s="158">
        <f t="shared" si="60"/>
        <v>0</v>
      </c>
      <c r="U133" s="158">
        <f t="shared" si="60"/>
        <v>0</v>
      </c>
      <c r="V133" s="158">
        <f t="shared" si="60"/>
        <v>0</v>
      </c>
      <c r="W133" s="158">
        <f t="shared" si="60"/>
        <v>0</v>
      </c>
      <c r="X133" s="158">
        <f t="shared" si="60"/>
        <v>0</v>
      </c>
      <c r="Y133" s="158">
        <f t="shared" si="60"/>
        <v>0</v>
      </c>
      <c r="Z133" s="158">
        <f t="shared" si="60"/>
        <v>0</v>
      </c>
      <c r="AA133" s="158">
        <f t="shared" si="60"/>
        <v>0</v>
      </c>
      <c r="AB133" s="158">
        <f t="shared" si="60"/>
        <v>0</v>
      </c>
      <c r="AC133" s="158">
        <f t="shared" si="60"/>
        <v>0</v>
      </c>
      <c r="AD133" s="158">
        <f t="shared" si="60"/>
        <v>0</v>
      </c>
      <c r="AE133" s="158">
        <f t="shared" si="60"/>
        <v>0</v>
      </c>
      <c r="AF133" s="158">
        <f t="shared" si="60"/>
        <v>0</v>
      </c>
      <c r="AG133" s="158">
        <f t="shared" si="60"/>
        <v>0</v>
      </c>
      <c r="AH133" s="158">
        <f t="shared" si="60"/>
        <v>0</v>
      </c>
      <c r="AI133" s="158">
        <f t="shared" si="60"/>
        <v>0</v>
      </c>
      <c r="AJ133" s="158">
        <f t="shared" si="60"/>
        <v>0</v>
      </c>
      <c r="AK133" s="158">
        <f t="shared" si="60"/>
        <v>0</v>
      </c>
      <c r="AL133" s="158">
        <f t="shared" ref="AL133:AP133" si="61">SUM(AL128:AL132)</f>
        <v>80000000</v>
      </c>
      <c r="AM133" s="158">
        <f t="shared" si="61"/>
        <v>0</v>
      </c>
      <c r="AN133" s="158">
        <f t="shared" si="61"/>
        <v>0</v>
      </c>
      <c r="AO133" s="158">
        <f t="shared" si="61"/>
        <v>0</v>
      </c>
      <c r="AP133" s="158">
        <f t="shared" si="61"/>
        <v>0</v>
      </c>
      <c r="AQ133" s="396">
        <f>SUM(AQ128:AQ132)</f>
        <v>8767274815.1000004</v>
      </c>
    </row>
    <row r="134" spans="1:43" s="28" customFormat="1" ht="15" x14ac:dyDescent="0.25">
      <c r="A134" s="20"/>
      <c r="B134" s="20"/>
      <c r="C134" s="773"/>
      <c r="D134" s="765"/>
      <c r="E134" s="775"/>
      <c r="F134" s="775"/>
      <c r="G134" s="774"/>
      <c r="H134" s="255"/>
      <c r="I134" s="177"/>
      <c r="J134" s="178"/>
      <c r="K134" s="178"/>
      <c r="L134" s="233"/>
      <c r="M134" s="234"/>
      <c r="N134" s="223"/>
      <c r="O134" s="795"/>
      <c r="P134" s="180"/>
      <c r="Q134" s="180"/>
      <c r="R134" s="180"/>
      <c r="S134" s="180"/>
      <c r="T134" s="180"/>
      <c r="U134" s="180"/>
      <c r="V134" s="180"/>
      <c r="W134" s="180"/>
      <c r="X134" s="180"/>
      <c r="Y134" s="180"/>
      <c r="Z134" s="180"/>
      <c r="AA134" s="180"/>
      <c r="AB134" s="180"/>
      <c r="AC134" s="180"/>
      <c r="AD134" s="181"/>
      <c r="AE134" s="181"/>
      <c r="AF134" s="181"/>
      <c r="AG134" s="181"/>
      <c r="AH134" s="181"/>
      <c r="AI134" s="181"/>
      <c r="AJ134" s="180"/>
      <c r="AK134" s="180"/>
      <c r="AL134" s="182"/>
      <c r="AM134" s="183"/>
      <c r="AN134" s="180"/>
      <c r="AO134" s="180"/>
      <c r="AP134" s="180"/>
      <c r="AQ134" s="26"/>
    </row>
    <row r="135" spans="1:43" thickBot="1" x14ac:dyDescent="0.3">
      <c r="A135" s="20"/>
      <c r="B135" s="20"/>
      <c r="C135" s="215"/>
      <c r="D135" s="799"/>
      <c r="E135" s="579"/>
      <c r="F135" s="579"/>
      <c r="G135" s="258">
        <v>76</v>
      </c>
      <c r="H135" s="614" t="s">
        <v>178</v>
      </c>
      <c r="I135" s="283"/>
      <c r="J135" s="283"/>
      <c r="K135" s="283"/>
      <c r="L135" s="283"/>
      <c r="M135" s="657"/>
      <c r="N135" s="283"/>
      <c r="O135" s="189"/>
      <c r="P135" s="189"/>
      <c r="Q135" s="189"/>
      <c r="R135" s="189"/>
      <c r="S135" s="189"/>
      <c r="T135" s="189"/>
      <c r="U135" s="189"/>
      <c r="V135" s="189"/>
      <c r="W135" s="189"/>
      <c r="X135" s="189"/>
      <c r="Y135" s="189"/>
      <c r="Z135" s="189"/>
      <c r="AA135" s="189"/>
      <c r="AB135" s="189"/>
      <c r="AC135" s="189"/>
      <c r="AD135" s="189"/>
      <c r="AE135" s="189"/>
      <c r="AF135" s="189"/>
      <c r="AG135" s="189"/>
      <c r="AH135" s="189"/>
      <c r="AI135" s="189"/>
      <c r="AJ135" s="189"/>
      <c r="AK135" s="189"/>
      <c r="AL135" s="190"/>
      <c r="AM135" s="189"/>
      <c r="AN135" s="189"/>
      <c r="AO135" s="189"/>
      <c r="AP135" s="189"/>
      <c r="AQ135" s="521"/>
    </row>
    <row r="136" spans="1:43" s="28" customFormat="1" ht="95.25" customHeight="1" x14ac:dyDescent="0.25">
      <c r="A136" s="20"/>
      <c r="B136" s="20"/>
      <c r="C136" s="1000">
        <v>10</v>
      </c>
      <c r="D136" s="987" t="s">
        <v>164</v>
      </c>
      <c r="E136" s="999" t="s">
        <v>165</v>
      </c>
      <c r="F136" s="999" t="s">
        <v>166</v>
      </c>
      <c r="G136" s="23"/>
      <c r="H136" s="775">
        <v>219</v>
      </c>
      <c r="I136" s="774" t="s">
        <v>179</v>
      </c>
      <c r="J136" s="24" t="s">
        <v>30</v>
      </c>
      <c r="K136" s="63">
        <v>11</v>
      </c>
      <c r="L136" s="996" t="s">
        <v>180</v>
      </c>
      <c r="M136" s="854" t="s">
        <v>181</v>
      </c>
      <c r="N136" s="849" t="s">
        <v>182</v>
      </c>
      <c r="O136" s="775" t="s">
        <v>34</v>
      </c>
      <c r="P136" s="26">
        <v>0</v>
      </c>
      <c r="Q136" s="26">
        <v>0</v>
      </c>
      <c r="R136" s="26">
        <v>0</v>
      </c>
      <c r="S136" s="14">
        <f>111600000+90000000</f>
        <v>201600000</v>
      </c>
      <c r="T136" s="26">
        <v>0</v>
      </c>
      <c r="U136" s="26">
        <v>0</v>
      </c>
      <c r="V136" s="26">
        <v>0</v>
      </c>
      <c r="W136" s="26"/>
      <c r="X136" s="26"/>
      <c r="Y136" s="26"/>
      <c r="Z136" s="26">
        <v>0</v>
      </c>
      <c r="AA136" s="26"/>
      <c r="AB136" s="26">
        <v>0</v>
      </c>
      <c r="AC136" s="26">
        <v>0</v>
      </c>
      <c r="AD136" s="26"/>
      <c r="AE136" s="26"/>
      <c r="AF136" s="26"/>
      <c r="AG136" s="26"/>
      <c r="AH136" s="26"/>
      <c r="AI136" s="26"/>
      <c r="AJ136" s="26">
        <v>0</v>
      </c>
      <c r="AK136" s="26">
        <v>0</v>
      </c>
      <c r="AL136" s="110"/>
      <c r="AM136" s="14"/>
      <c r="AN136" s="26">
        <v>0</v>
      </c>
      <c r="AO136" s="27">
        <v>0</v>
      </c>
      <c r="AP136" s="27"/>
      <c r="AQ136" s="26">
        <f>P136+Q136+R136+S136+T136+U136+V136+W136+X136+Y136+Z136+AA136+AB136+AC136+AD136+AE136+AF136+AG136+AH136+AI136+AJ136+AK136+AL136+AM136+AN136+AP136+AO136</f>
        <v>201600000</v>
      </c>
    </row>
    <row r="137" spans="1:43" s="28" customFormat="1" ht="60.75" customHeight="1" x14ac:dyDescent="0.25">
      <c r="A137" s="20"/>
      <c r="B137" s="20"/>
      <c r="C137" s="1001"/>
      <c r="D137" s="987"/>
      <c r="E137" s="999"/>
      <c r="F137" s="999"/>
      <c r="G137" s="29"/>
      <c r="H137" s="775">
        <v>220</v>
      </c>
      <c r="I137" s="774" t="s">
        <v>183</v>
      </c>
      <c r="J137" s="24">
        <v>0</v>
      </c>
      <c r="K137" s="64">
        <v>9</v>
      </c>
      <c r="L137" s="997"/>
      <c r="M137" s="855"/>
      <c r="N137" s="857"/>
      <c r="O137" s="775" t="s">
        <v>34</v>
      </c>
      <c r="P137" s="26">
        <v>0</v>
      </c>
      <c r="Q137" s="26">
        <v>0</v>
      </c>
      <c r="R137" s="26">
        <v>0</v>
      </c>
      <c r="S137" s="14">
        <f>111600000+130000000-18000000</f>
        <v>223600000</v>
      </c>
      <c r="T137" s="26">
        <v>0</v>
      </c>
      <c r="U137" s="26">
        <v>0</v>
      </c>
      <c r="V137" s="26">
        <v>0</v>
      </c>
      <c r="W137" s="26"/>
      <c r="X137" s="26"/>
      <c r="Y137" s="26"/>
      <c r="Z137" s="26">
        <v>0</v>
      </c>
      <c r="AA137" s="26"/>
      <c r="AB137" s="26">
        <v>0</v>
      </c>
      <c r="AC137" s="26">
        <v>0</v>
      </c>
      <c r="AD137" s="26"/>
      <c r="AE137" s="26"/>
      <c r="AF137" s="26"/>
      <c r="AG137" s="26"/>
      <c r="AH137" s="26"/>
      <c r="AI137" s="26"/>
      <c r="AJ137" s="26">
        <v>0</v>
      </c>
      <c r="AK137" s="26">
        <v>0</v>
      </c>
      <c r="AL137" s="110">
        <f>150000000+18000000</f>
        <v>168000000</v>
      </c>
      <c r="AM137" s="14"/>
      <c r="AN137" s="26">
        <v>0</v>
      </c>
      <c r="AO137" s="27">
        <v>0</v>
      </c>
      <c r="AP137" s="27"/>
      <c r="AQ137" s="26">
        <f>P137+Q137+R137+S137+T137+U137+V137+W137+X137+Y137+Z137+AA137+AB137+AC137+AD137+AE137+AF137+AG137+AH137+AI137+AJ137+AK137+AL137+AM137+AN137+AP137+AO137</f>
        <v>391600000</v>
      </c>
    </row>
    <row r="138" spans="1:43" s="28" customFormat="1" ht="40.5" customHeight="1" x14ac:dyDescent="0.25">
      <c r="A138" s="20"/>
      <c r="B138" s="20"/>
      <c r="C138" s="861">
        <v>12</v>
      </c>
      <c r="D138" s="857" t="s">
        <v>174</v>
      </c>
      <c r="E138" s="860">
        <v>3166</v>
      </c>
      <c r="F138" s="860">
        <v>2500</v>
      </c>
      <c r="G138" s="29"/>
      <c r="H138" s="775">
        <v>221</v>
      </c>
      <c r="I138" s="774" t="s">
        <v>184</v>
      </c>
      <c r="J138" s="24">
        <v>1</v>
      </c>
      <c r="K138" s="65">
        <v>1</v>
      </c>
      <c r="L138" s="997"/>
      <c r="M138" s="855"/>
      <c r="N138" s="857"/>
      <c r="O138" s="775" t="s">
        <v>38</v>
      </c>
      <c r="P138" s="26">
        <v>0</v>
      </c>
      <c r="Q138" s="26">
        <v>0</v>
      </c>
      <c r="R138" s="26">
        <v>0</v>
      </c>
      <c r="S138" s="14">
        <f>26800000-12000000</f>
        <v>14800000</v>
      </c>
      <c r="T138" s="26">
        <v>0</v>
      </c>
      <c r="U138" s="26">
        <v>0</v>
      </c>
      <c r="V138" s="26">
        <v>0</v>
      </c>
      <c r="W138" s="26"/>
      <c r="X138" s="26"/>
      <c r="Y138" s="26"/>
      <c r="Z138" s="26">
        <v>0</v>
      </c>
      <c r="AA138" s="26"/>
      <c r="AB138" s="26">
        <v>0</v>
      </c>
      <c r="AC138" s="26">
        <v>0</v>
      </c>
      <c r="AD138" s="26"/>
      <c r="AE138" s="26"/>
      <c r="AF138" s="26"/>
      <c r="AG138" s="26"/>
      <c r="AH138" s="26"/>
      <c r="AI138" s="26"/>
      <c r="AJ138" s="26">
        <v>0</v>
      </c>
      <c r="AK138" s="26">
        <v>0</v>
      </c>
      <c r="AL138" s="110">
        <v>12000000</v>
      </c>
      <c r="AM138" s="14"/>
      <c r="AN138" s="26">
        <v>0</v>
      </c>
      <c r="AO138" s="27">
        <v>0</v>
      </c>
      <c r="AP138" s="27"/>
      <c r="AQ138" s="26">
        <f>P138+Q138+R138+S138+T138+U138+V138+W138+X138+Y138+Z138+AA138+AB138+AC138+AD138+AE138+AF138+AG138+AH138+AI138+AJ138+AK138+AL138+AM138+AN138+AP138+AO138</f>
        <v>26800000</v>
      </c>
    </row>
    <row r="139" spans="1:43" s="28" customFormat="1" ht="49.5" customHeight="1" x14ac:dyDescent="0.25">
      <c r="A139" s="20"/>
      <c r="B139" s="20"/>
      <c r="C139" s="862"/>
      <c r="D139" s="850"/>
      <c r="E139" s="859"/>
      <c r="F139" s="859"/>
      <c r="G139" s="30"/>
      <c r="H139" s="775">
        <v>222</v>
      </c>
      <c r="I139" s="774" t="s">
        <v>185</v>
      </c>
      <c r="J139" s="24">
        <v>1</v>
      </c>
      <c r="K139" s="65">
        <v>1</v>
      </c>
      <c r="L139" s="998"/>
      <c r="M139" s="856"/>
      <c r="N139" s="850"/>
      <c r="O139" s="775" t="s">
        <v>38</v>
      </c>
      <c r="P139" s="26">
        <v>0</v>
      </c>
      <c r="Q139" s="26">
        <v>0</v>
      </c>
      <c r="R139" s="26">
        <v>0</v>
      </c>
      <c r="S139" s="26">
        <v>18000000</v>
      </c>
      <c r="T139" s="26">
        <v>0</v>
      </c>
      <c r="U139" s="26">
        <v>0</v>
      </c>
      <c r="V139" s="26">
        <v>0</v>
      </c>
      <c r="W139" s="26"/>
      <c r="X139" s="26"/>
      <c r="Y139" s="26"/>
      <c r="Z139" s="26">
        <v>0</v>
      </c>
      <c r="AA139" s="26"/>
      <c r="AB139" s="26">
        <v>0</v>
      </c>
      <c r="AC139" s="26">
        <v>0</v>
      </c>
      <c r="AD139" s="26"/>
      <c r="AE139" s="26"/>
      <c r="AF139" s="26"/>
      <c r="AG139" s="26"/>
      <c r="AH139" s="26"/>
      <c r="AI139" s="26"/>
      <c r="AJ139" s="26">
        <v>0</v>
      </c>
      <c r="AK139" s="26">
        <v>0</v>
      </c>
      <c r="AL139" s="112">
        <f>18000000-18000000</f>
        <v>0</v>
      </c>
      <c r="AM139" s="10"/>
      <c r="AN139" s="26">
        <v>0</v>
      </c>
      <c r="AO139" s="27">
        <v>0</v>
      </c>
      <c r="AP139" s="27"/>
      <c r="AQ139" s="26">
        <f>P139+Q139+R139+S139+T139+U139+V139+W139+X139+Y139+Z139+AA139+AB139+AC139+AD139+AE139+AF139+AG139+AH139+AI139+AJ139+AK139+AL139+AM139+AN139+AP139+AO139</f>
        <v>18000000</v>
      </c>
    </row>
    <row r="140" spans="1:43" ht="15" x14ac:dyDescent="0.25">
      <c r="A140" s="20"/>
      <c r="B140" s="20"/>
      <c r="C140" s="215"/>
      <c r="D140" s="799"/>
      <c r="E140" s="579"/>
      <c r="F140" s="579"/>
      <c r="G140" s="154"/>
      <c r="H140" s="155"/>
      <c r="I140" s="154"/>
      <c r="J140" s="156"/>
      <c r="K140" s="156"/>
      <c r="L140" s="156"/>
      <c r="M140" s="157"/>
      <c r="N140" s="154"/>
      <c r="O140" s="155"/>
      <c r="P140" s="158">
        <f t="shared" ref="P140:AK140" si="62">SUM(P135:P139)</f>
        <v>0</v>
      </c>
      <c r="Q140" s="158">
        <f t="shared" si="62"/>
        <v>0</v>
      </c>
      <c r="R140" s="158">
        <f t="shared" si="62"/>
        <v>0</v>
      </c>
      <c r="S140" s="158">
        <f t="shared" si="62"/>
        <v>458000000</v>
      </c>
      <c r="T140" s="158">
        <f t="shared" si="62"/>
        <v>0</v>
      </c>
      <c r="U140" s="158">
        <f t="shared" si="62"/>
        <v>0</v>
      </c>
      <c r="V140" s="158">
        <f t="shared" si="62"/>
        <v>0</v>
      </c>
      <c r="W140" s="158">
        <f t="shared" si="62"/>
        <v>0</v>
      </c>
      <c r="X140" s="158">
        <f t="shared" si="62"/>
        <v>0</v>
      </c>
      <c r="Y140" s="158">
        <f t="shared" si="62"/>
        <v>0</v>
      </c>
      <c r="Z140" s="158">
        <f t="shared" si="62"/>
        <v>0</v>
      </c>
      <c r="AA140" s="158">
        <f t="shared" si="62"/>
        <v>0</v>
      </c>
      <c r="AB140" s="158">
        <f t="shared" si="62"/>
        <v>0</v>
      </c>
      <c r="AC140" s="158">
        <f t="shared" si="62"/>
        <v>0</v>
      </c>
      <c r="AD140" s="158">
        <f t="shared" si="62"/>
        <v>0</v>
      </c>
      <c r="AE140" s="158">
        <f t="shared" si="62"/>
        <v>0</v>
      </c>
      <c r="AF140" s="158">
        <f t="shared" si="62"/>
        <v>0</v>
      </c>
      <c r="AG140" s="158">
        <f t="shared" si="62"/>
        <v>0</v>
      </c>
      <c r="AH140" s="158">
        <f t="shared" si="62"/>
        <v>0</v>
      </c>
      <c r="AI140" s="158">
        <f t="shared" si="62"/>
        <v>0</v>
      </c>
      <c r="AJ140" s="158">
        <f t="shared" si="62"/>
        <v>0</v>
      </c>
      <c r="AK140" s="158">
        <f t="shared" si="62"/>
        <v>0</v>
      </c>
      <c r="AL140" s="158">
        <f t="shared" ref="AL140:AP140" si="63">SUM(AL135:AL139)</f>
        <v>180000000</v>
      </c>
      <c r="AM140" s="158">
        <f t="shared" si="63"/>
        <v>0</v>
      </c>
      <c r="AN140" s="158">
        <f t="shared" si="63"/>
        <v>0</v>
      </c>
      <c r="AO140" s="158">
        <f t="shared" si="63"/>
        <v>0</v>
      </c>
      <c r="AP140" s="158">
        <f t="shared" si="63"/>
        <v>0</v>
      </c>
      <c r="AQ140" s="158">
        <f>SUM(AQ136:AQ139)</f>
        <v>638000000</v>
      </c>
    </row>
    <row r="141" spans="1:43" ht="15" x14ac:dyDescent="0.25">
      <c r="A141" s="20"/>
      <c r="B141" s="161"/>
      <c r="C141" s="220"/>
      <c r="D141" s="161"/>
      <c r="E141" s="162"/>
      <c r="F141" s="162"/>
      <c r="G141" s="161"/>
      <c r="H141" s="162"/>
      <c r="I141" s="161"/>
      <c r="J141" s="163"/>
      <c r="K141" s="163"/>
      <c r="L141" s="163"/>
      <c r="M141" s="164"/>
      <c r="N141" s="161"/>
      <c r="O141" s="162"/>
      <c r="P141" s="165">
        <f t="shared" ref="P141:Z141" si="64">P117+P133</f>
        <v>0</v>
      </c>
      <c r="Q141" s="165">
        <f t="shared" si="64"/>
        <v>0</v>
      </c>
      <c r="R141" s="165">
        <f t="shared" si="64"/>
        <v>0</v>
      </c>
      <c r="S141" s="165">
        <f>S117+S133+S140</f>
        <v>9145274815.1000004</v>
      </c>
      <c r="T141" s="165">
        <f t="shared" si="64"/>
        <v>0</v>
      </c>
      <c r="U141" s="165">
        <f t="shared" si="64"/>
        <v>0</v>
      </c>
      <c r="V141" s="165">
        <f t="shared" si="64"/>
        <v>0</v>
      </c>
      <c r="W141" s="165">
        <f t="shared" si="64"/>
        <v>0</v>
      </c>
      <c r="X141" s="165">
        <f t="shared" si="64"/>
        <v>0</v>
      </c>
      <c r="Y141" s="165">
        <f t="shared" si="64"/>
        <v>0</v>
      </c>
      <c r="Z141" s="165">
        <f t="shared" si="64"/>
        <v>0</v>
      </c>
      <c r="AA141" s="165">
        <f t="shared" ref="AA141:AK141" si="65">AA117+AA133</f>
        <v>0</v>
      </c>
      <c r="AB141" s="165">
        <f t="shared" si="65"/>
        <v>0</v>
      </c>
      <c r="AC141" s="165">
        <f t="shared" si="65"/>
        <v>0</v>
      </c>
      <c r="AD141" s="165">
        <f t="shared" si="65"/>
        <v>0</v>
      </c>
      <c r="AE141" s="165">
        <f t="shared" si="65"/>
        <v>0</v>
      </c>
      <c r="AF141" s="165">
        <f t="shared" si="65"/>
        <v>0</v>
      </c>
      <c r="AG141" s="165">
        <f t="shared" si="65"/>
        <v>0</v>
      </c>
      <c r="AH141" s="165">
        <f t="shared" si="65"/>
        <v>0</v>
      </c>
      <c r="AI141" s="165">
        <f t="shared" si="65"/>
        <v>0</v>
      </c>
      <c r="AJ141" s="165">
        <f t="shared" si="65"/>
        <v>0</v>
      </c>
      <c r="AK141" s="165">
        <f t="shared" si="65"/>
        <v>0</v>
      </c>
      <c r="AL141" s="165">
        <f>AL117+AL133+AL140</f>
        <v>260000000</v>
      </c>
      <c r="AM141" s="165">
        <f t="shared" ref="AM141:AP141" si="66">AM117+AM133</f>
        <v>0</v>
      </c>
      <c r="AN141" s="165">
        <f t="shared" si="66"/>
        <v>0</v>
      </c>
      <c r="AO141" s="165">
        <f t="shared" si="66"/>
        <v>0</v>
      </c>
      <c r="AP141" s="165">
        <f t="shared" si="66"/>
        <v>0</v>
      </c>
      <c r="AQ141" s="165">
        <f>AQ117+AQ133+AQ140</f>
        <v>9405274815.1000004</v>
      </c>
    </row>
    <row r="142" spans="1:43" s="28" customFormat="1" ht="15" x14ac:dyDescent="0.25">
      <c r="A142" s="20"/>
      <c r="B142" s="774"/>
      <c r="C142" s="795"/>
      <c r="D142" s="177"/>
      <c r="E142" s="795"/>
      <c r="F142" s="795"/>
      <c r="G142" s="177"/>
      <c r="H142" s="795"/>
      <c r="I142" s="177"/>
      <c r="J142" s="178"/>
      <c r="K142" s="178"/>
      <c r="L142" s="233"/>
      <c r="M142" s="234"/>
      <c r="N142" s="223"/>
      <c r="O142" s="795"/>
      <c r="P142" s="180"/>
      <c r="Q142" s="180"/>
      <c r="R142" s="180"/>
      <c r="S142" s="180"/>
      <c r="T142" s="180"/>
      <c r="U142" s="180"/>
      <c r="V142" s="180"/>
      <c r="W142" s="180"/>
      <c r="X142" s="180"/>
      <c r="Y142" s="180"/>
      <c r="Z142" s="180"/>
      <c r="AA142" s="180"/>
      <c r="AB142" s="180"/>
      <c r="AC142" s="180"/>
      <c r="AD142" s="181"/>
      <c r="AE142" s="181"/>
      <c r="AF142" s="181"/>
      <c r="AG142" s="181"/>
      <c r="AH142" s="181"/>
      <c r="AI142" s="181"/>
      <c r="AJ142" s="180"/>
      <c r="AK142" s="180"/>
      <c r="AL142" s="182"/>
      <c r="AM142" s="183"/>
      <c r="AN142" s="180"/>
      <c r="AO142" s="180"/>
      <c r="AP142" s="180"/>
      <c r="AQ142" s="26"/>
    </row>
    <row r="143" spans="1:43" s="28" customFormat="1" ht="15" x14ac:dyDescent="0.25">
      <c r="A143" s="20"/>
      <c r="B143" s="266">
        <v>24</v>
      </c>
      <c r="C143" s="145" t="s">
        <v>186</v>
      </c>
      <c r="D143" s="146"/>
      <c r="E143" s="146"/>
      <c r="F143" s="146"/>
      <c r="G143" s="146"/>
      <c r="H143" s="147"/>
      <c r="I143" s="146"/>
      <c r="J143" s="146"/>
      <c r="K143" s="146"/>
      <c r="L143" s="146"/>
      <c r="M143" s="652"/>
      <c r="N143" s="146"/>
      <c r="O143" s="146"/>
      <c r="P143" s="146"/>
      <c r="Q143" s="146"/>
      <c r="R143" s="146"/>
      <c r="S143" s="146"/>
      <c r="T143" s="146"/>
      <c r="U143" s="146"/>
      <c r="V143" s="146"/>
      <c r="W143" s="146"/>
      <c r="X143" s="146"/>
      <c r="Y143" s="146"/>
      <c r="Z143" s="146"/>
      <c r="AA143" s="146"/>
      <c r="AB143" s="146"/>
      <c r="AC143" s="146"/>
      <c r="AD143" s="146"/>
      <c r="AE143" s="146"/>
      <c r="AF143" s="146"/>
      <c r="AG143" s="146"/>
      <c r="AH143" s="146"/>
      <c r="AI143" s="146"/>
      <c r="AJ143" s="146"/>
      <c r="AK143" s="146"/>
      <c r="AL143" s="148"/>
      <c r="AM143" s="146"/>
      <c r="AN143" s="146"/>
      <c r="AO143" s="146"/>
      <c r="AP143" s="146"/>
      <c r="AQ143" s="524"/>
    </row>
    <row r="144" spans="1:43" s="28" customFormat="1" ht="15" x14ac:dyDescent="0.25">
      <c r="A144" s="20"/>
      <c r="B144" s="23"/>
      <c r="C144" s="795"/>
      <c r="D144" s="276"/>
      <c r="E144" s="276"/>
      <c r="F144" s="276"/>
      <c r="G144" s="277">
        <v>78</v>
      </c>
      <c r="H144" s="228" t="s">
        <v>187</v>
      </c>
      <c r="I144" s="228"/>
      <c r="J144" s="228"/>
      <c r="K144" s="228"/>
      <c r="L144" s="228"/>
      <c r="M144" s="658"/>
      <c r="N144" s="228"/>
      <c r="O144" s="228"/>
      <c r="P144" s="228"/>
      <c r="Q144" s="228"/>
      <c r="R144" s="228"/>
      <c r="S144" s="228"/>
      <c r="T144" s="228"/>
      <c r="U144" s="228"/>
      <c r="V144" s="228"/>
      <c r="W144" s="228"/>
      <c r="X144" s="228"/>
      <c r="Y144" s="228"/>
      <c r="Z144" s="228"/>
      <c r="AA144" s="228"/>
      <c r="AB144" s="228"/>
      <c r="AC144" s="228"/>
      <c r="AD144" s="228"/>
      <c r="AE144" s="228"/>
      <c r="AF144" s="228"/>
      <c r="AG144" s="228"/>
      <c r="AH144" s="228"/>
      <c r="AI144" s="228"/>
      <c r="AJ144" s="228"/>
      <c r="AK144" s="228"/>
      <c r="AL144" s="229"/>
      <c r="AM144" s="228"/>
      <c r="AN144" s="228"/>
      <c r="AO144" s="228"/>
      <c r="AP144" s="228"/>
      <c r="AQ144" s="679"/>
    </row>
    <row r="145" spans="1:43" s="28" customFormat="1" ht="84.75" customHeight="1" x14ac:dyDescent="0.25">
      <c r="A145" s="20"/>
      <c r="B145" s="29"/>
      <c r="C145" s="861">
        <v>13</v>
      </c>
      <c r="D145" s="849" t="s">
        <v>188</v>
      </c>
      <c r="E145" s="858" t="s">
        <v>189</v>
      </c>
      <c r="F145" s="858" t="s">
        <v>190</v>
      </c>
      <c r="G145" s="23"/>
      <c r="H145" s="775">
        <v>226</v>
      </c>
      <c r="I145" s="774" t="s">
        <v>191</v>
      </c>
      <c r="J145" s="24">
        <v>12</v>
      </c>
      <c r="K145" s="65">
        <v>12</v>
      </c>
      <c r="L145" s="996" t="s">
        <v>192</v>
      </c>
      <c r="M145" s="854" t="s">
        <v>193</v>
      </c>
      <c r="N145" s="849" t="s">
        <v>194</v>
      </c>
      <c r="O145" s="57" t="s">
        <v>38</v>
      </c>
      <c r="P145" s="26">
        <v>0</v>
      </c>
      <c r="Q145" s="26">
        <v>0</v>
      </c>
      <c r="R145" s="26">
        <v>0</v>
      </c>
      <c r="S145" s="26">
        <v>0</v>
      </c>
      <c r="T145" s="26">
        <v>0</v>
      </c>
      <c r="U145" s="26">
        <v>0</v>
      </c>
      <c r="V145" s="26">
        <v>0</v>
      </c>
      <c r="W145" s="26"/>
      <c r="X145" s="26"/>
      <c r="Y145" s="26"/>
      <c r="Z145" s="26">
        <v>0</v>
      </c>
      <c r="AA145" s="26"/>
      <c r="AB145" s="26">
        <v>0</v>
      </c>
      <c r="AC145" s="26">
        <v>0</v>
      </c>
      <c r="AD145" s="26"/>
      <c r="AE145" s="26"/>
      <c r="AF145" s="26"/>
      <c r="AG145" s="26"/>
      <c r="AH145" s="26"/>
      <c r="AI145" s="26"/>
      <c r="AJ145" s="26">
        <v>0</v>
      </c>
      <c r="AK145" s="26">
        <v>0</v>
      </c>
      <c r="AL145" s="710">
        <f>140400000+110000000+16500000+28400000</f>
        <v>295300000</v>
      </c>
      <c r="AM145" s="14"/>
      <c r="AN145" s="26">
        <v>0</v>
      </c>
      <c r="AO145" s="27">
        <v>0</v>
      </c>
      <c r="AP145" s="27"/>
      <c r="AQ145" s="26">
        <f>P145+Q145+R145+S145+T145+U145+V145+W145+X145+Y145+Z145+AA145+AB145+AC145+AD145+AE145+AF145+AG145+AH145+AI145+AJ145+AK145+AL145+AM145+AN145+AP145+AO145</f>
        <v>295300000</v>
      </c>
    </row>
    <row r="146" spans="1:43" s="28" customFormat="1" ht="60.75" customHeight="1" x14ac:dyDescent="0.25">
      <c r="A146" s="20"/>
      <c r="B146" s="29"/>
      <c r="C146" s="875"/>
      <c r="D146" s="857"/>
      <c r="E146" s="860"/>
      <c r="F146" s="860"/>
      <c r="G146" s="29"/>
      <c r="H146" s="775">
        <v>227</v>
      </c>
      <c r="I146" s="774" t="s">
        <v>195</v>
      </c>
      <c r="J146" s="24">
        <v>12</v>
      </c>
      <c r="K146" s="65">
        <v>12</v>
      </c>
      <c r="L146" s="997"/>
      <c r="M146" s="855"/>
      <c r="N146" s="857"/>
      <c r="O146" s="57" t="s">
        <v>38</v>
      </c>
      <c r="P146" s="26">
        <v>0</v>
      </c>
      <c r="Q146" s="26">
        <v>0</v>
      </c>
      <c r="R146" s="26">
        <v>0</v>
      </c>
      <c r="S146" s="26">
        <v>0</v>
      </c>
      <c r="T146" s="26">
        <v>0</v>
      </c>
      <c r="U146" s="26">
        <v>0</v>
      </c>
      <c r="V146" s="26">
        <v>0</v>
      </c>
      <c r="W146" s="26"/>
      <c r="X146" s="26"/>
      <c r="Y146" s="26"/>
      <c r="Z146" s="26">
        <v>0</v>
      </c>
      <c r="AA146" s="26"/>
      <c r="AB146" s="26">
        <v>0</v>
      </c>
      <c r="AC146" s="26">
        <v>0</v>
      </c>
      <c r="AD146" s="26"/>
      <c r="AE146" s="26"/>
      <c r="AF146" s="26"/>
      <c r="AG146" s="26"/>
      <c r="AH146" s="26"/>
      <c r="AI146" s="26"/>
      <c r="AJ146" s="26">
        <v>0</v>
      </c>
      <c r="AK146" s="26">
        <v>0</v>
      </c>
      <c r="AL146" s="710">
        <f>154300000+52000000+3500000</f>
        <v>209800000</v>
      </c>
      <c r="AM146" s="14"/>
      <c r="AN146" s="26">
        <v>0</v>
      </c>
      <c r="AO146" s="27">
        <v>0</v>
      </c>
      <c r="AP146" s="27"/>
      <c r="AQ146" s="26">
        <f>P146+Q146+R146+S146+T146+U146+V146+W146+X146+Y146+Z146+AA146+AB146+AC146+AD146+AE146+AF146+AG146+AH146+AI146+AJ146+AK146+AL146+AM146+AN146+AP146+AO146</f>
        <v>209800000</v>
      </c>
    </row>
    <row r="147" spans="1:43" s="28" customFormat="1" ht="78.75" customHeight="1" x14ac:dyDescent="0.25">
      <c r="A147" s="20"/>
      <c r="B147" s="29"/>
      <c r="C147" s="875"/>
      <c r="D147" s="857"/>
      <c r="E147" s="860"/>
      <c r="F147" s="860"/>
      <c r="G147" s="29"/>
      <c r="H147" s="775">
        <v>228</v>
      </c>
      <c r="I147" s="774" t="s">
        <v>196</v>
      </c>
      <c r="J147" s="24">
        <v>2</v>
      </c>
      <c r="K147" s="65">
        <v>2</v>
      </c>
      <c r="L147" s="997"/>
      <c r="M147" s="855"/>
      <c r="N147" s="857"/>
      <c r="O147" s="57" t="s">
        <v>38</v>
      </c>
      <c r="P147" s="26">
        <v>0</v>
      </c>
      <c r="Q147" s="26">
        <v>0</v>
      </c>
      <c r="R147" s="26">
        <v>0</v>
      </c>
      <c r="S147" s="26">
        <v>0</v>
      </c>
      <c r="T147" s="26">
        <v>0</v>
      </c>
      <c r="U147" s="26">
        <v>0</v>
      </c>
      <c r="V147" s="26">
        <v>0</v>
      </c>
      <c r="W147" s="26"/>
      <c r="X147" s="26"/>
      <c r="Y147" s="26"/>
      <c r="Z147" s="26">
        <v>0</v>
      </c>
      <c r="AA147" s="26"/>
      <c r="AB147" s="26">
        <v>0</v>
      </c>
      <c r="AC147" s="26">
        <v>0</v>
      </c>
      <c r="AD147" s="26"/>
      <c r="AE147" s="26"/>
      <c r="AF147" s="26"/>
      <c r="AG147" s="26"/>
      <c r="AH147" s="26"/>
      <c r="AI147" s="26"/>
      <c r="AJ147" s="26">
        <v>0</v>
      </c>
      <c r="AK147" s="26">
        <v>0</v>
      </c>
      <c r="AL147" s="710">
        <v>25100000</v>
      </c>
      <c r="AM147" s="14"/>
      <c r="AN147" s="26">
        <v>0</v>
      </c>
      <c r="AO147" s="27">
        <v>0</v>
      </c>
      <c r="AP147" s="27"/>
      <c r="AQ147" s="26">
        <f>P147+Q147+R147+S147+T147+U147+V147+W147+X147+Y147+Z147+AA147+AB147+AC147+AD147+AE147+AF147+AG147+AH147+AI147+AJ147+AK147+AL147+AM147+AN147+AP147+AO147</f>
        <v>25100000</v>
      </c>
    </row>
    <row r="148" spans="1:43" s="28" customFormat="1" ht="74.25" customHeight="1" x14ac:dyDescent="0.25">
      <c r="A148" s="20"/>
      <c r="B148" s="29"/>
      <c r="C148" s="875"/>
      <c r="D148" s="857"/>
      <c r="E148" s="860"/>
      <c r="F148" s="860"/>
      <c r="G148" s="29"/>
      <c r="H148" s="775">
        <v>229</v>
      </c>
      <c r="I148" s="774" t="s">
        <v>197</v>
      </c>
      <c r="J148" s="66">
        <v>13</v>
      </c>
      <c r="K148" s="65">
        <v>13</v>
      </c>
      <c r="L148" s="997"/>
      <c r="M148" s="855"/>
      <c r="N148" s="857"/>
      <c r="O148" s="57" t="s">
        <v>38</v>
      </c>
      <c r="P148" s="26">
        <v>0</v>
      </c>
      <c r="Q148" s="26">
        <v>0</v>
      </c>
      <c r="R148" s="26">
        <v>0</v>
      </c>
      <c r="S148" s="26">
        <v>0</v>
      </c>
      <c r="T148" s="26">
        <v>0</v>
      </c>
      <c r="U148" s="26">
        <v>0</v>
      </c>
      <c r="V148" s="26">
        <v>0</v>
      </c>
      <c r="W148" s="26"/>
      <c r="X148" s="26"/>
      <c r="Y148" s="26"/>
      <c r="Z148" s="26">
        <v>0</v>
      </c>
      <c r="AA148" s="26"/>
      <c r="AB148" s="26">
        <v>0</v>
      </c>
      <c r="AC148" s="26">
        <v>0</v>
      </c>
      <c r="AD148" s="26"/>
      <c r="AE148" s="26"/>
      <c r="AF148" s="26"/>
      <c r="AG148" s="26"/>
      <c r="AH148" s="26"/>
      <c r="AI148" s="26"/>
      <c r="AJ148" s="26">
        <v>0</v>
      </c>
      <c r="AK148" s="26">
        <v>0</v>
      </c>
      <c r="AL148" s="710">
        <v>47350000</v>
      </c>
      <c r="AM148" s="14"/>
      <c r="AN148" s="26">
        <v>0</v>
      </c>
      <c r="AO148" s="27">
        <v>0</v>
      </c>
      <c r="AP148" s="27"/>
      <c r="AQ148" s="26">
        <f>P148+Q148+R148+S148+T148+U148+V148+W148+X148+Y148+Z148+AA148+AB148+AC148+AD148+AE148+AF148+AG148+AH148+AI148+AJ148+AK148+AL148+AM148+AN148+AP148+AO148</f>
        <v>47350000</v>
      </c>
    </row>
    <row r="149" spans="1:43" s="28" customFormat="1" ht="69" customHeight="1" thickBot="1" x14ac:dyDescent="0.3">
      <c r="A149" s="20"/>
      <c r="B149" s="29"/>
      <c r="C149" s="862"/>
      <c r="D149" s="850"/>
      <c r="E149" s="859"/>
      <c r="F149" s="859"/>
      <c r="G149" s="29"/>
      <c r="H149" s="775">
        <v>230</v>
      </c>
      <c r="I149" s="774" t="s">
        <v>198</v>
      </c>
      <c r="J149" s="24">
        <v>0</v>
      </c>
      <c r="K149" s="67">
        <v>1</v>
      </c>
      <c r="L149" s="998"/>
      <c r="M149" s="856"/>
      <c r="N149" s="850"/>
      <c r="O149" s="57" t="s">
        <v>38</v>
      </c>
      <c r="P149" s="26">
        <v>0</v>
      </c>
      <c r="Q149" s="26">
        <v>0</v>
      </c>
      <c r="R149" s="26">
        <v>0</v>
      </c>
      <c r="S149" s="26">
        <v>0</v>
      </c>
      <c r="T149" s="26">
        <v>0</v>
      </c>
      <c r="U149" s="26">
        <v>0</v>
      </c>
      <c r="V149" s="26">
        <v>0</v>
      </c>
      <c r="W149" s="26"/>
      <c r="X149" s="26"/>
      <c r="Y149" s="26"/>
      <c r="Z149" s="26">
        <v>0</v>
      </c>
      <c r="AA149" s="26"/>
      <c r="AB149" s="26">
        <v>0</v>
      </c>
      <c r="AC149" s="26">
        <v>0</v>
      </c>
      <c r="AD149" s="26"/>
      <c r="AE149" s="26"/>
      <c r="AF149" s="26"/>
      <c r="AG149" s="26"/>
      <c r="AH149" s="26"/>
      <c r="AI149" s="26"/>
      <c r="AJ149" s="26">
        <v>0</v>
      </c>
      <c r="AK149" s="26">
        <v>0</v>
      </c>
      <c r="AL149" s="710">
        <f>23039776+25000000+1600000</f>
        <v>49639776</v>
      </c>
      <c r="AM149" s="14"/>
      <c r="AN149" s="26">
        <v>0</v>
      </c>
      <c r="AO149" s="27">
        <v>0</v>
      </c>
      <c r="AP149" s="27"/>
      <c r="AQ149" s="26">
        <f>P149+Q149+R149+S149+T149+U149+V149+W149+X149+Y149+Z149+AA149+AB149+AC149+AD149+AE149+AF149+AG149+AH149+AI149+AJ149+AK149+AL149+AM149+AN149+AP149+AO149</f>
        <v>49639776</v>
      </c>
    </row>
    <row r="150" spans="1:43" ht="15" x14ac:dyDescent="0.25">
      <c r="A150" s="20"/>
      <c r="B150" s="29"/>
      <c r="C150" s="215"/>
      <c r="D150" s="153"/>
      <c r="E150" s="579"/>
      <c r="F150" s="579"/>
      <c r="G150" s="154"/>
      <c r="H150" s="155"/>
      <c r="I150" s="154"/>
      <c r="J150" s="156"/>
      <c r="K150" s="278"/>
      <c r="L150" s="278"/>
      <c r="M150" s="157"/>
      <c r="N150" s="154"/>
      <c r="O150" s="155"/>
      <c r="P150" s="158">
        <f t="shared" ref="P150:AK150" si="67">SUM(P145:P149)</f>
        <v>0</v>
      </c>
      <c r="Q150" s="158">
        <f t="shared" si="67"/>
        <v>0</v>
      </c>
      <c r="R150" s="158">
        <f t="shared" si="67"/>
        <v>0</v>
      </c>
      <c r="S150" s="158">
        <f t="shared" si="67"/>
        <v>0</v>
      </c>
      <c r="T150" s="158">
        <f t="shared" si="67"/>
        <v>0</v>
      </c>
      <c r="U150" s="158">
        <f t="shared" si="67"/>
        <v>0</v>
      </c>
      <c r="V150" s="158">
        <f t="shared" si="67"/>
        <v>0</v>
      </c>
      <c r="W150" s="158">
        <f t="shared" si="67"/>
        <v>0</v>
      </c>
      <c r="X150" s="158">
        <f t="shared" si="67"/>
        <v>0</v>
      </c>
      <c r="Y150" s="158">
        <f t="shared" si="67"/>
        <v>0</v>
      </c>
      <c r="Z150" s="158">
        <f t="shared" si="67"/>
        <v>0</v>
      </c>
      <c r="AA150" s="158">
        <f t="shared" si="67"/>
        <v>0</v>
      </c>
      <c r="AB150" s="158">
        <f t="shared" si="67"/>
        <v>0</v>
      </c>
      <c r="AC150" s="158">
        <f t="shared" si="67"/>
        <v>0</v>
      </c>
      <c r="AD150" s="158">
        <f t="shared" si="67"/>
        <v>0</v>
      </c>
      <c r="AE150" s="158">
        <f t="shared" si="67"/>
        <v>0</v>
      </c>
      <c r="AF150" s="158">
        <f t="shared" si="67"/>
        <v>0</v>
      </c>
      <c r="AG150" s="158">
        <f t="shared" si="67"/>
        <v>0</v>
      </c>
      <c r="AH150" s="158">
        <f t="shared" si="67"/>
        <v>0</v>
      </c>
      <c r="AI150" s="158">
        <f t="shared" si="67"/>
        <v>0</v>
      </c>
      <c r="AJ150" s="158">
        <f t="shared" si="67"/>
        <v>0</v>
      </c>
      <c r="AK150" s="158">
        <f t="shared" si="67"/>
        <v>0</v>
      </c>
      <c r="AL150" s="158">
        <f t="shared" ref="AL150:AP150" si="68">SUM(AL145:AL149)</f>
        <v>627189776</v>
      </c>
      <c r="AM150" s="158">
        <f t="shared" si="68"/>
        <v>0</v>
      </c>
      <c r="AN150" s="158">
        <f t="shared" si="68"/>
        <v>0</v>
      </c>
      <c r="AO150" s="158">
        <f t="shared" si="68"/>
        <v>0</v>
      </c>
      <c r="AP150" s="158">
        <f t="shared" si="68"/>
        <v>0</v>
      </c>
      <c r="AQ150" s="158">
        <f>SUM(AQ145:AQ149)</f>
        <v>627189776</v>
      </c>
    </row>
    <row r="151" spans="1:43" s="28" customFormat="1" ht="15" x14ac:dyDescent="0.25">
      <c r="A151" s="20"/>
      <c r="B151" s="29"/>
      <c r="C151" s="795"/>
      <c r="D151" s="177"/>
      <c r="E151" s="795"/>
      <c r="F151" s="795"/>
      <c r="G151" s="177"/>
      <c r="H151" s="795"/>
      <c r="I151" s="177"/>
      <c r="J151" s="178"/>
      <c r="K151" s="279"/>
      <c r="L151" s="280"/>
      <c r="M151" s="234"/>
      <c r="N151" s="223"/>
      <c r="O151" s="795"/>
      <c r="P151" s="180"/>
      <c r="Q151" s="180"/>
      <c r="R151" s="180"/>
      <c r="S151" s="180"/>
      <c r="T151" s="180"/>
      <c r="U151" s="180"/>
      <c r="V151" s="180"/>
      <c r="W151" s="180"/>
      <c r="X151" s="180"/>
      <c r="Y151" s="180"/>
      <c r="Z151" s="180"/>
      <c r="AA151" s="180"/>
      <c r="AB151" s="180"/>
      <c r="AC151" s="180"/>
      <c r="AD151" s="181"/>
      <c r="AE151" s="181"/>
      <c r="AF151" s="181"/>
      <c r="AG151" s="181"/>
      <c r="AH151" s="181"/>
      <c r="AI151" s="181"/>
      <c r="AJ151" s="180"/>
      <c r="AK151" s="180"/>
      <c r="AL151" s="282"/>
      <c r="AM151" s="281"/>
      <c r="AN151" s="180"/>
      <c r="AO151" s="180"/>
      <c r="AP151" s="180"/>
      <c r="AQ151" s="26"/>
    </row>
    <row r="152" spans="1:43" ht="15" x14ac:dyDescent="0.25">
      <c r="A152" s="20"/>
      <c r="B152" s="29"/>
      <c r="C152" s="215"/>
      <c r="D152" s="153"/>
      <c r="E152" s="579"/>
      <c r="F152" s="579"/>
      <c r="G152" s="258">
        <v>79</v>
      </c>
      <c r="H152" s="275" t="s">
        <v>199</v>
      </c>
      <c r="I152" s="189"/>
      <c r="J152" s="189"/>
      <c r="K152" s="189"/>
      <c r="L152" s="189"/>
      <c r="M152" s="659"/>
      <c r="N152" s="189"/>
      <c r="O152" s="189"/>
      <c r="P152" s="283"/>
      <c r="Q152" s="283"/>
      <c r="R152" s="283"/>
      <c r="S152" s="283"/>
      <c r="T152" s="283"/>
      <c r="U152" s="283"/>
      <c r="V152" s="283"/>
      <c r="W152" s="283"/>
      <c r="X152" s="283"/>
      <c r="Y152" s="283"/>
      <c r="Z152" s="283"/>
      <c r="AA152" s="283"/>
      <c r="AB152" s="283"/>
      <c r="AC152" s="283"/>
      <c r="AD152" s="283"/>
      <c r="AE152" s="283"/>
      <c r="AF152" s="283"/>
      <c r="AG152" s="283"/>
      <c r="AH152" s="283"/>
      <c r="AI152" s="283"/>
      <c r="AJ152" s="283"/>
      <c r="AK152" s="283"/>
      <c r="AL152" s="284"/>
      <c r="AM152" s="283"/>
      <c r="AN152" s="283"/>
      <c r="AO152" s="283"/>
      <c r="AP152" s="283"/>
      <c r="AQ152" s="521"/>
    </row>
    <row r="153" spans="1:43" s="28" customFormat="1" ht="71.25" x14ac:dyDescent="0.25">
      <c r="A153" s="20"/>
      <c r="B153" s="29"/>
      <c r="C153" s="861">
        <v>13</v>
      </c>
      <c r="D153" s="849" t="s">
        <v>188</v>
      </c>
      <c r="E153" s="858" t="s">
        <v>189</v>
      </c>
      <c r="F153" s="858" t="s">
        <v>190</v>
      </c>
      <c r="G153" s="23"/>
      <c r="H153" s="775">
        <v>231</v>
      </c>
      <c r="I153" s="774" t="s">
        <v>200</v>
      </c>
      <c r="J153" s="24">
        <v>1</v>
      </c>
      <c r="K153" s="24">
        <v>1</v>
      </c>
      <c r="L153" s="996" t="s">
        <v>192</v>
      </c>
      <c r="M153" s="854" t="s">
        <v>201</v>
      </c>
      <c r="N153" s="849" t="s">
        <v>202</v>
      </c>
      <c r="O153" s="775" t="s">
        <v>38</v>
      </c>
      <c r="P153" s="26">
        <v>0</v>
      </c>
      <c r="Q153" s="26">
        <v>0</v>
      </c>
      <c r="R153" s="26">
        <v>0</v>
      </c>
      <c r="S153" s="26">
        <v>0</v>
      </c>
      <c r="T153" s="26">
        <v>0</v>
      </c>
      <c r="U153" s="26">
        <v>0</v>
      </c>
      <c r="V153" s="26">
        <v>0</v>
      </c>
      <c r="W153" s="26"/>
      <c r="X153" s="26"/>
      <c r="Y153" s="26"/>
      <c r="Z153" s="26">
        <v>0</v>
      </c>
      <c r="AA153" s="26"/>
      <c r="AB153" s="26">
        <v>0</v>
      </c>
      <c r="AC153" s="26">
        <v>0</v>
      </c>
      <c r="AD153" s="26"/>
      <c r="AE153" s="26"/>
      <c r="AF153" s="26"/>
      <c r="AG153" s="26"/>
      <c r="AH153" s="26"/>
      <c r="AI153" s="26"/>
      <c r="AJ153" s="26">
        <v>0</v>
      </c>
      <c r="AK153" s="26">
        <v>0</v>
      </c>
      <c r="AL153" s="110">
        <v>3090000</v>
      </c>
      <c r="AM153" s="14"/>
      <c r="AN153" s="26">
        <v>0</v>
      </c>
      <c r="AO153" s="27">
        <v>0</v>
      </c>
      <c r="AP153" s="27"/>
      <c r="AQ153" s="26">
        <f>P153+Q153+R153+S153+T153+U153+V153+W153+X153+Y153+Z153+AA153+AB153+AC153+AD153+AE153+AF153+AG153+AH153+AI153+AJ153+AK153+AL153+AM153+AN153+AP153+AO153</f>
        <v>3090000</v>
      </c>
    </row>
    <row r="154" spans="1:43" s="28" customFormat="1" ht="71.25" x14ac:dyDescent="0.25">
      <c r="A154" s="20"/>
      <c r="B154" s="29"/>
      <c r="C154" s="875"/>
      <c r="D154" s="857"/>
      <c r="E154" s="860"/>
      <c r="F154" s="860"/>
      <c r="G154" s="29"/>
      <c r="H154" s="775">
        <v>232</v>
      </c>
      <c r="I154" s="774" t="s">
        <v>203</v>
      </c>
      <c r="J154" s="24">
        <v>12</v>
      </c>
      <c r="K154" s="24">
        <v>12</v>
      </c>
      <c r="L154" s="997"/>
      <c r="M154" s="855"/>
      <c r="N154" s="857"/>
      <c r="O154" s="775" t="s">
        <v>38</v>
      </c>
      <c r="P154" s="26">
        <v>0</v>
      </c>
      <c r="Q154" s="26">
        <v>0</v>
      </c>
      <c r="R154" s="26">
        <v>0</v>
      </c>
      <c r="S154" s="26">
        <v>0</v>
      </c>
      <c r="T154" s="26">
        <v>0</v>
      </c>
      <c r="U154" s="26">
        <v>0</v>
      </c>
      <c r="V154" s="26">
        <v>0</v>
      </c>
      <c r="W154" s="26"/>
      <c r="X154" s="26"/>
      <c r="Y154" s="26"/>
      <c r="Z154" s="26">
        <v>0</v>
      </c>
      <c r="AA154" s="26"/>
      <c r="AB154" s="26">
        <v>0</v>
      </c>
      <c r="AC154" s="26">
        <v>0</v>
      </c>
      <c r="AD154" s="26"/>
      <c r="AE154" s="26"/>
      <c r="AF154" s="26"/>
      <c r="AG154" s="26"/>
      <c r="AH154" s="26"/>
      <c r="AI154" s="26"/>
      <c r="AJ154" s="26">
        <v>0</v>
      </c>
      <c r="AK154" s="26">
        <v>0</v>
      </c>
      <c r="AL154" s="110">
        <v>18952000</v>
      </c>
      <c r="AM154" s="14"/>
      <c r="AN154" s="26">
        <v>0</v>
      </c>
      <c r="AO154" s="27">
        <v>0</v>
      </c>
      <c r="AP154" s="27"/>
      <c r="AQ154" s="26">
        <f>P154+Q154+R154+S154+T154+U154+V154+W154+X154+Y154+Z154+AA154+AB154+AC154+AD154+AE154+AF154+AG154+AH154+AI154+AJ154+AK154+AL154+AM154+AN154+AP154+AO154</f>
        <v>18952000</v>
      </c>
    </row>
    <row r="155" spans="1:43" s="28" customFormat="1" ht="43.5" customHeight="1" x14ac:dyDescent="0.25">
      <c r="A155" s="20"/>
      <c r="B155" s="29"/>
      <c r="C155" s="862"/>
      <c r="D155" s="850"/>
      <c r="E155" s="859"/>
      <c r="F155" s="859"/>
      <c r="G155" s="29"/>
      <c r="H155" s="775">
        <v>233</v>
      </c>
      <c r="I155" s="774" t="s">
        <v>204</v>
      </c>
      <c r="J155" s="24">
        <v>1</v>
      </c>
      <c r="K155" s="24">
        <v>1</v>
      </c>
      <c r="L155" s="998"/>
      <c r="M155" s="856"/>
      <c r="N155" s="850"/>
      <c r="O155" s="775" t="s">
        <v>38</v>
      </c>
      <c r="P155" s="26">
        <v>0</v>
      </c>
      <c r="Q155" s="26">
        <v>0</v>
      </c>
      <c r="R155" s="26">
        <v>0</v>
      </c>
      <c r="S155" s="26">
        <v>0</v>
      </c>
      <c r="T155" s="26">
        <v>0</v>
      </c>
      <c r="U155" s="26">
        <v>0</v>
      </c>
      <c r="V155" s="26">
        <v>0</v>
      </c>
      <c r="W155" s="26"/>
      <c r="X155" s="26"/>
      <c r="Y155" s="26"/>
      <c r="Z155" s="26">
        <v>0</v>
      </c>
      <c r="AA155" s="26"/>
      <c r="AB155" s="26">
        <v>0</v>
      </c>
      <c r="AC155" s="26">
        <v>0</v>
      </c>
      <c r="AD155" s="26"/>
      <c r="AE155" s="26"/>
      <c r="AF155" s="26"/>
      <c r="AG155" s="26"/>
      <c r="AH155" s="26"/>
      <c r="AI155" s="26"/>
      <c r="AJ155" s="26">
        <v>0</v>
      </c>
      <c r="AK155" s="26">
        <v>0</v>
      </c>
      <c r="AL155" s="110">
        <v>15038000</v>
      </c>
      <c r="AM155" s="14"/>
      <c r="AN155" s="26">
        <v>0</v>
      </c>
      <c r="AO155" s="27">
        <v>0</v>
      </c>
      <c r="AP155" s="27"/>
      <c r="AQ155" s="26">
        <f>P155+Q155+R155+S155+T155+U155+V155+W155+X155+Y155+Z155+AA155+AB155+AC155+AD155+AE155+AF155+AG155+AH155+AI155+AJ155+AK155+AL155+AM155+AN155+AP155+AO155</f>
        <v>15038000</v>
      </c>
    </row>
    <row r="156" spans="1:43" ht="15" x14ac:dyDescent="0.25">
      <c r="A156" s="20"/>
      <c r="B156" s="29"/>
      <c r="C156" s="215"/>
      <c r="D156" s="153"/>
      <c r="E156" s="579"/>
      <c r="F156" s="579"/>
      <c r="G156" s="154"/>
      <c r="H156" s="155"/>
      <c r="I156" s="154"/>
      <c r="J156" s="156"/>
      <c r="K156" s="156"/>
      <c r="L156" s="156"/>
      <c r="M156" s="157"/>
      <c r="N156" s="154"/>
      <c r="O156" s="155"/>
      <c r="P156" s="158">
        <f t="shared" ref="P156:AK156" si="69">SUM(P153:P155)</f>
        <v>0</v>
      </c>
      <c r="Q156" s="158">
        <f t="shared" si="69"/>
        <v>0</v>
      </c>
      <c r="R156" s="158">
        <f t="shared" si="69"/>
        <v>0</v>
      </c>
      <c r="S156" s="158">
        <f t="shared" si="69"/>
        <v>0</v>
      </c>
      <c r="T156" s="158">
        <f t="shared" si="69"/>
        <v>0</v>
      </c>
      <c r="U156" s="158">
        <f t="shared" si="69"/>
        <v>0</v>
      </c>
      <c r="V156" s="158">
        <f t="shared" si="69"/>
        <v>0</v>
      </c>
      <c r="W156" s="158">
        <f t="shared" si="69"/>
        <v>0</v>
      </c>
      <c r="X156" s="158">
        <f t="shared" si="69"/>
        <v>0</v>
      </c>
      <c r="Y156" s="158">
        <f t="shared" si="69"/>
        <v>0</v>
      </c>
      <c r="Z156" s="158">
        <f t="shared" si="69"/>
        <v>0</v>
      </c>
      <c r="AA156" s="158">
        <f t="shared" si="69"/>
        <v>0</v>
      </c>
      <c r="AB156" s="158">
        <f t="shared" si="69"/>
        <v>0</v>
      </c>
      <c r="AC156" s="158">
        <f t="shared" si="69"/>
        <v>0</v>
      </c>
      <c r="AD156" s="158">
        <f t="shared" si="69"/>
        <v>0</v>
      </c>
      <c r="AE156" s="158">
        <f t="shared" si="69"/>
        <v>0</v>
      </c>
      <c r="AF156" s="158">
        <f t="shared" si="69"/>
        <v>0</v>
      </c>
      <c r="AG156" s="158">
        <f t="shared" si="69"/>
        <v>0</v>
      </c>
      <c r="AH156" s="158">
        <f t="shared" si="69"/>
        <v>0</v>
      </c>
      <c r="AI156" s="158">
        <f t="shared" si="69"/>
        <v>0</v>
      </c>
      <c r="AJ156" s="158">
        <f t="shared" si="69"/>
        <v>0</v>
      </c>
      <c r="AK156" s="158">
        <f t="shared" si="69"/>
        <v>0</v>
      </c>
      <c r="AL156" s="158">
        <f t="shared" ref="AL156:AP156" si="70">SUM(AL153:AL155)</f>
        <v>37080000</v>
      </c>
      <c r="AM156" s="158">
        <f t="shared" si="70"/>
        <v>0</v>
      </c>
      <c r="AN156" s="158">
        <f t="shared" si="70"/>
        <v>0</v>
      </c>
      <c r="AO156" s="158">
        <f t="shared" si="70"/>
        <v>0</v>
      </c>
      <c r="AP156" s="158">
        <f t="shared" si="70"/>
        <v>0</v>
      </c>
      <c r="AQ156" s="158">
        <f>SUM(AQ153:AQ155)</f>
        <v>37080000</v>
      </c>
    </row>
    <row r="157" spans="1:43" s="28" customFormat="1" ht="15" x14ac:dyDescent="0.25">
      <c r="A157" s="20"/>
      <c r="B157" s="29"/>
      <c r="C157" s="795"/>
      <c r="D157" s="177"/>
      <c r="E157" s="795"/>
      <c r="F157" s="795"/>
      <c r="G157" s="177"/>
      <c r="H157" s="795"/>
      <c r="I157" s="177"/>
      <c r="J157" s="178"/>
      <c r="K157" s="178"/>
      <c r="L157" s="233"/>
      <c r="M157" s="234"/>
      <c r="N157" s="223"/>
      <c r="O157" s="795"/>
      <c r="P157" s="180"/>
      <c r="Q157" s="180"/>
      <c r="R157" s="180"/>
      <c r="S157" s="180"/>
      <c r="T157" s="180"/>
      <c r="U157" s="180"/>
      <c r="V157" s="180"/>
      <c r="W157" s="180"/>
      <c r="X157" s="180"/>
      <c r="Y157" s="180"/>
      <c r="Z157" s="180"/>
      <c r="AA157" s="180"/>
      <c r="AB157" s="180"/>
      <c r="AC157" s="180"/>
      <c r="AD157" s="181"/>
      <c r="AE157" s="181"/>
      <c r="AF157" s="181"/>
      <c r="AG157" s="181"/>
      <c r="AH157" s="181"/>
      <c r="AI157" s="181"/>
      <c r="AJ157" s="180"/>
      <c r="AK157" s="180"/>
      <c r="AL157" s="282"/>
      <c r="AM157" s="285"/>
      <c r="AN157" s="180"/>
      <c r="AO157" s="180"/>
      <c r="AP157" s="180"/>
      <c r="AQ157" s="26"/>
    </row>
    <row r="158" spans="1:43" ht="15" x14ac:dyDescent="0.25">
      <c r="A158" s="20"/>
      <c r="B158" s="29"/>
      <c r="C158" s="215"/>
      <c r="D158" s="153"/>
      <c r="E158" s="579"/>
      <c r="F158" s="579"/>
      <c r="G158" s="258">
        <v>80</v>
      </c>
      <c r="H158" s="275" t="s">
        <v>205</v>
      </c>
      <c r="I158" s="189"/>
      <c r="J158" s="189"/>
      <c r="K158" s="189"/>
      <c r="L158" s="189"/>
      <c r="M158" s="659"/>
      <c r="N158" s="189"/>
      <c r="O158" s="189"/>
      <c r="P158" s="189"/>
      <c r="Q158" s="189"/>
      <c r="R158" s="189"/>
      <c r="S158" s="189"/>
      <c r="T158" s="189"/>
      <c r="U158" s="189"/>
      <c r="V158" s="189"/>
      <c r="W158" s="189"/>
      <c r="X158" s="189"/>
      <c r="Y158" s="189"/>
      <c r="Z158" s="189"/>
      <c r="AA158" s="189"/>
      <c r="AB158" s="189"/>
      <c r="AC158" s="189"/>
      <c r="AD158" s="189"/>
      <c r="AE158" s="189"/>
      <c r="AF158" s="189"/>
      <c r="AG158" s="189"/>
      <c r="AH158" s="189"/>
      <c r="AI158" s="189"/>
      <c r="AJ158" s="189"/>
      <c r="AK158" s="189"/>
      <c r="AL158" s="190"/>
      <c r="AM158" s="189"/>
      <c r="AN158" s="189"/>
      <c r="AO158" s="189"/>
      <c r="AP158" s="189"/>
      <c r="AQ158" s="521"/>
    </row>
    <row r="159" spans="1:43" s="28" customFormat="1" ht="99.75" x14ac:dyDescent="0.25">
      <c r="A159" s="20"/>
      <c r="B159" s="29"/>
      <c r="C159" s="861">
        <v>13</v>
      </c>
      <c r="D159" s="849" t="s">
        <v>188</v>
      </c>
      <c r="E159" s="858">
        <v>71.040000000000006</v>
      </c>
      <c r="F159" s="858">
        <v>88.17</v>
      </c>
      <c r="G159" s="23"/>
      <c r="H159" s="775">
        <v>234</v>
      </c>
      <c r="I159" s="774" t="s">
        <v>206</v>
      </c>
      <c r="J159" s="24" t="s">
        <v>30</v>
      </c>
      <c r="K159" s="68">
        <v>7</v>
      </c>
      <c r="L159" s="996" t="s">
        <v>192</v>
      </c>
      <c r="M159" s="854" t="s">
        <v>207</v>
      </c>
      <c r="N159" s="849" t="s">
        <v>208</v>
      </c>
      <c r="O159" s="775" t="s">
        <v>34</v>
      </c>
      <c r="P159" s="26">
        <v>0</v>
      </c>
      <c r="Q159" s="26">
        <v>0</v>
      </c>
      <c r="R159" s="26">
        <v>0</v>
      </c>
      <c r="S159" s="26">
        <v>0</v>
      </c>
      <c r="T159" s="26">
        <v>0</v>
      </c>
      <c r="U159" s="26">
        <v>0</v>
      </c>
      <c r="V159" s="26">
        <v>0</v>
      </c>
      <c r="W159" s="26"/>
      <c r="X159" s="26"/>
      <c r="Y159" s="26"/>
      <c r="Z159" s="26">
        <v>0</v>
      </c>
      <c r="AA159" s="26"/>
      <c r="AB159" s="26">
        <v>0</v>
      </c>
      <c r="AC159" s="26">
        <v>0</v>
      </c>
      <c r="AD159" s="26"/>
      <c r="AE159" s="26"/>
      <c r="AF159" s="26"/>
      <c r="AG159" s="26"/>
      <c r="AH159" s="26"/>
      <c r="AI159" s="26"/>
      <c r="AJ159" s="26">
        <v>0</v>
      </c>
      <c r="AK159" s="26">
        <v>0</v>
      </c>
      <c r="AL159" s="110">
        <v>13390000</v>
      </c>
      <c r="AM159" s="14"/>
      <c r="AN159" s="26">
        <v>0</v>
      </c>
      <c r="AO159" s="27">
        <v>0</v>
      </c>
      <c r="AP159" s="27"/>
      <c r="AQ159" s="26">
        <f>P159+Q159+R159+S159+T159+U159+V159+W159+X159+Y159+Z159+AA159+AB159+AC159+AD159+AE159+AF159+AG159+AH159+AI159+AJ159+AK159+AL159+AM159+AN159+AP159+AO159</f>
        <v>13390000</v>
      </c>
    </row>
    <row r="160" spans="1:43" s="28" customFormat="1" ht="87.75" customHeight="1" x14ac:dyDescent="0.25">
      <c r="A160" s="20"/>
      <c r="B160" s="29"/>
      <c r="C160" s="862"/>
      <c r="D160" s="850"/>
      <c r="E160" s="859"/>
      <c r="F160" s="859"/>
      <c r="G160" s="29"/>
      <c r="H160" s="775">
        <v>235</v>
      </c>
      <c r="I160" s="774" t="s">
        <v>209</v>
      </c>
      <c r="J160" s="24" t="s">
        <v>30</v>
      </c>
      <c r="K160" s="69">
        <v>7</v>
      </c>
      <c r="L160" s="998"/>
      <c r="M160" s="856"/>
      <c r="N160" s="850"/>
      <c r="O160" s="775" t="s">
        <v>34</v>
      </c>
      <c r="P160" s="26">
        <v>0</v>
      </c>
      <c r="Q160" s="26">
        <v>0</v>
      </c>
      <c r="R160" s="26">
        <v>0</v>
      </c>
      <c r="S160" s="26">
        <v>0</v>
      </c>
      <c r="T160" s="26">
        <v>0</v>
      </c>
      <c r="U160" s="26">
        <v>0</v>
      </c>
      <c r="V160" s="26">
        <v>0</v>
      </c>
      <c r="W160" s="26"/>
      <c r="X160" s="26"/>
      <c r="Y160" s="26"/>
      <c r="Z160" s="26">
        <v>0</v>
      </c>
      <c r="AA160" s="26"/>
      <c r="AB160" s="26">
        <v>0</v>
      </c>
      <c r="AC160" s="26">
        <v>0</v>
      </c>
      <c r="AD160" s="26"/>
      <c r="AE160" s="26"/>
      <c r="AF160" s="26"/>
      <c r="AG160" s="26"/>
      <c r="AH160" s="26"/>
      <c r="AI160" s="26"/>
      <c r="AJ160" s="26">
        <v>0</v>
      </c>
      <c r="AK160" s="26">
        <v>0</v>
      </c>
      <c r="AL160" s="110">
        <v>23690000</v>
      </c>
      <c r="AM160" s="14"/>
      <c r="AN160" s="26">
        <v>0</v>
      </c>
      <c r="AO160" s="27">
        <v>0</v>
      </c>
      <c r="AP160" s="27"/>
      <c r="AQ160" s="26">
        <f>P160+Q160+R160+S160+T160+U160+V160+W160+X160+Y160+Z160+AA160+AB160+AC160+AD160+AE160+AF160+AG160+AH160+AI160+AJ160+AK160+AL160+AM160+AN160+AP160+AO160</f>
        <v>23690000</v>
      </c>
    </row>
    <row r="161" spans="1:43" ht="15" x14ac:dyDescent="0.25">
      <c r="A161" s="20"/>
      <c r="B161" s="30"/>
      <c r="C161" s="215"/>
      <c r="D161" s="153"/>
      <c r="E161" s="579"/>
      <c r="F161" s="579"/>
      <c r="G161" s="154"/>
      <c r="H161" s="155"/>
      <c r="I161" s="154"/>
      <c r="J161" s="156"/>
      <c r="K161" s="156"/>
      <c r="L161" s="156"/>
      <c r="M161" s="157"/>
      <c r="N161" s="154"/>
      <c r="O161" s="155"/>
      <c r="P161" s="158">
        <f t="shared" ref="P161:AK161" si="71">SUM(P159:P160)</f>
        <v>0</v>
      </c>
      <c r="Q161" s="158">
        <f t="shared" si="71"/>
        <v>0</v>
      </c>
      <c r="R161" s="158">
        <f t="shared" si="71"/>
        <v>0</v>
      </c>
      <c r="S161" s="158">
        <f t="shared" si="71"/>
        <v>0</v>
      </c>
      <c r="T161" s="158">
        <f t="shared" si="71"/>
        <v>0</v>
      </c>
      <c r="U161" s="158">
        <f t="shared" si="71"/>
        <v>0</v>
      </c>
      <c r="V161" s="158">
        <f t="shared" si="71"/>
        <v>0</v>
      </c>
      <c r="W161" s="158">
        <f t="shared" si="71"/>
        <v>0</v>
      </c>
      <c r="X161" s="158">
        <f t="shared" si="71"/>
        <v>0</v>
      </c>
      <c r="Y161" s="158">
        <f t="shared" si="71"/>
        <v>0</v>
      </c>
      <c r="Z161" s="158">
        <f t="shared" si="71"/>
        <v>0</v>
      </c>
      <c r="AA161" s="158">
        <f t="shared" si="71"/>
        <v>0</v>
      </c>
      <c r="AB161" s="158">
        <f t="shared" si="71"/>
        <v>0</v>
      </c>
      <c r="AC161" s="158">
        <f t="shared" si="71"/>
        <v>0</v>
      </c>
      <c r="AD161" s="158">
        <f t="shared" si="71"/>
        <v>0</v>
      </c>
      <c r="AE161" s="158">
        <f t="shared" si="71"/>
        <v>0</v>
      </c>
      <c r="AF161" s="158">
        <f t="shared" si="71"/>
        <v>0</v>
      </c>
      <c r="AG161" s="158">
        <f t="shared" si="71"/>
        <v>0</v>
      </c>
      <c r="AH161" s="158">
        <f t="shared" si="71"/>
        <v>0</v>
      </c>
      <c r="AI161" s="158">
        <f t="shared" si="71"/>
        <v>0</v>
      </c>
      <c r="AJ161" s="158">
        <f t="shared" si="71"/>
        <v>0</v>
      </c>
      <c r="AK161" s="158">
        <f t="shared" si="71"/>
        <v>0</v>
      </c>
      <c r="AL161" s="158">
        <f t="shared" ref="AL161:AP161" si="72">SUM(AL159:AL160)</f>
        <v>37080000</v>
      </c>
      <c r="AM161" s="158">
        <f t="shared" si="72"/>
        <v>0</v>
      </c>
      <c r="AN161" s="158">
        <f t="shared" si="72"/>
        <v>0</v>
      </c>
      <c r="AO161" s="158">
        <f t="shared" si="72"/>
        <v>0</v>
      </c>
      <c r="AP161" s="158">
        <f t="shared" si="72"/>
        <v>0</v>
      </c>
      <c r="AQ161" s="158">
        <f>SUM(AQ159:AQ160)</f>
        <v>37080000</v>
      </c>
    </row>
    <row r="162" spans="1:43" ht="15" x14ac:dyDescent="0.25">
      <c r="A162" s="20"/>
      <c r="B162" s="161"/>
      <c r="C162" s="220"/>
      <c r="D162" s="161"/>
      <c r="E162" s="162"/>
      <c r="F162" s="162"/>
      <c r="G162" s="161"/>
      <c r="H162" s="162"/>
      <c r="I162" s="161"/>
      <c r="J162" s="163"/>
      <c r="K162" s="163"/>
      <c r="L162" s="163"/>
      <c r="M162" s="164"/>
      <c r="N162" s="161"/>
      <c r="O162" s="162"/>
      <c r="P162" s="165">
        <f t="shared" ref="P162:AK162" si="73">P161+P156+P150</f>
        <v>0</v>
      </c>
      <c r="Q162" s="165">
        <f t="shared" si="73"/>
        <v>0</v>
      </c>
      <c r="R162" s="165">
        <f t="shared" si="73"/>
        <v>0</v>
      </c>
      <c r="S162" s="165">
        <f t="shared" si="73"/>
        <v>0</v>
      </c>
      <c r="T162" s="165">
        <f t="shared" si="73"/>
        <v>0</v>
      </c>
      <c r="U162" s="165">
        <f t="shared" si="73"/>
        <v>0</v>
      </c>
      <c r="V162" s="165">
        <f t="shared" si="73"/>
        <v>0</v>
      </c>
      <c r="W162" s="165">
        <f t="shared" si="73"/>
        <v>0</v>
      </c>
      <c r="X162" s="165">
        <f t="shared" si="73"/>
        <v>0</v>
      </c>
      <c r="Y162" s="165">
        <f t="shared" si="73"/>
        <v>0</v>
      </c>
      <c r="Z162" s="165">
        <f t="shared" si="73"/>
        <v>0</v>
      </c>
      <c r="AA162" s="165">
        <f t="shared" si="73"/>
        <v>0</v>
      </c>
      <c r="AB162" s="165">
        <f t="shared" si="73"/>
        <v>0</v>
      </c>
      <c r="AC162" s="165">
        <f t="shared" si="73"/>
        <v>0</v>
      </c>
      <c r="AD162" s="165">
        <f t="shared" si="73"/>
        <v>0</v>
      </c>
      <c r="AE162" s="165">
        <f t="shared" si="73"/>
        <v>0</v>
      </c>
      <c r="AF162" s="165">
        <f t="shared" si="73"/>
        <v>0</v>
      </c>
      <c r="AG162" s="165">
        <f t="shared" si="73"/>
        <v>0</v>
      </c>
      <c r="AH162" s="165">
        <f t="shared" si="73"/>
        <v>0</v>
      </c>
      <c r="AI162" s="165">
        <f t="shared" si="73"/>
        <v>0</v>
      </c>
      <c r="AJ162" s="165">
        <f t="shared" si="73"/>
        <v>0</v>
      </c>
      <c r="AK162" s="165">
        <f t="shared" si="73"/>
        <v>0</v>
      </c>
      <c r="AL162" s="165">
        <f t="shared" ref="AL162:AP162" si="74">AL161+AL156+AL150</f>
        <v>701349776</v>
      </c>
      <c r="AM162" s="165">
        <f t="shared" si="74"/>
        <v>0</v>
      </c>
      <c r="AN162" s="165">
        <f t="shared" si="74"/>
        <v>0</v>
      </c>
      <c r="AO162" s="165">
        <f t="shared" si="74"/>
        <v>0</v>
      </c>
      <c r="AP162" s="165">
        <f t="shared" si="74"/>
        <v>0</v>
      </c>
      <c r="AQ162" s="165">
        <f>AQ161+AQ156+AQ150</f>
        <v>701349776</v>
      </c>
    </row>
    <row r="163" spans="1:43" s="28" customFormat="1" ht="15" x14ac:dyDescent="0.25">
      <c r="A163" s="20"/>
      <c r="B163" s="774"/>
      <c r="C163" s="795"/>
      <c r="D163" s="177"/>
      <c r="E163" s="795"/>
      <c r="F163" s="795"/>
      <c r="G163" s="177"/>
      <c r="H163" s="795"/>
      <c r="I163" s="177"/>
      <c r="J163" s="178"/>
      <c r="K163" s="178"/>
      <c r="L163" s="233"/>
      <c r="M163" s="234"/>
      <c r="N163" s="223"/>
      <c r="O163" s="795"/>
      <c r="P163" s="180"/>
      <c r="Q163" s="180"/>
      <c r="R163" s="180"/>
      <c r="S163" s="180"/>
      <c r="T163" s="180"/>
      <c r="U163" s="180"/>
      <c r="V163" s="180"/>
      <c r="W163" s="180"/>
      <c r="X163" s="180"/>
      <c r="Y163" s="180"/>
      <c r="Z163" s="180"/>
      <c r="AA163" s="180"/>
      <c r="AB163" s="180"/>
      <c r="AC163" s="180"/>
      <c r="AD163" s="181"/>
      <c r="AE163" s="181"/>
      <c r="AF163" s="181"/>
      <c r="AG163" s="181"/>
      <c r="AH163" s="181"/>
      <c r="AI163" s="181"/>
      <c r="AJ163" s="180"/>
      <c r="AK163" s="180"/>
      <c r="AL163" s="282"/>
      <c r="AM163" s="281"/>
      <c r="AN163" s="180"/>
      <c r="AO163" s="180"/>
      <c r="AP163" s="180"/>
      <c r="AQ163" s="26"/>
    </row>
    <row r="164" spans="1:43" ht="15" x14ac:dyDescent="0.25">
      <c r="A164" s="20"/>
      <c r="B164" s="266">
        <v>25</v>
      </c>
      <c r="C164" s="838" t="s">
        <v>210</v>
      </c>
      <c r="D164" s="146"/>
      <c r="E164" s="146"/>
      <c r="F164" s="287"/>
      <c r="G164" s="287"/>
      <c r="H164" s="286"/>
      <c r="I164" s="287"/>
      <c r="J164" s="287"/>
      <c r="K164" s="287"/>
      <c r="L164" s="287"/>
      <c r="M164" s="660"/>
      <c r="N164" s="287"/>
      <c r="O164" s="287"/>
      <c r="P164" s="287"/>
      <c r="Q164" s="287"/>
      <c r="R164" s="287"/>
      <c r="S164" s="287"/>
      <c r="T164" s="287"/>
      <c r="U164" s="287"/>
      <c r="V164" s="287"/>
      <c r="W164" s="287"/>
      <c r="X164" s="287"/>
      <c r="Y164" s="287"/>
      <c r="Z164" s="287"/>
      <c r="AA164" s="287"/>
      <c r="AB164" s="287"/>
      <c r="AC164" s="287"/>
      <c r="AD164" s="287"/>
      <c r="AE164" s="287"/>
      <c r="AF164" s="287"/>
      <c r="AG164" s="287"/>
      <c r="AH164" s="287"/>
      <c r="AI164" s="287"/>
      <c r="AJ164" s="287"/>
      <c r="AK164" s="287"/>
      <c r="AL164" s="288"/>
      <c r="AM164" s="287"/>
      <c r="AN164" s="287"/>
      <c r="AO164" s="287"/>
      <c r="AP164" s="287"/>
      <c r="AQ164" s="524"/>
    </row>
    <row r="165" spans="1:43" ht="15" x14ac:dyDescent="0.25">
      <c r="A165" s="20"/>
      <c r="B165" s="185"/>
      <c r="C165" s="289"/>
      <c r="D165" s="290"/>
      <c r="E165" s="290"/>
      <c r="F165" s="290"/>
      <c r="G165" s="188">
        <v>81</v>
      </c>
      <c r="H165" s="189" t="s">
        <v>211</v>
      </c>
      <c r="I165" s="189"/>
      <c r="J165" s="189"/>
      <c r="K165" s="189"/>
      <c r="L165" s="189"/>
      <c r="M165" s="659"/>
      <c r="N165" s="189"/>
      <c r="O165" s="189"/>
      <c r="P165" s="189"/>
      <c r="Q165" s="189"/>
      <c r="R165" s="189"/>
      <c r="S165" s="189"/>
      <c r="T165" s="189"/>
      <c r="U165" s="189"/>
      <c r="V165" s="189"/>
      <c r="W165" s="189"/>
      <c r="X165" s="189"/>
      <c r="Y165" s="189"/>
      <c r="Z165" s="189"/>
      <c r="AA165" s="189"/>
      <c r="AB165" s="189"/>
      <c r="AC165" s="189"/>
      <c r="AD165" s="189"/>
      <c r="AE165" s="189"/>
      <c r="AF165" s="189"/>
      <c r="AG165" s="189"/>
      <c r="AH165" s="189"/>
      <c r="AI165" s="189"/>
      <c r="AJ165" s="189"/>
      <c r="AK165" s="189"/>
      <c r="AL165" s="190"/>
      <c r="AM165" s="189"/>
      <c r="AN165" s="189"/>
      <c r="AO165" s="189"/>
      <c r="AP165" s="189"/>
      <c r="AQ165" s="521"/>
    </row>
    <row r="166" spans="1:43" s="28" customFormat="1" ht="57" x14ac:dyDescent="0.25">
      <c r="A166" s="20"/>
      <c r="B166" s="20"/>
      <c r="C166" s="861">
        <v>13</v>
      </c>
      <c r="D166" s="849" t="s">
        <v>188</v>
      </c>
      <c r="E166" s="858" t="s">
        <v>189</v>
      </c>
      <c r="F166" s="858" t="s">
        <v>190</v>
      </c>
      <c r="G166" s="23"/>
      <c r="H166" s="775">
        <v>236</v>
      </c>
      <c r="I166" s="774" t="s">
        <v>212</v>
      </c>
      <c r="J166" s="24">
        <v>1</v>
      </c>
      <c r="K166" s="65">
        <v>7</v>
      </c>
      <c r="L166" s="996" t="s">
        <v>213</v>
      </c>
      <c r="M166" s="854" t="s">
        <v>214</v>
      </c>
      <c r="N166" s="849" t="s">
        <v>215</v>
      </c>
      <c r="O166" s="775" t="s">
        <v>34</v>
      </c>
      <c r="P166" s="26">
        <v>0</v>
      </c>
      <c r="Q166" s="26">
        <v>0</v>
      </c>
      <c r="R166" s="26">
        <v>0</v>
      </c>
      <c r="S166" s="26">
        <v>0</v>
      </c>
      <c r="T166" s="26">
        <v>0</v>
      </c>
      <c r="U166" s="26">
        <v>0</v>
      </c>
      <c r="V166" s="26">
        <v>0</v>
      </c>
      <c r="W166" s="26"/>
      <c r="X166" s="26"/>
      <c r="Y166" s="26"/>
      <c r="Z166" s="26">
        <v>0</v>
      </c>
      <c r="AA166" s="26"/>
      <c r="AB166" s="26">
        <v>0</v>
      </c>
      <c r="AC166" s="26">
        <v>0</v>
      </c>
      <c r="AD166" s="26"/>
      <c r="AE166" s="26"/>
      <c r="AF166" s="26"/>
      <c r="AG166" s="26"/>
      <c r="AH166" s="26"/>
      <c r="AI166" s="26"/>
      <c r="AJ166" s="26">
        <v>0</v>
      </c>
      <c r="AK166" s="26">
        <v>0</v>
      </c>
      <c r="AL166" s="112">
        <v>57499999.999999993</v>
      </c>
      <c r="AM166" s="10"/>
      <c r="AN166" s="26">
        <v>0</v>
      </c>
      <c r="AO166" s="27">
        <v>0</v>
      </c>
      <c r="AP166" s="27"/>
      <c r="AQ166" s="26">
        <f>P166+Q166+R166+S166+T166+U166+V166+W166+X166+Y166+Z166+AA166+AB166+AC166+AD166+AE166+AF166+AG166+AH166+AI166+AJ166+AK166+AL166+AM166+AN166+AP166+AO166</f>
        <v>57499999.999999993</v>
      </c>
    </row>
    <row r="167" spans="1:43" s="28" customFormat="1" ht="71.25" x14ac:dyDescent="0.25">
      <c r="A167" s="20"/>
      <c r="B167" s="20"/>
      <c r="C167" s="875"/>
      <c r="D167" s="857"/>
      <c r="E167" s="860"/>
      <c r="F167" s="860"/>
      <c r="G167" s="29"/>
      <c r="H167" s="775">
        <v>237</v>
      </c>
      <c r="I167" s="774" t="s">
        <v>216</v>
      </c>
      <c r="J167" s="24" t="s">
        <v>30</v>
      </c>
      <c r="K167" s="65">
        <v>89</v>
      </c>
      <c r="L167" s="997"/>
      <c r="M167" s="855"/>
      <c r="N167" s="857"/>
      <c r="O167" s="775" t="s">
        <v>34</v>
      </c>
      <c r="P167" s="26">
        <v>0</v>
      </c>
      <c r="Q167" s="26">
        <v>0</v>
      </c>
      <c r="R167" s="26">
        <v>0</v>
      </c>
      <c r="S167" s="26">
        <v>0</v>
      </c>
      <c r="T167" s="26">
        <v>0</v>
      </c>
      <c r="U167" s="26">
        <v>0</v>
      </c>
      <c r="V167" s="26">
        <v>0</v>
      </c>
      <c r="W167" s="26"/>
      <c r="X167" s="26"/>
      <c r="Y167" s="26"/>
      <c r="Z167" s="26">
        <v>0</v>
      </c>
      <c r="AA167" s="26"/>
      <c r="AB167" s="26">
        <v>0</v>
      </c>
      <c r="AC167" s="26">
        <v>0</v>
      </c>
      <c r="AD167" s="26"/>
      <c r="AE167" s="26"/>
      <c r="AF167" s="26"/>
      <c r="AG167" s="26"/>
      <c r="AH167" s="26"/>
      <c r="AI167" s="26"/>
      <c r="AJ167" s="26">
        <v>0</v>
      </c>
      <c r="AK167" s="26">
        <v>0</v>
      </c>
      <c r="AL167" s="112">
        <v>64200000</v>
      </c>
      <c r="AM167" s="10"/>
      <c r="AN167" s="26">
        <v>0</v>
      </c>
      <c r="AO167" s="27">
        <v>0</v>
      </c>
      <c r="AP167" s="27"/>
      <c r="AQ167" s="26">
        <f>P167+Q167+R167+S167+T167+U167+V167+W167+X167+Y167+Z167+AA167+AB167+AC167+AD167+AE167+AF167+AG167+AH167+AI167+AJ167+AK167+AL167+AM167+AN167+AP167+AO167</f>
        <v>64200000</v>
      </c>
    </row>
    <row r="168" spans="1:43" s="28" customFormat="1" ht="104.25" customHeight="1" x14ac:dyDescent="0.25">
      <c r="A168" s="20"/>
      <c r="B168" s="20"/>
      <c r="C168" s="875"/>
      <c r="D168" s="857"/>
      <c r="E168" s="860"/>
      <c r="F168" s="860"/>
      <c r="G168" s="29"/>
      <c r="H168" s="775">
        <v>238</v>
      </c>
      <c r="I168" s="774" t="s">
        <v>217</v>
      </c>
      <c r="J168" s="24" t="s">
        <v>30</v>
      </c>
      <c r="K168" s="65">
        <v>12</v>
      </c>
      <c r="L168" s="997"/>
      <c r="M168" s="855"/>
      <c r="N168" s="857"/>
      <c r="O168" s="775" t="s">
        <v>38</v>
      </c>
      <c r="P168" s="26">
        <v>0</v>
      </c>
      <c r="Q168" s="26">
        <v>0</v>
      </c>
      <c r="R168" s="26">
        <v>0</v>
      </c>
      <c r="S168" s="26">
        <v>0</v>
      </c>
      <c r="T168" s="26">
        <v>0</v>
      </c>
      <c r="U168" s="26">
        <v>0</v>
      </c>
      <c r="V168" s="26">
        <v>0</v>
      </c>
      <c r="W168" s="26"/>
      <c r="X168" s="26"/>
      <c r="Y168" s="26"/>
      <c r="Z168" s="26">
        <v>0</v>
      </c>
      <c r="AA168" s="26"/>
      <c r="AB168" s="26">
        <v>0</v>
      </c>
      <c r="AC168" s="26">
        <v>0</v>
      </c>
      <c r="AD168" s="26"/>
      <c r="AE168" s="26"/>
      <c r="AF168" s="26"/>
      <c r="AG168" s="26"/>
      <c r="AH168" s="26"/>
      <c r="AI168" s="26"/>
      <c r="AJ168" s="26">
        <v>0</v>
      </c>
      <c r="AK168" s="26">
        <v>0</v>
      </c>
      <c r="AL168" s="112">
        <v>97600000</v>
      </c>
      <c r="AM168" s="10"/>
      <c r="AN168" s="26">
        <v>0</v>
      </c>
      <c r="AO168" s="27">
        <v>0</v>
      </c>
      <c r="AP168" s="27"/>
      <c r="AQ168" s="26">
        <f>P168+Q168+R168+S168+T168+U168+V168+W168+X168+Y168+Z168+AA168+AB168+AC168+AD168+AE168+AF168+AG168+AH168+AI168+AJ168+AK168+AL168+AM168+AN168+AP168+AO168</f>
        <v>97600000</v>
      </c>
    </row>
    <row r="169" spans="1:43" s="28" customFormat="1" ht="41.25" customHeight="1" x14ac:dyDescent="0.25">
      <c r="A169" s="20"/>
      <c r="B169" s="20"/>
      <c r="C169" s="875"/>
      <c r="D169" s="857"/>
      <c r="E169" s="860"/>
      <c r="F169" s="860"/>
      <c r="G169" s="29"/>
      <c r="H169" s="775">
        <v>239</v>
      </c>
      <c r="I169" s="774" t="s">
        <v>218</v>
      </c>
      <c r="J169" s="24" t="s">
        <v>30</v>
      </c>
      <c r="K169" s="65">
        <v>6</v>
      </c>
      <c r="L169" s="997"/>
      <c r="M169" s="855"/>
      <c r="N169" s="857"/>
      <c r="O169" s="775" t="s">
        <v>34</v>
      </c>
      <c r="P169" s="26">
        <v>0</v>
      </c>
      <c r="Q169" s="26">
        <v>0</v>
      </c>
      <c r="R169" s="26">
        <v>0</v>
      </c>
      <c r="S169" s="26">
        <v>0</v>
      </c>
      <c r="T169" s="26">
        <v>0</v>
      </c>
      <c r="U169" s="26">
        <v>0</v>
      </c>
      <c r="V169" s="26">
        <v>0</v>
      </c>
      <c r="W169" s="26"/>
      <c r="X169" s="26"/>
      <c r="Y169" s="26"/>
      <c r="Z169" s="26">
        <v>0</v>
      </c>
      <c r="AA169" s="26"/>
      <c r="AB169" s="26">
        <v>0</v>
      </c>
      <c r="AC169" s="26">
        <v>0</v>
      </c>
      <c r="AD169" s="26"/>
      <c r="AE169" s="26"/>
      <c r="AF169" s="26"/>
      <c r="AG169" s="26"/>
      <c r="AH169" s="26"/>
      <c r="AI169" s="26"/>
      <c r="AJ169" s="26">
        <v>0</v>
      </c>
      <c r="AK169" s="26">
        <v>0</v>
      </c>
      <c r="AL169" s="112">
        <v>60028000</v>
      </c>
      <c r="AM169" s="10"/>
      <c r="AN169" s="26">
        <v>0</v>
      </c>
      <c r="AO169" s="27">
        <v>0</v>
      </c>
      <c r="AP169" s="27"/>
      <c r="AQ169" s="26">
        <f>P169+Q169+R169+S169+T169+U169+V169+W169+X169+Y169+Z169+AA169+AB169+AC169+AD169+AE169+AF169+AG169+AH169+AI169+AJ169+AK169+AL169+AM169+AN169+AP169+AO169</f>
        <v>60028000</v>
      </c>
    </row>
    <row r="170" spans="1:43" s="28" customFormat="1" ht="54.75" customHeight="1" x14ac:dyDescent="0.25">
      <c r="A170" s="20"/>
      <c r="B170" s="20"/>
      <c r="C170" s="875"/>
      <c r="D170" s="857"/>
      <c r="E170" s="860"/>
      <c r="F170" s="860"/>
      <c r="G170" s="29"/>
      <c r="H170" s="775">
        <v>240</v>
      </c>
      <c r="I170" s="774" t="s">
        <v>219</v>
      </c>
      <c r="J170" s="24">
        <v>1</v>
      </c>
      <c r="K170" s="65">
        <v>1</v>
      </c>
      <c r="L170" s="998"/>
      <c r="M170" s="856"/>
      <c r="N170" s="850"/>
      <c r="O170" s="775" t="s">
        <v>38</v>
      </c>
      <c r="P170" s="26">
        <v>0</v>
      </c>
      <c r="Q170" s="26">
        <v>0</v>
      </c>
      <c r="R170" s="26">
        <v>0</v>
      </c>
      <c r="S170" s="26">
        <v>0</v>
      </c>
      <c r="T170" s="26">
        <v>0</v>
      </c>
      <c r="U170" s="26">
        <v>0</v>
      </c>
      <c r="V170" s="26">
        <v>0</v>
      </c>
      <c r="W170" s="26"/>
      <c r="X170" s="26"/>
      <c r="Y170" s="26"/>
      <c r="Z170" s="26">
        <v>0</v>
      </c>
      <c r="AA170" s="26"/>
      <c r="AB170" s="26">
        <v>0</v>
      </c>
      <c r="AC170" s="26">
        <v>0</v>
      </c>
      <c r="AD170" s="26"/>
      <c r="AE170" s="26"/>
      <c r="AF170" s="26"/>
      <c r="AG170" s="26"/>
      <c r="AH170" s="26"/>
      <c r="AI170" s="26"/>
      <c r="AJ170" s="26">
        <v>0</v>
      </c>
      <c r="AK170" s="26">
        <v>0</v>
      </c>
      <c r="AL170" s="112">
        <f>120672000+107500000</f>
        <v>228172000</v>
      </c>
      <c r="AM170" s="10"/>
      <c r="AN170" s="26">
        <v>0</v>
      </c>
      <c r="AO170" s="27">
        <v>0</v>
      </c>
      <c r="AP170" s="27"/>
      <c r="AQ170" s="26">
        <f>P170+Q170+R170+S170+T170+U170+V170+W170+X170+Y170+Z170+AA170+AB170+AC170+AD170+AE170+AF170+AG170+AH170+AI170+AJ170+AK170+AL170+AM170+AN170+AP170+AO170</f>
        <v>228172000</v>
      </c>
    </row>
    <row r="171" spans="1:43" ht="15" x14ac:dyDescent="0.25">
      <c r="A171" s="20"/>
      <c r="B171" s="20"/>
      <c r="C171" s="215"/>
      <c r="D171" s="153"/>
      <c r="E171" s="579"/>
      <c r="F171" s="579"/>
      <c r="G171" s="154"/>
      <c r="H171" s="155"/>
      <c r="I171" s="154"/>
      <c r="J171" s="156"/>
      <c r="K171" s="156"/>
      <c r="L171" s="156"/>
      <c r="M171" s="157"/>
      <c r="N171" s="154"/>
      <c r="O171" s="155"/>
      <c r="P171" s="158">
        <f>SUM(P166:P170)</f>
        <v>0</v>
      </c>
      <c r="Q171" s="158">
        <f t="shared" ref="Q171:AK171" si="75">SUM(Q166:Q170)</f>
        <v>0</v>
      </c>
      <c r="R171" s="158">
        <f t="shared" si="75"/>
        <v>0</v>
      </c>
      <c r="S171" s="158">
        <f t="shared" si="75"/>
        <v>0</v>
      </c>
      <c r="T171" s="158">
        <f t="shared" si="75"/>
        <v>0</v>
      </c>
      <c r="U171" s="158">
        <f t="shared" si="75"/>
        <v>0</v>
      </c>
      <c r="V171" s="158">
        <f t="shared" si="75"/>
        <v>0</v>
      </c>
      <c r="W171" s="158">
        <f t="shared" si="75"/>
        <v>0</v>
      </c>
      <c r="X171" s="158">
        <f t="shared" si="75"/>
        <v>0</v>
      </c>
      <c r="Y171" s="158">
        <f t="shared" si="75"/>
        <v>0</v>
      </c>
      <c r="Z171" s="158">
        <f t="shared" si="75"/>
        <v>0</v>
      </c>
      <c r="AA171" s="158">
        <f t="shared" si="75"/>
        <v>0</v>
      </c>
      <c r="AB171" s="158">
        <f t="shared" si="75"/>
        <v>0</v>
      </c>
      <c r="AC171" s="158">
        <f t="shared" si="75"/>
        <v>0</v>
      </c>
      <c r="AD171" s="158">
        <f t="shared" si="75"/>
        <v>0</v>
      </c>
      <c r="AE171" s="158">
        <f t="shared" si="75"/>
        <v>0</v>
      </c>
      <c r="AF171" s="158">
        <f t="shared" si="75"/>
        <v>0</v>
      </c>
      <c r="AG171" s="158">
        <f t="shared" si="75"/>
        <v>0</v>
      </c>
      <c r="AH171" s="158">
        <f t="shared" si="75"/>
        <v>0</v>
      </c>
      <c r="AI171" s="158">
        <f t="shared" si="75"/>
        <v>0</v>
      </c>
      <c r="AJ171" s="158">
        <f t="shared" si="75"/>
        <v>0</v>
      </c>
      <c r="AK171" s="158">
        <f t="shared" si="75"/>
        <v>0</v>
      </c>
      <c r="AL171" s="158">
        <f t="shared" ref="AL171:AP171" si="76">SUM(AL166:AL170)</f>
        <v>507500000</v>
      </c>
      <c r="AM171" s="158">
        <f t="shared" si="76"/>
        <v>0</v>
      </c>
      <c r="AN171" s="158">
        <f t="shared" si="76"/>
        <v>0</v>
      </c>
      <c r="AO171" s="158">
        <f t="shared" si="76"/>
        <v>0</v>
      </c>
      <c r="AP171" s="158">
        <f t="shared" si="76"/>
        <v>0</v>
      </c>
      <c r="AQ171" s="158">
        <f>SUM(AQ166:AQ170)</f>
        <v>507500000</v>
      </c>
    </row>
    <row r="172" spans="1:43" s="28" customFormat="1" ht="15" x14ac:dyDescent="0.25">
      <c r="A172" s="20"/>
      <c r="B172" s="20"/>
      <c r="C172" s="795"/>
      <c r="D172" s="177"/>
      <c r="E172" s="795"/>
      <c r="F172" s="795"/>
      <c r="G172" s="177"/>
      <c r="H172" s="795"/>
      <c r="I172" s="177"/>
      <c r="J172" s="178"/>
      <c r="K172" s="178"/>
      <c r="L172" s="233"/>
      <c r="M172" s="234"/>
      <c r="N172" s="223"/>
      <c r="O172" s="795"/>
      <c r="P172" s="180"/>
      <c r="Q172" s="180"/>
      <c r="R172" s="180"/>
      <c r="S172" s="180"/>
      <c r="T172" s="180"/>
      <c r="U172" s="180"/>
      <c r="V172" s="180"/>
      <c r="W172" s="180"/>
      <c r="X172" s="180"/>
      <c r="Y172" s="180"/>
      <c r="Z172" s="180"/>
      <c r="AA172" s="180"/>
      <c r="AB172" s="180"/>
      <c r="AC172" s="180"/>
      <c r="AD172" s="181"/>
      <c r="AE172" s="181"/>
      <c r="AF172" s="181"/>
      <c r="AG172" s="181"/>
      <c r="AH172" s="181"/>
      <c r="AI172" s="181"/>
      <c r="AJ172" s="180"/>
      <c r="AK172" s="180"/>
      <c r="AL172" s="291"/>
      <c r="AM172" s="292"/>
      <c r="AN172" s="180"/>
      <c r="AO172" s="180"/>
      <c r="AP172" s="180"/>
      <c r="AQ172" s="26"/>
    </row>
    <row r="173" spans="1:43" ht="15" x14ac:dyDescent="0.25">
      <c r="A173" s="20"/>
      <c r="B173" s="20"/>
      <c r="C173" s="215"/>
      <c r="D173" s="153"/>
      <c r="E173" s="579"/>
      <c r="F173" s="579"/>
      <c r="G173" s="188">
        <v>82</v>
      </c>
      <c r="H173" s="189" t="s">
        <v>220</v>
      </c>
      <c r="I173" s="189"/>
      <c r="J173" s="189"/>
      <c r="K173" s="189"/>
      <c r="L173" s="189"/>
      <c r="M173" s="653"/>
      <c r="N173" s="189"/>
      <c r="O173" s="189"/>
      <c r="P173" s="189"/>
      <c r="Q173" s="189"/>
      <c r="R173" s="189"/>
      <c r="S173" s="189"/>
      <c r="T173" s="189"/>
      <c r="U173" s="189"/>
      <c r="V173" s="189"/>
      <c r="W173" s="189"/>
      <c r="X173" s="189"/>
      <c r="Y173" s="189"/>
      <c r="Z173" s="189"/>
      <c r="AA173" s="189"/>
      <c r="AB173" s="189"/>
      <c r="AC173" s="189"/>
      <c r="AD173" s="189"/>
      <c r="AE173" s="189"/>
      <c r="AF173" s="189"/>
      <c r="AG173" s="189"/>
      <c r="AH173" s="189"/>
      <c r="AI173" s="189"/>
      <c r="AJ173" s="189"/>
      <c r="AK173" s="189"/>
      <c r="AL173" s="190"/>
      <c r="AM173" s="189"/>
      <c r="AN173" s="189"/>
      <c r="AO173" s="189"/>
      <c r="AP173" s="189"/>
      <c r="AQ173" s="521"/>
    </row>
    <row r="174" spans="1:43" ht="57" customHeight="1" x14ac:dyDescent="0.25">
      <c r="A174" s="20"/>
      <c r="B174" s="20"/>
      <c r="C174" s="905">
        <v>13</v>
      </c>
      <c r="D174" s="935" t="s">
        <v>188</v>
      </c>
      <c r="E174" s="931">
        <v>71.040000000000006</v>
      </c>
      <c r="F174" s="931">
        <v>88.17</v>
      </c>
      <c r="G174" s="858"/>
      <c r="H174" s="775">
        <v>241</v>
      </c>
      <c r="I174" s="774" t="s">
        <v>221</v>
      </c>
      <c r="J174" s="24">
        <v>1</v>
      </c>
      <c r="K174" s="24">
        <v>1</v>
      </c>
      <c r="L174" s="996" t="s">
        <v>213</v>
      </c>
      <c r="M174" s="854" t="s">
        <v>222</v>
      </c>
      <c r="N174" s="849" t="s">
        <v>223</v>
      </c>
      <c r="O174" s="775" t="s">
        <v>38</v>
      </c>
      <c r="P174" s="26">
        <v>0</v>
      </c>
      <c r="Q174" s="26">
        <v>0</v>
      </c>
      <c r="R174" s="26">
        <v>0</v>
      </c>
      <c r="S174" s="26">
        <v>0</v>
      </c>
      <c r="T174" s="26">
        <v>0</v>
      </c>
      <c r="U174" s="26">
        <v>0</v>
      </c>
      <c r="V174" s="26">
        <v>0</v>
      </c>
      <c r="W174" s="26"/>
      <c r="X174" s="26"/>
      <c r="Y174" s="26"/>
      <c r="Z174" s="26">
        <v>0</v>
      </c>
      <c r="AA174" s="26"/>
      <c r="AB174" s="26">
        <v>0</v>
      </c>
      <c r="AC174" s="26">
        <v>0</v>
      </c>
      <c r="AD174" s="254"/>
      <c r="AE174" s="254"/>
      <c r="AF174" s="254"/>
      <c r="AG174" s="254"/>
      <c r="AH174" s="254"/>
      <c r="AI174" s="254"/>
      <c r="AJ174" s="26">
        <v>0</v>
      </c>
      <c r="AK174" s="26">
        <v>0</v>
      </c>
      <c r="AL174" s="114">
        <v>50625000</v>
      </c>
      <c r="AM174" s="4"/>
      <c r="AN174" s="26">
        <v>0</v>
      </c>
      <c r="AO174" s="293">
        <v>0</v>
      </c>
      <c r="AP174" s="293"/>
      <c r="AQ174" s="26">
        <f>P174+Q174+R174+S174+T174+U174+V174+W174+X174+Y174+Z174+AA174+AB174+AC174+AD174+AE174+AF174+AG174+AH174+AI174+AJ174+AK174+AL174+AM174+AN174+AP174+AO174</f>
        <v>50625000</v>
      </c>
    </row>
    <row r="175" spans="1:43" ht="81" customHeight="1" x14ac:dyDescent="0.25">
      <c r="A175" s="20"/>
      <c r="B175" s="20"/>
      <c r="C175" s="907"/>
      <c r="D175" s="937"/>
      <c r="E175" s="932"/>
      <c r="F175" s="932"/>
      <c r="G175" s="859"/>
      <c r="H175" s="775">
        <v>242</v>
      </c>
      <c r="I175" s="774" t="s">
        <v>224</v>
      </c>
      <c r="J175" s="24">
        <v>1</v>
      </c>
      <c r="K175" s="24">
        <v>1</v>
      </c>
      <c r="L175" s="998"/>
      <c r="M175" s="856"/>
      <c r="N175" s="850"/>
      <c r="O175" s="775" t="s">
        <v>38</v>
      </c>
      <c r="P175" s="26">
        <v>0</v>
      </c>
      <c r="Q175" s="26">
        <v>0</v>
      </c>
      <c r="R175" s="26">
        <v>0</v>
      </c>
      <c r="S175" s="26">
        <v>0</v>
      </c>
      <c r="T175" s="26">
        <v>0</v>
      </c>
      <c r="U175" s="26">
        <v>0</v>
      </c>
      <c r="V175" s="26">
        <v>0</v>
      </c>
      <c r="W175" s="26"/>
      <c r="X175" s="26"/>
      <c r="Y175" s="26"/>
      <c r="Z175" s="26">
        <v>0</v>
      </c>
      <c r="AA175" s="26"/>
      <c r="AB175" s="26">
        <v>0</v>
      </c>
      <c r="AC175" s="26">
        <v>0</v>
      </c>
      <c r="AD175" s="254"/>
      <c r="AE175" s="254"/>
      <c r="AF175" s="254"/>
      <c r="AG175" s="254"/>
      <c r="AH175" s="254"/>
      <c r="AI175" s="254"/>
      <c r="AJ175" s="26">
        <v>0</v>
      </c>
      <c r="AK175" s="26">
        <v>0</v>
      </c>
      <c r="AL175" s="114">
        <v>39375000</v>
      </c>
      <c r="AM175" s="4"/>
      <c r="AN175" s="26">
        <v>0</v>
      </c>
      <c r="AO175" s="293">
        <v>0</v>
      </c>
      <c r="AP175" s="293"/>
      <c r="AQ175" s="26">
        <f>P175+Q175+R175+S175+T175+U175+V175+W175+X175+Y175+Z175+AA175+AB175+AC175+AD175+AE175+AF175+AG175+AH175+AI175+AJ175+AK175+AL175+AM175+AN175+AP175+AO175</f>
        <v>39375000</v>
      </c>
    </row>
    <row r="176" spans="1:43" ht="15" x14ac:dyDescent="0.25">
      <c r="A176" s="20"/>
      <c r="B176" s="152"/>
      <c r="C176" s="215"/>
      <c r="D176" s="153"/>
      <c r="E176" s="579"/>
      <c r="F176" s="579"/>
      <c r="G176" s="216"/>
      <c r="H176" s="217"/>
      <c r="I176" s="154"/>
      <c r="J176" s="156"/>
      <c r="K176" s="156"/>
      <c r="L176" s="156"/>
      <c r="M176" s="157"/>
      <c r="N176" s="154"/>
      <c r="O176" s="155"/>
      <c r="P176" s="158">
        <f>SUM(P174:P175)</f>
        <v>0</v>
      </c>
      <c r="Q176" s="158">
        <f t="shared" ref="Q176:AK176" si="77">SUM(Q174:Q175)</f>
        <v>0</v>
      </c>
      <c r="R176" s="158">
        <f t="shared" si="77"/>
        <v>0</v>
      </c>
      <c r="S176" s="158">
        <f t="shared" si="77"/>
        <v>0</v>
      </c>
      <c r="T176" s="158">
        <f t="shared" si="77"/>
        <v>0</v>
      </c>
      <c r="U176" s="158">
        <f t="shared" si="77"/>
        <v>0</v>
      </c>
      <c r="V176" s="158">
        <f t="shared" si="77"/>
        <v>0</v>
      </c>
      <c r="W176" s="158">
        <f t="shared" si="77"/>
        <v>0</v>
      </c>
      <c r="X176" s="158">
        <f t="shared" si="77"/>
        <v>0</v>
      </c>
      <c r="Y176" s="158">
        <f t="shared" si="77"/>
        <v>0</v>
      </c>
      <c r="Z176" s="158">
        <f t="shared" si="77"/>
        <v>0</v>
      </c>
      <c r="AA176" s="158">
        <f t="shared" si="77"/>
        <v>0</v>
      </c>
      <c r="AB176" s="158">
        <f t="shared" si="77"/>
        <v>0</v>
      </c>
      <c r="AC176" s="158">
        <f t="shared" si="77"/>
        <v>0</v>
      </c>
      <c r="AD176" s="158">
        <f t="shared" si="77"/>
        <v>0</v>
      </c>
      <c r="AE176" s="158">
        <f t="shared" si="77"/>
        <v>0</v>
      </c>
      <c r="AF176" s="158">
        <f t="shared" si="77"/>
        <v>0</v>
      </c>
      <c r="AG176" s="158">
        <f t="shared" si="77"/>
        <v>0</v>
      </c>
      <c r="AH176" s="158">
        <f t="shared" si="77"/>
        <v>0</v>
      </c>
      <c r="AI176" s="158">
        <f t="shared" si="77"/>
        <v>0</v>
      </c>
      <c r="AJ176" s="158">
        <f t="shared" si="77"/>
        <v>0</v>
      </c>
      <c r="AK176" s="158">
        <f t="shared" si="77"/>
        <v>0</v>
      </c>
      <c r="AL176" s="158">
        <f t="shared" ref="AL176:AP176" si="78">SUM(AL174:AL175)</f>
        <v>90000000</v>
      </c>
      <c r="AM176" s="158">
        <f t="shared" si="78"/>
        <v>0</v>
      </c>
      <c r="AN176" s="158">
        <f t="shared" si="78"/>
        <v>0</v>
      </c>
      <c r="AO176" s="158">
        <f t="shared" si="78"/>
        <v>0</v>
      </c>
      <c r="AP176" s="158">
        <f t="shared" si="78"/>
        <v>0</v>
      </c>
      <c r="AQ176" s="158">
        <f>SUM(AQ174:AQ175)</f>
        <v>90000000</v>
      </c>
    </row>
    <row r="177" spans="1:43" ht="15" x14ac:dyDescent="0.25">
      <c r="A177" s="152"/>
      <c r="B177" s="161"/>
      <c r="C177" s="220"/>
      <c r="D177" s="161"/>
      <c r="E177" s="162"/>
      <c r="F177" s="162"/>
      <c r="G177" s="221"/>
      <c r="H177" s="222"/>
      <c r="I177" s="161"/>
      <c r="J177" s="163"/>
      <c r="K177" s="163"/>
      <c r="L177" s="163"/>
      <c r="M177" s="164"/>
      <c r="N177" s="161"/>
      <c r="O177" s="162"/>
      <c r="P177" s="165">
        <f>P176+P171</f>
        <v>0</v>
      </c>
      <c r="Q177" s="165">
        <f t="shared" ref="Q177:AK177" si="79">Q176+Q171</f>
        <v>0</v>
      </c>
      <c r="R177" s="165">
        <f t="shared" si="79"/>
        <v>0</v>
      </c>
      <c r="S177" s="165">
        <f t="shared" si="79"/>
        <v>0</v>
      </c>
      <c r="T177" s="165">
        <f t="shared" si="79"/>
        <v>0</v>
      </c>
      <c r="U177" s="165">
        <f t="shared" si="79"/>
        <v>0</v>
      </c>
      <c r="V177" s="165">
        <f t="shared" si="79"/>
        <v>0</v>
      </c>
      <c r="W177" s="165">
        <f t="shared" si="79"/>
        <v>0</v>
      </c>
      <c r="X177" s="165">
        <f t="shared" si="79"/>
        <v>0</v>
      </c>
      <c r="Y177" s="165">
        <f t="shared" si="79"/>
        <v>0</v>
      </c>
      <c r="Z177" s="165">
        <f t="shared" si="79"/>
        <v>0</v>
      </c>
      <c r="AA177" s="165">
        <f t="shared" si="79"/>
        <v>0</v>
      </c>
      <c r="AB177" s="165">
        <f t="shared" si="79"/>
        <v>0</v>
      </c>
      <c r="AC177" s="165">
        <f t="shared" si="79"/>
        <v>0</v>
      </c>
      <c r="AD177" s="165">
        <f t="shared" si="79"/>
        <v>0</v>
      </c>
      <c r="AE177" s="165">
        <f t="shared" si="79"/>
        <v>0</v>
      </c>
      <c r="AF177" s="165">
        <f t="shared" si="79"/>
        <v>0</v>
      </c>
      <c r="AG177" s="165">
        <f t="shared" si="79"/>
        <v>0</v>
      </c>
      <c r="AH177" s="165">
        <f t="shared" si="79"/>
        <v>0</v>
      </c>
      <c r="AI177" s="165">
        <f t="shared" si="79"/>
        <v>0</v>
      </c>
      <c r="AJ177" s="165">
        <f t="shared" si="79"/>
        <v>0</v>
      </c>
      <c r="AK177" s="165">
        <f t="shared" si="79"/>
        <v>0</v>
      </c>
      <c r="AL177" s="165">
        <f t="shared" ref="AL177:AP177" si="80">AL176+AL171</f>
        <v>597500000</v>
      </c>
      <c r="AM177" s="165">
        <f t="shared" si="80"/>
        <v>0</v>
      </c>
      <c r="AN177" s="165">
        <f t="shared" si="80"/>
        <v>0</v>
      </c>
      <c r="AO177" s="165">
        <f t="shared" si="80"/>
        <v>0</v>
      </c>
      <c r="AP177" s="165">
        <f t="shared" si="80"/>
        <v>0</v>
      </c>
      <c r="AQ177" s="165">
        <f>AQ176+AQ171</f>
        <v>597500000</v>
      </c>
    </row>
    <row r="178" spans="1:43" ht="15" x14ac:dyDescent="0.25">
      <c r="A178" s="262"/>
      <c r="B178" s="166"/>
      <c r="C178" s="167"/>
      <c r="D178" s="166"/>
      <c r="E178" s="167"/>
      <c r="F178" s="167"/>
      <c r="G178" s="294"/>
      <c r="H178" s="295"/>
      <c r="I178" s="166"/>
      <c r="J178" s="168"/>
      <c r="K178" s="168"/>
      <c r="L178" s="168"/>
      <c r="M178" s="169"/>
      <c r="N178" s="166"/>
      <c r="O178" s="167"/>
      <c r="P178" s="170">
        <f>P177+P162+P141</f>
        <v>0</v>
      </c>
      <c r="Q178" s="170">
        <f t="shared" ref="Q178:AK178" si="81">Q177+Q162+Q141</f>
        <v>0</v>
      </c>
      <c r="R178" s="170">
        <f t="shared" si="81"/>
        <v>0</v>
      </c>
      <c r="S178" s="170">
        <f t="shared" si="81"/>
        <v>9145274815.1000004</v>
      </c>
      <c r="T178" s="170">
        <f t="shared" si="81"/>
        <v>0</v>
      </c>
      <c r="U178" s="170">
        <f t="shared" si="81"/>
        <v>0</v>
      </c>
      <c r="V178" s="170">
        <f t="shared" si="81"/>
        <v>0</v>
      </c>
      <c r="W178" s="170">
        <f t="shared" si="81"/>
        <v>0</v>
      </c>
      <c r="X178" s="170">
        <f t="shared" si="81"/>
        <v>0</v>
      </c>
      <c r="Y178" s="170">
        <f t="shared" si="81"/>
        <v>0</v>
      </c>
      <c r="Z178" s="170">
        <f t="shared" si="81"/>
        <v>0</v>
      </c>
      <c r="AA178" s="170">
        <f t="shared" si="81"/>
        <v>0</v>
      </c>
      <c r="AB178" s="170">
        <f t="shared" si="81"/>
        <v>0</v>
      </c>
      <c r="AC178" s="170">
        <f t="shared" si="81"/>
        <v>0</v>
      </c>
      <c r="AD178" s="170">
        <f t="shared" si="81"/>
        <v>0</v>
      </c>
      <c r="AE178" s="170">
        <f t="shared" si="81"/>
        <v>0</v>
      </c>
      <c r="AF178" s="170">
        <f t="shared" si="81"/>
        <v>0</v>
      </c>
      <c r="AG178" s="170">
        <f t="shared" si="81"/>
        <v>0</v>
      </c>
      <c r="AH178" s="170">
        <f t="shared" si="81"/>
        <v>0</v>
      </c>
      <c r="AI178" s="170">
        <f t="shared" si="81"/>
        <v>0</v>
      </c>
      <c r="AJ178" s="170">
        <f t="shared" si="81"/>
        <v>0</v>
      </c>
      <c r="AK178" s="170">
        <f t="shared" si="81"/>
        <v>0</v>
      </c>
      <c r="AL178" s="170">
        <f t="shared" ref="AL178:AP178" si="82">AL177+AL162+AL141</f>
        <v>1558849776</v>
      </c>
      <c r="AM178" s="170">
        <f t="shared" si="82"/>
        <v>0</v>
      </c>
      <c r="AN178" s="170">
        <f t="shared" si="82"/>
        <v>0</v>
      </c>
      <c r="AO178" s="170">
        <f t="shared" si="82"/>
        <v>0</v>
      </c>
      <c r="AP178" s="170">
        <f t="shared" si="82"/>
        <v>0</v>
      </c>
      <c r="AQ178" s="170">
        <f>AQ177+AQ162+AQ141</f>
        <v>10704124591.1</v>
      </c>
    </row>
    <row r="179" spans="1:43" s="28" customFormat="1" ht="15" x14ac:dyDescent="0.25">
      <c r="A179" s="177"/>
      <c r="B179" s="177"/>
      <c r="C179" s="795"/>
      <c r="D179" s="177"/>
      <c r="E179" s="795"/>
      <c r="F179" s="795"/>
      <c r="G179" s="223"/>
      <c r="H179" s="776"/>
      <c r="I179" s="177"/>
      <c r="J179" s="178"/>
      <c r="K179" s="178"/>
      <c r="L179" s="233"/>
      <c r="M179" s="234"/>
      <c r="N179" s="223"/>
      <c r="O179" s="795"/>
      <c r="P179" s="180"/>
      <c r="Q179" s="180"/>
      <c r="R179" s="180"/>
      <c r="S179" s="180"/>
      <c r="T179" s="180"/>
      <c r="U179" s="180"/>
      <c r="V179" s="180"/>
      <c r="W179" s="180"/>
      <c r="X179" s="180"/>
      <c r="Y179" s="180"/>
      <c r="Z179" s="180"/>
      <c r="AA179" s="180"/>
      <c r="AB179" s="180"/>
      <c r="AC179" s="180"/>
      <c r="AD179" s="181"/>
      <c r="AE179" s="181"/>
      <c r="AF179" s="181"/>
      <c r="AG179" s="181"/>
      <c r="AH179" s="181"/>
      <c r="AI179" s="181"/>
      <c r="AJ179" s="180"/>
      <c r="AK179" s="180"/>
      <c r="AL179" s="182"/>
      <c r="AM179" s="180"/>
      <c r="AN179" s="180"/>
      <c r="AO179" s="180"/>
      <c r="AP179" s="180"/>
      <c r="AQ179" s="26"/>
    </row>
    <row r="180" spans="1:43" ht="15" x14ac:dyDescent="0.25">
      <c r="A180" s="296">
        <v>5</v>
      </c>
      <c r="B180" s="140" t="s">
        <v>26</v>
      </c>
      <c r="C180" s="141"/>
      <c r="D180" s="140"/>
      <c r="E180" s="140"/>
      <c r="F180" s="140"/>
      <c r="G180" s="140"/>
      <c r="H180" s="141"/>
      <c r="I180" s="140"/>
      <c r="J180" s="140"/>
      <c r="K180" s="140"/>
      <c r="L180" s="140"/>
      <c r="M180" s="651"/>
      <c r="N180" s="140"/>
      <c r="O180" s="140"/>
      <c r="P180" s="140"/>
      <c r="Q180" s="140"/>
      <c r="R180" s="140"/>
      <c r="S180" s="140"/>
      <c r="T180" s="140"/>
      <c r="U180" s="140"/>
      <c r="V180" s="140"/>
      <c r="W180" s="140"/>
      <c r="X180" s="140"/>
      <c r="Y180" s="140"/>
      <c r="Z180" s="140"/>
      <c r="AA180" s="140"/>
      <c r="AB180" s="140"/>
      <c r="AC180" s="140"/>
      <c r="AD180" s="140"/>
      <c r="AE180" s="140"/>
      <c r="AF180" s="140"/>
      <c r="AG180" s="140"/>
      <c r="AH180" s="140"/>
      <c r="AI180" s="140"/>
      <c r="AJ180" s="140"/>
      <c r="AK180" s="140"/>
      <c r="AL180" s="142"/>
      <c r="AM180" s="140"/>
      <c r="AN180" s="140"/>
      <c r="AO180" s="140"/>
      <c r="AP180" s="140"/>
      <c r="AQ180" s="538"/>
    </row>
    <row r="181" spans="1:43" s="28" customFormat="1" ht="15" x14ac:dyDescent="0.25">
      <c r="A181" s="210"/>
      <c r="B181" s="266">
        <v>26</v>
      </c>
      <c r="C181" s="145" t="s">
        <v>52</v>
      </c>
      <c r="D181" s="146"/>
      <c r="E181" s="146"/>
      <c r="F181" s="146"/>
      <c r="G181" s="146"/>
      <c r="H181" s="147"/>
      <c r="I181" s="146"/>
      <c r="J181" s="146"/>
      <c r="K181" s="146"/>
      <c r="L181" s="146"/>
      <c r="M181" s="652"/>
      <c r="N181" s="146"/>
      <c r="O181" s="146"/>
      <c r="P181" s="146"/>
      <c r="Q181" s="146"/>
      <c r="R181" s="146"/>
      <c r="S181" s="146"/>
      <c r="T181" s="146"/>
      <c r="U181" s="146"/>
      <c r="V181" s="146"/>
      <c r="W181" s="146"/>
      <c r="X181" s="146"/>
      <c r="Y181" s="146"/>
      <c r="Z181" s="146"/>
      <c r="AA181" s="146"/>
      <c r="AB181" s="146"/>
      <c r="AC181" s="146"/>
      <c r="AD181" s="146"/>
      <c r="AE181" s="146"/>
      <c r="AF181" s="146"/>
      <c r="AG181" s="146"/>
      <c r="AH181" s="146"/>
      <c r="AI181" s="146"/>
      <c r="AJ181" s="146"/>
      <c r="AK181" s="146"/>
      <c r="AL181" s="148"/>
      <c r="AM181" s="146"/>
      <c r="AN181" s="146"/>
      <c r="AO181" s="146"/>
      <c r="AP181" s="146"/>
      <c r="AQ181" s="524"/>
    </row>
    <row r="182" spans="1:43" s="28" customFormat="1" ht="15" x14ac:dyDescent="0.25">
      <c r="A182" s="297"/>
      <c r="B182" s="23"/>
      <c r="C182" s="773"/>
      <c r="D182" s="774"/>
      <c r="E182" s="775"/>
      <c r="F182" s="775"/>
      <c r="G182" s="188">
        <v>84</v>
      </c>
      <c r="H182" s="189" t="s">
        <v>59</v>
      </c>
      <c r="I182" s="189"/>
      <c r="J182" s="189"/>
      <c r="K182" s="189"/>
      <c r="L182" s="189"/>
      <c r="M182" s="659"/>
      <c r="N182" s="189"/>
      <c r="O182" s="189"/>
      <c r="P182" s="189"/>
      <c r="Q182" s="189"/>
      <c r="R182" s="189"/>
      <c r="S182" s="189"/>
      <c r="T182" s="189"/>
      <c r="U182" s="189"/>
      <c r="V182" s="189"/>
      <c r="W182" s="189"/>
      <c r="X182" s="189"/>
      <c r="Y182" s="189"/>
      <c r="Z182" s="189"/>
      <c r="AA182" s="189"/>
      <c r="AB182" s="189"/>
      <c r="AC182" s="189"/>
      <c r="AD182" s="189"/>
      <c r="AE182" s="189"/>
      <c r="AF182" s="189"/>
      <c r="AG182" s="189"/>
      <c r="AH182" s="189"/>
      <c r="AI182" s="189"/>
      <c r="AJ182" s="189"/>
      <c r="AK182" s="189"/>
      <c r="AL182" s="190"/>
      <c r="AM182" s="189"/>
      <c r="AN182" s="189"/>
      <c r="AO182" s="189"/>
      <c r="AP182" s="189"/>
      <c r="AQ182" s="521"/>
    </row>
    <row r="183" spans="1:43" s="28" customFormat="1" ht="74.25" customHeight="1" x14ac:dyDescent="0.25">
      <c r="A183" s="26">
        <f>+A182</f>
        <v>0</v>
      </c>
      <c r="B183" s="29"/>
      <c r="C183" s="773">
        <v>37</v>
      </c>
      <c r="D183" s="774" t="s">
        <v>225</v>
      </c>
      <c r="E183" s="775">
        <v>54.61</v>
      </c>
      <c r="F183" s="775">
        <v>60</v>
      </c>
      <c r="G183" s="774"/>
      <c r="H183" s="775">
        <v>247</v>
      </c>
      <c r="I183" s="774" t="s">
        <v>226</v>
      </c>
      <c r="J183" s="24" t="s">
        <v>30</v>
      </c>
      <c r="K183" s="24">
        <v>1</v>
      </c>
      <c r="L183" s="25" t="s">
        <v>66</v>
      </c>
      <c r="M183" s="37" t="s">
        <v>227</v>
      </c>
      <c r="N183" s="774" t="s">
        <v>228</v>
      </c>
      <c r="O183" s="57" t="s">
        <v>38</v>
      </c>
      <c r="P183" s="26">
        <v>0</v>
      </c>
      <c r="Q183" s="26">
        <v>0</v>
      </c>
      <c r="R183" s="26">
        <v>0</v>
      </c>
      <c r="S183" s="26">
        <v>0</v>
      </c>
      <c r="T183" s="26">
        <v>0</v>
      </c>
      <c r="U183" s="26">
        <v>0</v>
      </c>
      <c r="V183" s="26">
        <v>0</v>
      </c>
      <c r="W183" s="26"/>
      <c r="X183" s="26"/>
      <c r="Y183" s="26"/>
      <c r="Z183" s="26">
        <v>0</v>
      </c>
      <c r="AA183" s="26"/>
      <c r="AB183" s="26">
        <v>0</v>
      </c>
      <c r="AC183" s="26">
        <v>0</v>
      </c>
      <c r="AD183" s="26"/>
      <c r="AE183" s="26"/>
      <c r="AF183" s="26"/>
      <c r="AG183" s="26"/>
      <c r="AH183" s="26"/>
      <c r="AI183" s="26"/>
      <c r="AJ183" s="26">
        <v>0</v>
      </c>
      <c r="AK183" s="26">
        <v>0</v>
      </c>
      <c r="AL183" s="110">
        <v>40000000</v>
      </c>
      <c r="AM183" s="14"/>
      <c r="AN183" s="26">
        <v>0</v>
      </c>
      <c r="AO183" s="27">
        <v>0</v>
      </c>
      <c r="AP183" s="27"/>
      <c r="AQ183" s="26">
        <f>P183+Q183+R183+S183+T183+U183+V183+W183+X183+Y183+Z183+AA183+AB183+AC183+AD183+AE183+AF183+AG183+AH183+AI183+AJ183+AK183+AL183+AM183+AN183+AP183+AO183</f>
        <v>40000000</v>
      </c>
    </row>
    <row r="184" spans="1:43" s="28" customFormat="1" ht="18.75" customHeight="1" x14ac:dyDescent="0.25">
      <c r="A184" s="297"/>
      <c r="B184" s="30"/>
      <c r="C184" s="772"/>
      <c r="D184" s="798"/>
      <c r="E184" s="790"/>
      <c r="F184" s="790"/>
      <c r="G184" s="216"/>
      <c r="H184" s="217"/>
      <c r="I184" s="216"/>
      <c r="J184" s="298"/>
      <c r="K184" s="298"/>
      <c r="L184" s="298"/>
      <c r="M184" s="299"/>
      <c r="N184" s="216"/>
      <c r="O184" s="217"/>
      <c r="P184" s="300">
        <f>SUM(P183)</f>
        <v>0</v>
      </c>
      <c r="Q184" s="300">
        <f t="shared" ref="Q184:AK184" si="83">SUM(Q183)</f>
        <v>0</v>
      </c>
      <c r="R184" s="300">
        <f t="shared" si="83"/>
        <v>0</v>
      </c>
      <c r="S184" s="300">
        <f t="shared" si="83"/>
        <v>0</v>
      </c>
      <c r="T184" s="300">
        <f t="shared" si="83"/>
        <v>0</v>
      </c>
      <c r="U184" s="300">
        <f t="shared" si="83"/>
        <v>0</v>
      </c>
      <c r="V184" s="300">
        <f t="shared" si="83"/>
        <v>0</v>
      </c>
      <c r="W184" s="300">
        <f t="shared" si="83"/>
        <v>0</v>
      </c>
      <c r="X184" s="300">
        <f t="shared" si="83"/>
        <v>0</v>
      </c>
      <c r="Y184" s="300">
        <f t="shared" si="83"/>
        <v>0</v>
      </c>
      <c r="Z184" s="300">
        <f t="shared" si="83"/>
        <v>0</v>
      </c>
      <c r="AA184" s="300">
        <f t="shared" si="83"/>
        <v>0</v>
      </c>
      <c r="AB184" s="300">
        <f t="shared" si="83"/>
        <v>0</v>
      </c>
      <c r="AC184" s="300">
        <f t="shared" si="83"/>
        <v>0</v>
      </c>
      <c r="AD184" s="300">
        <f t="shared" si="83"/>
        <v>0</v>
      </c>
      <c r="AE184" s="300">
        <f t="shared" si="83"/>
        <v>0</v>
      </c>
      <c r="AF184" s="300">
        <f t="shared" si="83"/>
        <v>0</v>
      </c>
      <c r="AG184" s="300">
        <f t="shared" si="83"/>
        <v>0</v>
      </c>
      <c r="AH184" s="300">
        <f t="shared" si="83"/>
        <v>0</v>
      </c>
      <c r="AI184" s="300">
        <f t="shared" si="83"/>
        <v>0</v>
      </c>
      <c r="AJ184" s="300">
        <f t="shared" si="83"/>
        <v>0</v>
      </c>
      <c r="AK184" s="300">
        <f t="shared" si="83"/>
        <v>0</v>
      </c>
      <c r="AL184" s="300">
        <f t="shared" ref="AL184:AP184" si="84">SUM(AL183)</f>
        <v>40000000</v>
      </c>
      <c r="AM184" s="300">
        <f t="shared" si="84"/>
        <v>0</v>
      </c>
      <c r="AN184" s="300">
        <f t="shared" si="84"/>
        <v>0</v>
      </c>
      <c r="AO184" s="300">
        <f t="shared" si="84"/>
        <v>0</v>
      </c>
      <c r="AP184" s="300">
        <f t="shared" si="84"/>
        <v>0</v>
      </c>
      <c r="AQ184" s="158">
        <f>SUM(AQ183)</f>
        <v>40000000</v>
      </c>
    </row>
    <row r="185" spans="1:43" s="28" customFormat="1" ht="18.75" customHeight="1" x14ac:dyDescent="0.25">
      <c r="A185" s="297"/>
      <c r="B185" s="161"/>
      <c r="C185" s="220"/>
      <c r="D185" s="161"/>
      <c r="E185" s="162"/>
      <c r="F185" s="162"/>
      <c r="G185" s="161"/>
      <c r="H185" s="162"/>
      <c r="I185" s="161"/>
      <c r="J185" s="163"/>
      <c r="K185" s="163"/>
      <c r="L185" s="163"/>
      <c r="M185" s="164"/>
      <c r="N185" s="161"/>
      <c r="O185" s="162"/>
      <c r="P185" s="165">
        <f>P184</f>
        <v>0</v>
      </c>
      <c r="Q185" s="165">
        <f t="shared" ref="Q185:AK185" si="85">Q184</f>
        <v>0</v>
      </c>
      <c r="R185" s="165">
        <f t="shared" si="85"/>
        <v>0</v>
      </c>
      <c r="S185" s="165">
        <f t="shared" si="85"/>
        <v>0</v>
      </c>
      <c r="T185" s="165">
        <f t="shared" si="85"/>
        <v>0</v>
      </c>
      <c r="U185" s="165">
        <f t="shared" si="85"/>
        <v>0</v>
      </c>
      <c r="V185" s="165">
        <f t="shared" si="85"/>
        <v>0</v>
      </c>
      <c r="W185" s="165">
        <f t="shared" si="85"/>
        <v>0</v>
      </c>
      <c r="X185" s="165">
        <f t="shared" si="85"/>
        <v>0</v>
      </c>
      <c r="Y185" s="165">
        <f t="shared" si="85"/>
        <v>0</v>
      </c>
      <c r="Z185" s="165">
        <f t="shared" si="85"/>
        <v>0</v>
      </c>
      <c r="AA185" s="165">
        <f t="shared" si="85"/>
        <v>0</v>
      </c>
      <c r="AB185" s="165">
        <f t="shared" si="85"/>
        <v>0</v>
      </c>
      <c r="AC185" s="165">
        <f t="shared" si="85"/>
        <v>0</v>
      </c>
      <c r="AD185" s="165">
        <f t="shared" si="85"/>
        <v>0</v>
      </c>
      <c r="AE185" s="165">
        <f t="shared" si="85"/>
        <v>0</v>
      </c>
      <c r="AF185" s="165">
        <f t="shared" si="85"/>
        <v>0</v>
      </c>
      <c r="AG185" s="165">
        <f t="shared" si="85"/>
        <v>0</v>
      </c>
      <c r="AH185" s="165">
        <f t="shared" si="85"/>
        <v>0</v>
      </c>
      <c r="AI185" s="165">
        <f t="shared" si="85"/>
        <v>0</v>
      </c>
      <c r="AJ185" s="165">
        <f t="shared" si="85"/>
        <v>0</v>
      </c>
      <c r="AK185" s="165">
        <f t="shared" si="85"/>
        <v>0</v>
      </c>
      <c r="AL185" s="165">
        <f t="shared" ref="AL185:AP185" si="86">AL184</f>
        <v>40000000</v>
      </c>
      <c r="AM185" s="165">
        <f t="shared" si="86"/>
        <v>0</v>
      </c>
      <c r="AN185" s="165">
        <f t="shared" si="86"/>
        <v>0</v>
      </c>
      <c r="AO185" s="165">
        <f t="shared" si="86"/>
        <v>0</v>
      </c>
      <c r="AP185" s="165">
        <f t="shared" si="86"/>
        <v>0</v>
      </c>
      <c r="AQ185" s="165">
        <f>AQ184</f>
        <v>40000000</v>
      </c>
    </row>
    <row r="186" spans="1:43" s="28" customFormat="1" ht="24.75" customHeight="1" x14ac:dyDescent="0.25">
      <c r="A186" s="297"/>
      <c r="B186" s="774"/>
      <c r="C186" s="795"/>
      <c r="D186" s="177"/>
      <c r="E186" s="795"/>
      <c r="F186" s="795"/>
      <c r="G186" s="177"/>
      <c r="H186" s="795"/>
      <c r="I186" s="177"/>
      <c r="J186" s="178"/>
      <c r="K186" s="178"/>
      <c r="L186" s="178"/>
      <c r="M186" s="179"/>
      <c r="N186" s="177"/>
      <c r="O186" s="795"/>
      <c r="P186" s="180"/>
      <c r="Q186" s="180"/>
      <c r="R186" s="180"/>
      <c r="S186" s="180"/>
      <c r="T186" s="180"/>
      <c r="U186" s="180"/>
      <c r="V186" s="180"/>
      <c r="W186" s="180"/>
      <c r="X186" s="180"/>
      <c r="Y186" s="180"/>
      <c r="Z186" s="180"/>
      <c r="AA186" s="180"/>
      <c r="AB186" s="180"/>
      <c r="AC186" s="180"/>
      <c r="AD186" s="181"/>
      <c r="AE186" s="181"/>
      <c r="AF186" s="181"/>
      <c r="AG186" s="181"/>
      <c r="AH186" s="181"/>
      <c r="AI186" s="181"/>
      <c r="AJ186" s="180"/>
      <c r="AK186" s="180"/>
      <c r="AL186" s="182"/>
      <c r="AM186" s="183"/>
      <c r="AN186" s="180"/>
      <c r="AO186" s="180"/>
      <c r="AP186" s="180"/>
      <c r="AQ186" s="26"/>
    </row>
    <row r="187" spans="1:43" ht="31.5" customHeight="1" x14ac:dyDescent="0.25">
      <c r="A187" s="297"/>
      <c r="B187" s="301">
        <v>27</v>
      </c>
      <c r="C187" s="146" t="s">
        <v>63</v>
      </c>
      <c r="D187" s="146"/>
      <c r="E187" s="146"/>
      <c r="F187" s="146"/>
      <c r="G187" s="146"/>
      <c r="H187" s="147"/>
      <c r="I187" s="146"/>
      <c r="J187" s="146"/>
      <c r="K187" s="146"/>
      <c r="L187" s="146"/>
      <c r="M187" s="652"/>
      <c r="N187" s="146"/>
      <c r="O187" s="146"/>
      <c r="P187" s="146"/>
      <c r="Q187" s="146"/>
      <c r="R187" s="146"/>
      <c r="S187" s="146"/>
      <c r="T187" s="146"/>
      <c r="U187" s="146"/>
      <c r="V187" s="146"/>
      <c r="W187" s="146"/>
      <c r="X187" s="146"/>
      <c r="Y187" s="146"/>
      <c r="Z187" s="146"/>
      <c r="AA187" s="146"/>
      <c r="AB187" s="146"/>
      <c r="AC187" s="146"/>
      <c r="AD187" s="146"/>
      <c r="AE187" s="146"/>
      <c r="AF187" s="146"/>
      <c r="AG187" s="146"/>
      <c r="AH187" s="146"/>
      <c r="AI187" s="146"/>
      <c r="AJ187" s="146"/>
      <c r="AK187" s="146"/>
      <c r="AL187" s="148"/>
      <c r="AM187" s="146"/>
      <c r="AN187" s="146"/>
      <c r="AO187" s="146"/>
      <c r="AP187" s="146"/>
      <c r="AQ187" s="524"/>
    </row>
    <row r="188" spans="1:43" ht="31.5" customHeight="1" x14ac:dyDescent="0.25">
      <c r="A188" s="297"/>
      <c r="B188" s="23"/>
      <c r="C188" s="795"/>
      <c r="D188" s="256"/>
      <c r="E188" s="256"/>
      <c r="F188" s="257"/>
      <c r="G188" s="302">
        <v>85</v>
      </c>
      <c r="H188" s="3" t="s">
        <v>64</v>
      </c>
      <c r="I188" s="3"/>
      <c r="J188" s="3"/>
      <c r="K188" s="3"/>
      <c r="L188" s="3"/>
      <c r="M188" s="661"/>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109"/>
      <c r="AM188" s="3"/>
      <c r="AN188" s="3"/>
      <c r="AO188" s="3"/>
      <c r="AP188" s="3"/>
      <c r="AQ188" s="126"/>
    </row>
    <row r="189" spans="1:43" s="28" customFormat="1" ht="74.25" customHeight="1" x14ac:dyDescent="0.25">
      <c r="A189" s="29"/>
      <c r="B189" s="29"/>
      <c r="C189" s="861">
        <v>37</v>
      </c>
      <c r="D189" s="849" t="s">
        <v>229</v>
      </c>
      <c r="E189" s="858">
        <v>54.61</v>
      </c>
      <c r="F189" s="858">
        <v>60</v>
      </c>
      <c r="G189" s="23"/>
      <c r="H189" s="760">
        <v>250</v>
      </c>
      <c r="I189" s="774" t="s">
        <v>230</v>
      </c>
      <c r="J189" s="24">
        <v>1</v>
      </c>
      <c r="K189" s="24">
        <v>3</v>
      </c>
      <c r="L189" s="996" t="s">
        <v>66</v>
      </c>
      <c r="M189" s="854" t="s">
        <v>231</v>
      </c>
      <c r="N189" s="849" t="s">
        <v>232</v>
      </c>
      <c r="O189" s="57" t="s">
        <v>38</v>
      </c>
      <c r="P189" s="26">
        <v>0</v>
      </c>
      <c r="Q189" s="26">
        <v>0</v>
      </c>
      <c r="R189" s="26">
        <v>0</v>
      </c>
      <c r="S189" s="26">
        <v>0</v>
      </c>
      <c r="T189" s="26">
        <v>0</v>
      </c>
      <c r="U189" s="26">
        <v>0</v>
      </c>
      <c r="V189" s="26">
        <v>0</v>
      </c>
      <c r="W189" s="26"/>
      <c r="X189" s="26"/>
      <c r="Y189" s="26"/>
      <c r="Z189" s="26">
        <v>0</v>
      </c>
      <c r="AA189" s="26"/>
      <c r="AB189" s="26">
        <v>0</v>
      </c>
      <c r="AC189" s="26">
        <v>0</v>
      </c>
      <c r="AD189" s="26"/>
      <c r="AE189" s="26"/>
      <c r="AF189" s="26"/>
      <c r="AG189" s="26"/>
      <c r="AH189" s="26"/>
      <c r="AI189" s="26"/>
      <c r="AJ189" s="26">
        <v>0</v>
      </c>
      <c r="AK189" s="26">
        <v>0</v>
      </c>
      <c r="AL189" s="111">
        <f>69250000+205000000</f>
        <v>274250000</v>
      </c>
      <c r="AM189" s="40"/>
      <c r="AN189" s="26">
        <v>0</v>
      </c>
      <c r="AO189" s="27">
        <v>0</v>
      </c>
      <c r="AP189" s="27"/>
      <c r="AQ189" s="26">
        <f>P189+Q189+R189+S189+T189+U189+V189+W189+X189+Y189+Z189+AA189+AB189+AC189+AD189+AE189+AF189+AG189+AH189+AI189+AJ189+AK189+AL189+AM189+AN189+AP189+AO189</f>
        <v>274250000</v>
      </c>
    </row>
    <row r="190" spans="1:43" s="28" customFormat="1" ht="69.75" customHeight="1" x14ac:dyDescent="0.25">
      <c r="A190" s="29"/>
      <c r="B190" s="29"/>
      <c r="C190" s="875"/>
      <c r="D190" s="857"/>
      <c r="E190" s="860"/>
      <c r="F190" s="860"/>
      <c r="G190" s="29"/>
      <c r="H190" s="760">
        <v>251</v>
      </c>
      <c r="I190" s="774" t="s">
        <v>233</v>
      </c>
      <c r="J190" s="24">
        <v>0</v>
      </c>
      <c r="K190" s="24">
        <v>1</v>
      </c>
      <c r="L190" s="997"/>
      <c r="M190" s="855"/>
      <c r="N190" s="857"/>
      <c r="O190" s="57" t="s">
        <v>38</v>
      </c>
      <c r="P190" s="26">
        <v>0</v>
      </c>
      <c r="Q190" s="26">
        <v>0</v>
      </c>
      <c r="R190" s="26">
        <v>0</v>
      </c>
      <c r="S190" s="26">
        <v>0</v>
      </c>
      <c r="T190" s="26">
        <v>0</v>
      </c>
      <c r="U190" s="26">
        <v>0</v>
      </c>
      <c r="V190" s="26">
        <v>0</v>
      </c>
      <c r="W190" s="26"/>
      <c r="X190" s="26"/>
      <c r="Y190" s="26"/>
      <c r="Z190" s="26">
        <v>0</v>
      </c>
      <c r="AA190" s="26"/>
      <c r="AB190" s="26">
        <v>0</v>
      </c>
      <c r="AC190" s="26">
        <v>0</v>
      </c>
      <c r="AD190" s="26"/>
      <c r="AE190" s="26"/>
      <c r="AF190" s="26"/>
      <c r="AG190" s="26"/>
      <c r="AH190" s="26"/>
      <c r="AI190" s="26"/>
      <c r="AJ190" s="26">
        <v>0</v>
      </c>
      <c r="AK190" s="26">
        <v>0</v>
      </c>
      <c r="AL190" s="111">
        <f>230750000-25000000</f>
        <v>205750000</v>
      </c>
      <c r="AM190" s="40"/>
      <c r="AN190" s="26">
        <v>0</v>
      </c>
      <c r="AO190" s="27">
        <v>0</v>
      </c>
      <c r="AP190" s="27"/>
      <c r="AQ190" s="26">
        <f>P190+Q190+R190+S190+T190+U190+V190+W190+X190+Y190+Z190+AA190+AB190+AC190+AD190+AE190+AF190+AG190+AH190+AI190+AJ190+AK190+AL190+AM190+AN190+AP190+AO190</f>
        <v>205750000</v>
      </c>
    </row>
    <row r="191" spans="1:43" s="28" customFormat="1" ht="108.75" customHeight="1" x14ac:dyDescent="0.25">
      <c r="A191" s="29"/>
      <c r="B191" s="29"/>
      <c r="C191" s="862"/>
      <c r="D191" s="850"/>
      <c r="E191" s="859"/>
      <c r="F191" s="859"/>
      <c r="G191" s="30"/>
      <c r="H191" s="760">
        <v>254</v>
      </c>
      <c r="I191" s="70" t="s">
        <v>916</v>
      </c>
      <c r="J191" s="24">
        <v>0</v>
      </c>
      <c r="K191" s="24">
        <v>1</v>
      </c>
      <c r="L191" s="998"/>
      <c r="M191" s="856"/>
      <c r="N191" s="850"/>
      <c r="O191" s="57" t="s">
        <v>38</v>
      </c>
      <c r="P191" s="26">
        <v>0</v>
      </c>
      <c r="Q191" s="26">
        <v>0</v>
      </c>
      <c r="R191" s="26">
        <v>0</v>
      </c>
      <c r="S191" s="26">
        <v>0</v>
      </c>
      <c r="T191" s="26">
        <v>0</v>
      </c>
      <c r="U191" s="26">
        <v>0</v>
      </c>
      <c r="V191" s="26">
        <v>0</v>
      </c>
      <c r="W191" s="26"/>
      <c r="X191" s="26"/>
      <c r="Y191" s="26"/>
      <c r="Z191" s="26">
        <v>0</v>
      </c>
      <c r="AA191" s="26"/>
      <c r="AB191" s="26">
        <v>0</v>
      </c>
      <c r="AC191" s="26">
        <v>0</v>
      </c>
      <c r="AD191" s="26"/>
      <c r="AE191" s="26"/>
      <c r="AF191" s="26"/>
      <c r="AG191" s="26"/>
      <c r="AH191" s="26"/>
      <c r="AI191" s="26"/>
      <c r="AJ191" s="26">
        <v>0</v>
      </c>
      <c r="AK191" s="26">
        <v>0</v>
      </c>
      <c r="AL191" s="110">
        <v>25000000</v>
      </c>
      <c r="AM191" s="38"/>
      <c r="AN191" s="26">
        <v>0</v>
      </c>
      <c r="AO191" s="26">
        <v>0</v>
      </c>
      <c r="AP191" s="26"/>
      <c r="AQ191" s="26">
        <f>P191+Q191+R191+S191+T191+U191+V191+W191+X191+Y191+Z191+AA191+AB191+AC191+AD191+AE191+AF191+AG191+AH191+AI191+AJ191+AK191+AL191+AM191+AN191+AP191+AO191</f>
        <v>25000000</v>
      </c>
    </row>
    <row r="192" spans="1:43" ht="24.75" customHeight="1" x14ac:dyDescent="0.25">
      <c r="A192" s="297"/>
      <c r="B192" s="29"/>
      <c r="C192" s="215"/>
      <c r="D192" s="774"/>
      <c r="E192" s="775"/>
      <c r="F192" s="775"/>
      <c r="G192" s="216"/>
      <c r="H192" s="217"/>
      <c r="I192" s="303"/>
      <c r="J192" s="156"/>
      <c r="K192" s="156"/>
      <c r="L192" s="156"/>
      <c r="M192" s="157"/>
      <c r="N192" s="154"/>
      <c r="O192" s="155"/>
      <c r="P192" s="158">
        <f>SUM(P189:P191)</f>
        <v>0</v>
      </c>
      <c r="Q192" s="158">
        <f t="shared" ref="Q192:AK192" si="87">SUM(Q189:Q191)</f>
        <v>0</v>
      </c>
      <c r="R192" s="158">
        <f t="shared" si="87"/>
        <v>0</v>
      </c>
      <c r="S192" s="158">
        <f t="shared" si="87"/>
        <v>0</v>
      </c>
      <c r="T192" s="158">
        <f t="shared" si="87"/>
        <v>0</v>
      </c>
      <c r="U192" s="158">
        <f t="shared" si="87"/>
        <v>0</v>
      </c>
      <c r="V192" s="158">
        <f t="shared" si="87"/>
        <v>0</v>
      </c>
      <c r="W192" s="158">
        <f t="shared" si="87"/>
        <v>0</v>
      </c>
      <c r="X192" s="158">
        <f t="shared" si="87"/>
        <v>0</v>
      </c>
      <c r="Y192" s="158">
        <f t="shared" si="87"/>
        <v>0</v>
      </c>
      <c r="Z192" s="158">
        <f t="shared" si="87"/>
        <v>0</v>
      </c>
      <c r="AA192" s="158">
        <f t="shared" si="87"/>
        <v>0</v>
      </c>
      <c r="AB192" s="158">
        <f t="shared" si="87"/>
        <v>0</v>
      </c>
      <c r="AC192" s="158">
        <f t="shared" si="87"/>
        <v>0</v>
      </c>
      <c r="AD192" s="158">
        <f t="shared" si="87"/>
        <v>0</v>
      </c>
      <c r="AE192" s="158">
        <f t="shared" si="87"/>
        <v>0</v>
      </c>
      <c r="AF192" s="158">
        <f t="shared" si="87"/>
        <v>0</v>
      </c>
      <c r="AG192" s="158">
        <f t="shared" si="87"/>
        <v>0</v>
      </c>
      <c r="AH192" s="158">
        <f t="shared" si="87"/>
        <v>0</v>
      </c>
      <c r="AI192" s="158">
        <f t="shared" si="87"/>
        <v>0</v>
      </c>
      <c r="AJ192" s="158">
        <f t="shared" si="87"/>
        <v>0</v>
      </c>
      <c r="AK192" s="158">
        <f t="shared" si="87"/>
        <v>0</v>
      </c>
      <c r="AL192" s="158">
        <f t="shared" ref="AL192:AP192" si="88">SUM(AL189:AL191)</f>
        <v>505000000</v>
      </c>
      <c r="AM192" s="158">
        <f t="shared" si="88"/>
        <v>0</v>
      </c>
      <c r="AN192" s="158">
        <f t="shared" si="88"/>
        <v>0</v>
      </c>
      <c r="AO192" s="158">
        <f t="shared" si="88"/>
        <v>0</v>
      </c>
      <c r="AP192" s="158">
        <f t="shared" si="88"/>
        <v>0</v>
      </c>
      <c r="AQ192" s="158">
        <f>SUM(AQ189:AQ191)</f>
        <v>505000000</v>
      </c>
    </row>
    <row r="193" spans="1:45" s="28" customFormat="1" ht="20.25" customHeight="1" x14ac:dyDescent="0.25">
      <c r="A193" s="297"/>
      <c r="B193" s="29"/>
      <c r="C193" s="795"/>
      <c r="D193" s="177"/>
      <c r="E193" s="795"/>
      <c r="F193" s="795"/>
      <c r="G193" s="223"/>
      <c r="H193" s="776"/>
      <c r="I193" s="304"/>
      <c r="J193" s="178"/>
      <c r="K193" s="178"/>
      <c r="L193" s="178"/>
      <c r="M193" s="179"/>
      <c r="N193" s="177"/>
      <c r="O193" s="795"/>
      <c r="P193" s="180"/>
      <c r="Q193" s="180"/>
      <c r="R193" s="180"/>
      <c r="S193" s="180"/>
      <c r="T193" s="180"/>
      <c r="U193" s="180"/>
      <c r="V193" s="180"/>
      <c r="W193" s="180"/>
      <c r="X193" s="180"/>
      <c r="Y193" s="180"/>
      <c r="Z193" s="180"/>
      <c r="AA193" s="180"/>
      <c r="AB193" s="180"/>
      <c r="AC193" s="180"/>
      <c r="AD193" s="180"/>
      <c r="AE193" s="180"/>
      <c r="AF193" s="180"/>
      <c r="AG193" s="180"/>
      <c r="AH193" s="180"/>
      <c r="AI193" s="180"/>
      <c r="AJ193" s="180"/>
      <c r="AK193" s="180"/>
      <c r="AL193" s="182"/>
      <c r="AM193" s="183"/>
      <c r="AN193" s="180"/>
      <c r="AO193" s="180"/>
      <c r="AP193" s="180"/>
      <c r="AQ193" s="26"/>
    </row>
    <row r="194" spans="1:45" ht="27" customHeight="1" x14ac:dyDescent="0.25">
      <c r="A194" s="297"/>
      <c r="B194" s="29"/>
      <c r="C194" s="215"/>
      <c r="D194" s="774"/>
      <c r="E194" s="775"/>
      <c r="F194" s="775"/>
      <c r="G194" s="188">
        <v>86</v>
      </c>
      <c r="H194" s="189" t="s">
        <v>234</v>
      </c>
      <c r="I194" s="189"/>
      <c r="J194" s="189"/>
      <c r="K194" s="189"/>
      <c r="L194" s="189"/>
      <c r="M194" s="659"/>
      <c r="N194" s="189"/>
      <c r="O194" s="189"/>
      <c r="P194" s="189"/>
      <c r="Q194" s="189"/>
      <c r="R194" s="189"/>
      <c r="S194" s="189"/>
      <c r="T194" s="189"/>
      <c r="U194" s="189"/>
      <c r="V194" s="189"/>
      <c r="W194" s="189"/>
      <c r="X194" s="189"/>
      <c r="Y194" s="189"/>
      <c r="Z194" s="189"/>
      <c r="AA194" s="189"/>
      <c r="AB194" s="189"/>
      <c r="AC194" s="189"/>
      <c r="AD194" s="189"/>
      <c r="AE194" s="189"/>
      <c r="AF194" s="189"/>
      <c r="AG194" s="189"/>
      <c r="AH194" s="189"/>
      <c r="AI194" s="189"/>
      <c r="AJ194" s="189"/>
      <c r="AK194" s="189"/>
      <c r="AL194" s="190"/>
      <c r="AM194" s="189"/>
      <c r="AN194" s="189"/>
      <c r="AO194" s="189"/>
      <c r="AP194" s="189"/>
      <c r="AQ194" s="521"/>
    </row>
    <row r="195" spans="1:45" ht="85.5" customHeight="1" x14ac:dyDescent="0.25">
      <c r="A195" s="297"/>
      <c r="B195" s="29"/>
      <c r="C195" s="773">
        <v>37</v>
      </c>
      <c r="D195" s="774" t="s">
        <v>225</v>
      </c>
      <c r="E195" s="775">
        <v>54.61</v>
      </c>
      <c r="F195" s="775">
        <v>60</v>
      </c>
      <c r="G195" s="23"/>
      <c r="H195" s="775">
        <v>255</v>
      </c>
      <c r="I195" s="6" t="s">
        <v>235</v>
      </c>
      <c r="J195" s="24">
        <v>12</v>
      </c>
      <c r="K195" s="24">
        <v>12</v>
      </c>
      <c r="L195" s="25" t="s">
        <v>66</v>
      </c>
      <c r="M195" s="37" t="s">
        <v>236</v>
      </c>
      <c r="N195" s="774" t="s">
        <v>237</v>
      </c>
      <c r="O195" s="57" t="s">
        <v>38</v>
      </c>
      <c r="P195" s="26">
        <v>0</v>
      </c>
      <c r="Q195" s="26">
        <v>0</v>
      </c>
      <c r="R195" s="26">
        <v>0</v>
      </c>
      <c r="S195" s="26">
        <v>0</v>
      </c>
      <c r="T195" s="26">
        <v>0</v>
      </c>
      <c r="U195" s="26">
        <v>0</v>
      </c>
      <c r="V195" s="26">
        <v>0</v>
      </c>
      <c r="W195" s="26"/>
      <c r="X195" s="26"/>
      <c r="Y195" s="26"/>
      <c r="Z195" s="26">
        <v>0</v>
      </c>
      <c r="AA195" s="26"/>
      <c r="AB195" s="26">
        <v>0</v>
      </c>
      <c r="AC195" s="26">
        <v>0</v>
      </c>
      <c r="AD195" s="254"/>
      <c r="AE195" s="254"/>
      <c r="AF195" s="254"/>
      <c r="AG195" s="254"/>
      <c r="AH195" s="254"/>
      <c r="AI195" s="254"/>
      <c r="AJ195" s="26">
        <v>0</v>
      </c>
      <c r="AK195" s="26">
        <v>0</v>
      </c>
      <c r="AL195" s="112">
        <f>80000000+20500000</f>
        <v>100500000</v>
      </c>
      <c r="AM195" s="10"/>
      <c r="AN195" s="26">
        <v>0</v>
      </c>
      <c r="AO195" s="27">
        <v>0</v>
      </c>
      <c r="AP195" s="27"/>
      <c r="AQ195" s="26">
        <f>P195+Q195+R195+S195+T195+U195+V195+W195+X195+Y195+Z195+AA195+AB195+AC195+AD195+AE195+AF195+AG195+AH195+AI195+AJ195+AK195+AL195+AM195+AN195+AP195+AO195</f>
        <v>100500000</v>
      </c>
    </row>
    <row r="196" spans="1:45" s="47" customFormat="1" ht="27" customHeight="1" x14ac:dyDescent="0.25">
      <c r="A196" s="297"/>
      <c r="B196" s="30"/>
      <c r="C196" s="773"/>
      <c r="D196" s="774"/>
      <c r="E196" s="775"/>
      <c r="F196" s="775"/>
      <c r="G196" s="154"/>
      <c r="H196" s="155"/>
      <c r="I196" s="154"/>
      <c r="J196" s="156"/>
      <c r="K196" s="156"/>
      <c r="L196" s="156"/>
      <c r="M196" s="157"/>
      <c r="N196" s="154"/>
      <c r="O196" s="155"/>
      <c r="P196" s="158">
        <f>SUM(P195:P195)</f>
        <v>0</v>
      </c>
      <c r="Q196" s="158">
        <f t="shared" ref="Q196:AK196" si="89">SUM(Q195:Q195)</f>
        <v>0</v>
      </c>
      <c r="R196" s="158">
        <f t="shared" si="89"/>
        <v>0</v>
      </c>
      <c r="S196" s="158">
        <f t="shared" si="89"/>
        <v>0</v>
      </c>
      <c r="T196" s="158">
        <f t="shared" si="89"/>
        <v>0</v>
      </c>
      <c r="U196" s="158">
        <f t="shared" si="89"/>
        <v>0</v>
      </c>
      <c r="V196" s="158">
        <f t="shared" si="89"/>
        <v>0</v>
      </c>
      <c r="W196" s="158">
        <f t="shared" si="89"/>
        <v>0</v>
      </c>
      <c r="X196" s="158">
        <f t="shared" si="89"/>
        <v>0</v>
      </c>
      <c r="Y196" s="158">
        <f t="shared" si="89"/>
        <v>0</v>
      </c>
      <c r="Z196" s="158">
        <f t="shared" si="89"/>
        <v>0</v>
      </c>
      <c r="AA196" s="158">
        <f t="shared" si="89"/>
        <v>0</v>
      </c>
      <c r="AB196" s="158">
        <f t="shared" si="89"/>
        <v>0</v>
      </c>
      <c r="AC196" s="158">
        <f t="shared" si="89"/>
        <v>0</v>
      </c>
      <c r="AD196" s="158">
        <f t="shared" si="89"/>
        <v>0</v>
      </c>
      <c r="AE196" s="158">
        <f t="shared" si="89"/>
        <v>0</v>
      </c>
      <c r="AF196" s="158">
        <f t="shared" si="89"/>
        <v>0</v>
      </c>
      <c r="AG196" s="158">
        <f t="shared" si="89"/>
        <v>0</v>
      </c>
      <c r="AH196" s="158">
        <f t="shared" si="89"/>
        <v>0</v>
      </c>
      <c r="AI196" s="158">
        <f t="shared" si="89"/>
        <v>0</v>
      </c>
      <c r="AJ196" s="158">
        <f t="shared" si="89"/>
        <v>0</v>
      </c>
      <c r="AK196" s="158">
        <f t="shared" si="89"/>
        <v>0</v>
      </c>
      <c r="AL196" s="158">
        <f t="shared" ref="AL196:AP196" si="90">SUM(AL195:AL195)</f>
        <v>100500000</v>
      </c>
      <c r="AM196" s="158">
        <f t="shared" si="90"/>
        <v>0</v>
      </c>
      <c r="AN196" s="158">
        <f t="shared" si="90"/>
        <v>0</v>
      </c>
      <c r="AO196" s="158">
        <f t="shared" si="90"/>
        <v>0</v>
      </c>
      <c r="AP196" s="158">
        <f t="shared" si="90"/>
        <v>0</v>
      </c>
      <c r="AQ196" s="158">
        <f>SUM(AQ195:AQ195)</f>
        <v>100500000</v>
      </c>
    </row>
    <row r="197" spans="1:45" s="305" customFormat="1" ht="25.5" customHeight="1" x14ac:dyDescent="0.25">
      <c r="A197" s="214"/>
      <c r="B197" s="161"/>
      <c r="C197" s="220"/>
      <c r="D197" s="161"/>
      <c r="E197" s="162"/>
      <c r="F197" s="162"/>
      <c r="G197" s="161"/>
      <c r="H197" s="162"/>
      <c r="I197" s="161"/>
      <c r="J197" s="163"/>
      <c r="K197" s="163"/>
      <c r="L197" s="163"/>
      <c r="M197" s="164"/>
      <c r="N197" s="161"/>
      <c r="O197" s="162"/>
      <c r="P197" s="165">
        <f>P196+P192</f>
        <v>0</v>
      </c>
      <c r="Q197" s="165">
        <f t="shared" ref="Q197:AK197" si="91">Q196+Q192</f>
        <v>0</v>
      </c>
      <c r="R197" s="165">
        <f t="shared" si="91"/>
        <v>0</v>
      </c>
      <c r="S197" s="165">
        <f t="shared" si="91"/>
        <v>0</v>
      </c>
      <c r="T197" s="165">
        <f t="shared" si="91"/>
        <v>0</v>
      </c>
      <c r="U197" s="165">
        <f t="shared" si="91"/>
        <v>0</v>
      </c>
      <c r="V197" s="165">
        <f t="shared" si="91"/>
        <v>0</v>
      </c>
      <c r="W197" s="165">
        <f t="shared" si="91"/>
        <v>0</v>
      </c>
      <c r="X197" s="165">
        <f t="shared" si="91"/>
        <v>0</v>
      </c>
      <c r="Y197" s="165">
        <f t="shared" si="91"/>
        <v>0</v>
      </c>
      <c r="Z197" s="165">
        <f t="shared" si="91"/>
        <v>0</v>
      </c>
      <c r="AA197" s="165">
        <f t="shared" si="91"/>
        <v>0</v>
      </c>
      <c r="AB197" s="165">
        <f t="shared" si="91"/>
        <v>0</v>
      </c>
      <c r="AC197" s="165">
        <f t="shared" si="91"/>
        <v>0</v>
      </c>
      <c r="AD197" s="165">
        <f t="shared" si="91"/>
        <v>0</v>
      </c>
      <c r="AE197" s="165">
        <f t="shared" si="91"/>
        <v>0</v>
      </c>
      <c r="AF197" s="165">
        <f t="shared" si="91"/>
        <v>0</v>
      </c>
      <c r="AG197" s="165">
        <f t="shared" si="91"/>
        <v>0</v>
      </c>
      <c r="AH197" s="165">
        <f t="shared" si="91"/>
        <v>0</v>
      </c>
      <c r="AI197" s="165">
        <f t="shared" si="91"/>
        <v>0</v>
      </c>
      <c r="AJ197" s="165">
        <f t="shared" si="91"/>
        <v>0</v>
      </c>
      <c r="AK197" s="165">
        <f t="shared" si="91"/>
        <v>0</v>
      </c>
      <c r="AL197" s="165">
        <f t="shared" ref="AL197:AP197" si="92">AL196+AL192</f>
        <v>605500000</v>
      </c>
      <c r="AM197" s="165">
        <f t="shared" si="92"/>
        <v>0</v>
      </c>
      <c r="AN197" s="165">
        <f t="shared" si="92"/>
        <v>0</v>
      </c>
      <c r="AO197" s="165">
        <f t="shared" si="92"/>
        <v>0</v>
      </c>
      <c r="AP197" s="165">
        <f t="shared" si="92"/>
        <v>0</v>
      </c>
      <c r="AQ197" s="165">
        <f>AQ196+AQ192</f>
        <v>605500000</v>
      </c>
    </row>
    <row r="198" spans="1:45" ht="24" customHeight="1" x14ac:dyDescent="0.25">
      <c r="A198" s="166"/>
      <c r="B198" s="166"/>
      <c r="C198" s="167"/>
      <c r="D198" s="166"/>
      <c r="E198" s="167"/>
      <c r="F198" s="167"/>
      <c r="G198" s="166"/>
      <c r="H198" s="167"/>
      <c r="I198" s="166"/>
      <c r="J198" s="168"/>
      <c r="K198" s="168"/>
      <c r="L198" s="168"/>
      <c r="M198" s="169"/>
      <c r="N198" s="166"/>
      <c r="O198" s="167"/>
      <c r="P198" s="170">
        <f>P197+P185</f>
        <v>0</v>
      </c>
      <c r="Q198" s="170">
        <f t="shared" ref="Q198:AK198" si="93">Q197+Q185</f>
        <v>0</v>
      </c>
      <c r="R198" s="170">
        <f t="shared" si="93"/>
        <v>0</v>
      </c>
      <c r="S198" s="170">
        <f t="shared" si="93"/>
        <v>0</v>
      </c>
      <c r="T198" s="170">
        <f t="shared" si="93"/>
        <v>0</v>
      </c>
      <c r="U198" s="170">
        <f t="shared" si="93"/>
        <v>0</v>
      </c>
      <c r="V198" s="170">
        <f t="shared" si="93"/>
        <v>0</v>
      </c>
      <c r="W198" s="170">
        <f t="shared" si="93"/>
        <v>0</v>
      </c>
      <c r="X198" s="170">
        <f t="shared" si="93"/>
        <v>0</v>
      </c>
      <c r="Y198" s="170">
        <f t="shared" si="93"/>
        <v>0</v>
      </c>
      <c r="Z198" s="170">
        <f t="shared" si="93"/>
        <v>0</v>
      </c>
      <c r="AA198" s="170">
        <f t="shared" si="93"/>
        <v>0</v>
      </c>
      <c r="AB198" s="170">
        <f t="shared" si="93"/>
        <v>0</v>
      </c>
      <c r="AC198" s="170">
        <f t="shared" si="93"/>
        <v>0</v>
      </c>
      <c r="AD198" s="170">
        <f t="shared" si="93"/>
        <v>0</v>
      </c>
      <c r="AE198" s="170">
        <f t="shared" si="93"/>
        <v>0</v>
      </c>
      <c r="AF198" s="170">
        <f t="shared" si="93"/>
        <v>0</v>
      </c>
      <c r="AG198" s="170">
        <f t="shared" si="93"/>
        <v>0</v>
      </c>
      <c r="AH198" s="170">
        <f t="shared" si="93"/>
        <v>0</v>
      </c>
      <c r="AI198" s="170">
        <f t="shared" si="93"/>
        <v>0</v>
      </c>
      <c r="AJ198" s="170">
        <f t="shared" si="93"/>
        <v>0</v>
      </c>
      <c r="AK198" s="170">
        <f t="shared" si="93"/>
        <v>0</v>
      </c>
      <c r="AL198" s="170">
        <f t="shared" ref="AL198:AP198" si="94">AL197+AL185</f>
        <v>645500000</v>
      </c>
      <c r="AM198" s="170">
        <f t="shared" si="94"/>
        <v>0</v>
      </c>
      <c r="AN198" s="170">
        <f t="shared" si="94"/>
        <v>0</v>
      </c>
      <c r="AO198" s="170">
        <f t="shared" si="94"/>
        <v>0</v>
      </c>
      <c r="AP198" s="170">
        <f t="shared" si="94"/>
        <v>0</v>
      </c>
      <c r="AQ198" s="170">
        <f>AQ197+AQ185</f>
        <v>645500000</v>
      </c>
    </row>
    <row r="199" spans="1:45" ht="24" customHeight="1" x14ac:dyDescent="0.25">
      <c r="A199" s="171"/>
      <c r="B199" s="171"/>
      <c r="C199" s="172"/>
      <c r="D199" s="171"/>
      <c r="E199" s="172"/>
      <c r="F199" s="172"/>
      <c r="G199" s="171"/>
      <c r="H199" s="172"/>
      <c r="I199" s="171"/>
      <c r="J199" s="173"/>
      <c r="K199" s="173"/>
      <c r="L199" s="173"/>
      <c r="M199" s="174"/>
      <c r="N199" s="171"/>
      <c r="O199" s="172"/>
      <c r="P199" s="175">
        <f>P198+P178</f>
        <v>0</v>
      </c>
      <c r="Q199" s="175">
        <f t="shared" ref="Q199:AK199" si="95">Q198+Q178</f>
        <v>0</v>
      </c>
      <c r="R199" s="175">
        <f t="shared" si="95"/>
        <v>0</v>
      </c>
      <c r="S199" s="175">
        <f t="shared" si="95"/>
        <v>9145274815.1000004</v>
      </c>
      <c r="T199" s="175">
        <f t="shared" si="95"/>
        <v>0</v>
      </c>
      <c r="U199" s="175">
        <f t="shared" si="95"/>
        <v>0</v>
      </c>
      <c r="V199" s="175">
        <f t="shared" si="95"/>
        <v>0</v>
      </c>
      <c r="W199" s="175">
        <f t="shared" si="95"/>
        <v>0</v>
      </c>
      <c r="X199" s="175">
        <f t="shared" si="95"/>
        <v>0</v>
      </c>
      <c r="Y199" s="175">
        <f t="shared" si="95"/>
        <v>0</v>
      </c>
      <c r="Z199" s="175">
        <f t="shared" si="95"/>
        <v>0</v>
      </c>
      <c r="AA199" s="175">
        <f t="shared" si="95"/>
        <v>0</v>
      </c>
      <c r="AB199" s="175">
        <f t="shared" si="95"/>
        <v>0</v>
      </c>
      <c r="AC199" s="175">
        <f t="shared" si="95"/>
        <v>0</v>
      </c>
      <c r="AD199" s="175">
        <f t="shared" si="95"/>
        <v>0</v>
      </c>
      <c r="AE199" s="175">
        <f t="shared" si="95"/>
        <v>0</v>
      </c>
      <c r="AF199" s="175">
        <f t="shared" si="95"/>
        <v>0</v>
      </c>
      <c r="AG199" s="175">
        <f t="shared" si="95"/>
        <v>0</v>
      </c>
      <c r="AH199" s="175">
        <f t="shared" si="95"/>
        <v>0</v>
      </c>
      <c r="AI199" s="175">
        <f t="shared" si="95"/>
        <v>0</v>
      </c>
      <c r="AJ199" s="175">
        <f t="shared" si="95"/>
        <v>0</v>
      </c>
      <c r="AK199" s="175">
        <f t="shared" si="95"/>
        <v>0</v>
      </c>
      <c r="AL199" s="175">
        <f t="shared" ref="AL199:AP199" si="96">AL198+AL178</f>
        <v>2204349776</v>
      </c>
      <c r="AM199" s="175">
        <f t="shared" si="96"/>
        <v>0</v>
      </c>
      <c r="AN199" s="175">
        <f t="shared" si="96"/>
        <v>0</v>
      </c>
      <c r="AO199" s="175">
        <f t="shared" si="96"/>
        <v>0</v>
      </c>
      <c r="AP199" s="175">
        <f t="shared" si="96"/>
        <v>0</v>
      </c>
      <c r="AQ199" s="711">
        <f>AQ198+AQ178</f>
        <v>11349624591.1</v>
      </c>
    </row>
    <row r="200" spans="1:45" s="28" customFormat="1" ht="21" customHeight="1" x14ac:dyDescent="0.25">
      <c r="A200" s="232"/>
      <c r="B200" s="223"/>
      <c r="C200" s="776"/>
      <c r="D200" s="223"/>
      <c r="E200" s="776"/>
      <c r="F200" s="776"/>
      <c r="G200" s="223"/>
      <c r="H200" s="776"/>
      <c r="I200" s="223"/>
      <c r="J200" s="233"/>
      <c r="K200" s="233"/>
      <c r="L200" s="233"/>
      <c r="M200" s="234"/>
      <c r="N200" s="223"/>
      <c r="O200" s="776"/>
      <c r="P200" s="235"/>
      <c r="Q200" s="235"/>
      <c r="R200" s="235"/>
      <c r="S200" s="235"/>
      <c r="T200" s="235"/>
      <c r="U200" s="235"/>
      <c r="V200" s="235"/>
      <c r="W200" s="235"/>
      <c r="X200" s="235"/>
      <c r="Y200" s="235"/>
      <c r="Z200" s="235"/>
      <c r="AA200" s="235"/>
      <c r="AB200" s="235"/>
      <c r="AC200" s="235"/>
      <c r="AD200" s="236"/>
      <c r="AE200" s="236"/>
      <c r="AF200" s="236"/>
      <c r="AG200" s="236"/>
      <c r="AH200" s="236"/>
      <c r="AI200" s="236"/>
      <c r="AJ200" s="235"/>
      <c r="AK200" s="235"/>
      <c r="AL200" s="110"/>
      <c r="AM200" s="306"/>
      <c r="AN200" s="235"/>
      <c r="AO200" s="235"/>
      <c r="AP200" s="235"/>
      <c r="AQ200" s="815"/>
      <c r="AR200" s="707"/>
      <c r="AS200" s="707"/>
    </row>
    <row r="201" spans="1:45" ht="20.25" x14ac:dyDescent="0.25">
      <c r="A201" s="238" t="s">
        <v>238</v>
      </c>
      <c r="B201" s="239"/>
      <c r="C201" s="240"/>
      <c r="D201" s="239"/>
      <c r="E201" s="239"/>
      <c r="F201" s="239"/>
      <c r="G201" s="239"/>
      <c r="H201" s="240"/>
      <c r="I201" s="239"/>
      <c r="J201" s="239"/>
      <c r="K201" s="239"/>
      <c r="L201" s="239"/>
      <c r="M201" s="656"/>
      <c r="N201" s="239"/>
      <c r="O201" s="240"/>
      <c r="P201" s="239"/>
      <c r="Q201" s="239"/>
      <c r="R201" s="239"/>
      <c r="S201" s="239"/>
      <c r="T201" s="239"/>
      <c r="U201" s="239"/>
      <c r="V201" s="239"/>
      <c r="W201" s="239"/>
      <c r="X201" s="239"/>
      <c r="Y201" s="239"/>
      <c r="Z201" s="239"/>
      <c r="AA201" s="239"/>
      <c r="AB201" s="239"/>
      <c r="AC201" s="239"/>
      <c r="AD201" s="239"/>
      <c r="AE201" s="239"/>
      <c r="AF201" s="239"/>
      <c r="AG201" s="239"/>
      <c r="AH201" s="239"/>
      <c r="AI201" s="239"/>
      <c r="AJ201" s="239"/>
      <c r="AK201" s="239"/>
      <c r="AL201" s="307"/>
      <c r="AM201" s="242"/>
      <c r="AN201" s="239"/>
      <c r="AO201" s="239"/>
      <c r="AP201" s="239"/>
      <c r="AQ201" s="564" t="s">
        <v>0</v>
      </c>
    </row>
    <row r="202" spans="1:45" s="28" customFormat="1" ht="15" x14ac:dyDescent="0.25">
      <c r="A202" s="139">
        <v>3</v>
      </c>
      <c r="B202" s="140" t="s">
        <v>239</v>
      </c>
      <c r="C202" s="141"/>
      <c r="D202" s="140"/>
      <c r="E202" s="140"/>
      <c r="F202" s="140"/>
      <c r="G202" s="140"/>
      <c r="H202" s="141"/>
      <c r="I202" s="140"/>
      <c r="J202" s="140"/>
      <c r="K202" s="140"/>
      <c r="L202" s="140"/>
      <c r="M202" s="651"/>
      <c r="N202" s="140"/>
      <c r="O202" s="140"/>
      <c r="P202" s="140"/>
      <c r="Q202" s="140"/>
      <c r="R202" s="140"/>
      <c r="S202" s="140"/>
      <c r="T202" s="140"/>
      <c r="U202" s="140"/>
      <c r="V202" s="140"/>
      <c r="W202" s="140"/>
      <c r="X202" s="140"/>
      <c r="Y202" s="140"/>
      <c r="Z202" s="140"/>
      <c r="AA202" s="140"/>
      <c r="AB202" s="140"/>
      <c r="AC202" s="140"/>
      <c r="AD202" s="140"/>
      <c r="AE202" s="140"/>
      <c r="AF202" s="140"/>
      <c r="AG202" s="140"/>
      <c r="AH202" s="140"/>
      <c r="AI202" s="140"/>
      <c r="AJ202" s="140"/>
      <c r="AK202" s="140"/>
      <c r="AL202" s="142"/>
      <c r="AM202" s="140"/>
      <c r="AN202" s="140"/>
      <c r="AO202" s="140"/>
      <c r="AP202" s="140"/>
      <c r="AQ202" s="538"/>
    </row>
    <row r="203" spans="1:45" s="28" customFormat="1" ht="15" x14ac:dyDescent="0.25">
      <c r="A203" s="185"/>
      <c r="B203" s="243">
        <v>9</v>
      </c>
      <c r="C203" s="147" t="s">
        <v>240</v>
      </c>
      <c r="D203" s="146"/>
      <c r="E203" s="146"/>
      <c r="F203" s="146"/>
      <c r="G203" s="146"/>
      <c r="H203" s="147"/>
      <c r="I203" s="146"/>
      <c r="J203" s="146"/>
      <c r="K203" s="146"/>
      <c r="L203" s="146"/>
      <c r="M203" s="652"/>
      <c r="N203" s="146"/>
      <c r="O203" s="146"/>
      <c r="P203" s="146"/>
      <c r="Q203" s="146"/>
      <c r="R203" s="146"/>
      <c r="S203" s="146"/>
      <c r="T203" s="146"/>
      <c r="U203" s="146"/>
      <c r="V203" s="146"/>
      <c r="W203" s="146"/>
      <c r="X203" s="146"/>
      <c r="Y203" s="146"/>
      <c r="Z203" s="146"/>
      <c r="AA203" s="146"/>
      <c r="AB203" s="146"/>
      <c r="AC203" s="146"/>
      <c r="AD203" s="146"/>
      <c r="AE203" s="146"/>
      <c r="AF203" s="146"/>
      <c r="AG203" s="146"/>
      <c r="AH203" s="146"/>
      <c r="AI203" s="146"/>
      <c r="AJ203" s="146"/>
      <c r="AK203" s="146"/>
      <c r="AL203" s="148"/>
      <c r="AM203" s="146"/>
      <c r="AN203" s="146"/>
      <c r="AO203" s="146"/>
      <c r="AP203" s="146"/>
      <c r="AQ203" s="524"/>
    </row>
    <row r="204" spans="1:45" s="28" customFormat="1" ht="15" x14ac:dyDescent="0.25">
      <c r="A204" s="20"/>
      <c r="B204" s="185"/>
      <c r="C204" s="244"/>
      <c r="D204" s="186"/>
      <c r="E204" s="186"/>
      <c r="F204" s="187"/>
      <c r="G204" s="188">
        <v>29</v>
      </c>
      <c r="H204" s="189" t="s">
        <v>241</v>
      </c>
      <c r="I204" s="189"/>
      <c r="J204" s="189"/>
      <c r="K204" s="189"/>
      <c r="L204" s="189"/>
      <c r="M204" s="659"/>
      <c r="N204" s="189"/>
      <c r="O204" s="189"/>
      <c r="P204" s="189"/>
      <c r="Q204" s="189"/>
      <c r="R204" s="189"/>
      <c r="S204" s="189"/>
      <c r="T204" s="189"/>
      <c r="U204" s="189"/>
      <c r="V204" s="189"/>
      <c r="W204" s="189"/>
      <c r="X204" s="189"/>
      <c r="Y204" s="189"/>
      <c r="Z204" s="189"/>
      <c r="AA204" s="189"/>
      <c r="AB204" s="189"/>
      <c r="AC204" s="189"/>
      <c r="AD204" s="189"/>
      <c r="AE204" s="189"/>
      <c r="AF204" s="189"/>
      <c r="AG204" s="189"/>
      <c r="AH204" s="189"/>
      <c r="AI204" s="189"/>
      <c r="AJ204" s="189"/>
      <c r="AK204" s="189"/>
      <c r="AL204" s="190"/>
      <c r="AM204" s="189"/>
      <c r="AN204" s="189"/>
      <c r="AO204" s="189"/>
      <c r="AP204" s="189"/>
      <c r="AQ204" s="521"/>
    </row>
    <row r="205" spans="1:45" s="28" customFormat="1" ht="251.25" customHeight="1" x14ac:dyDescent="0.25">
      <c r="A205" s="20"/>
      <c r="B205" s="20"/>
      <c r="C205" s="767" t="s">
        <v>242</v>
      </c>
      <c r="D205" s="792" t="s">
        <v>249</v>
      </c>
      <c r="E205" s="793" t="s">
        <v>243</v>
      </c>
      <c r="F205" s="762" t="s">
        <v>244</v>
      </c>
      <c r="G205" s="762"/>
      <c r="H205" s="762">
        <v>114</v>
      </c>
      <c r="I205" s="765" t="s">
        <v>245</v>
      </c>
      <c r="J205" s="802" t="s">
        <v>30</v>
      </c>
      <c r="K205" s="762">
        <v>30</v>
      </c>
      <c r="L205" s="762" t="s">
        <v>246</v>
      </c>
      <c r="M205" s="37" t="s">
        <v>247</v>
      </c>
      <c r="N205" s="764" t="s">
        <v>248</v>
      </c>
      <c r="O205" s="762" t="s">
        <v>38</v>
      </c>
      <c r="P205" s="674">
        <f>158620000+737538491+5427554-10728309.58</f>
        <v>890857735.41999996</v>
      </c>
      <c r="Q205" s="107"/>
      <c r="R205" s="107"/>
      <c r="S205" s="107"/>
      <c r="T205" s="107"/>
      <c r="U205" s="107"/>
      <c r="V205" s="107"/>
      <c r="W205" s="107"/>
      <c r="X205" s="107"/>
      <c r="Y205" s="107"/>
      <c r="Z205" s="107"/>
      <c r="AA205" s="107"/>
      <c r="AB205" s="107"/>
      <c r="AC205" s="107"/>
      <c r="AD205" s="107"/>
      <c r="AE205" s="107"/>
      <c r="AF205" s="107"/>
      <c r="AG205" s="107"/>
      <c r="AH205" s="107"/>
      <c r="AI205" s="107"/>
      <c r="AJ205" s="107"/>
      <c r="AK205" s="107"/>
      <c r="AL205" s="308"/>
      <c r="AM205" s="309"/>
      <c r="AN205" s="107"/>
      <c r="AO205" s="310"/>
      <c r="AP205" s="310"/>
      <c r="AQ205" s="26">
        <f>P205+Q205+R205+S205+T205+U205+V205+W205+X205+Y205+Z205+AA205+AB205+AC205+AD205+AE205+AF205+AG205+AH205+AI205+AJ205+AK205+AL205+AM205+AN205+AP205+AO205</f>
        <v>890857735.41999996</v>
      </c>
    </row>
    <row r="206" spans="1:45" s="28" customFormat="1" ht="108.75" customHeight="1" x14ac:dyDescent="0.25">
      <c r="A206" s="20"/>
      <c r="B206" s="20"/>
      <c r="C206" s="861" t="s">
        <v>242</v>
      </c>
      <c r="D206" s="947" t="s">
        <v>249</v>
      </c>
      <c r="E206" s="993" t="s">
        <v>243</v>
      </c>
      <c r="F206" s="858" t="s">
        <v>243</v>
      </c>
      <c r="G206" s="29"/>
      <c r="H206" s="762">
        <v>114</v>
      </c>
      <c r="I206" s="765" t="s">
        <v>245</v>
      </c>
      <c r="J206" s="802" t="s">
        <v>30</v>
      </c>
      <c r="K206" s="787">
        <v>30</v>
      </c>
      <c r="L206" s="858" t="s">
        <v>246</v>
      </c>
      <c r="M206" s="855" t="s">
        <v>250</v>
      </c>
      <c r="N206" s="849" t="s">
        <v>251</v>
      </c>
      <c r="O206" s="762" t="s">
        <v>38</v>
      </c>
      <c r="P206" s="311">
        <v>0</v>
      </c>
      <c r="Q206" s="44">
        <v>0</v>
      </c>
      <c r="R206" s="44">
        <v>0</v>
      </c>
      <c r="S206" s="44">
        <v>0</v>
      </c>
      <c r="T206" s="44">
        <v>0</v>
      </c>
      <c r="U206" s="44">
        <v>0</v>
      </c>
      <c r="V206" s="44">
        <v>0</v>
      </c>
      <c r="W206" s="44"/>
      <c r="X206" s="44"/>
      <c r="Y206" s="44"/>
      <c r="Z206" s="44">
        <v>0</v>
      </c>
      <c r="AA206" s="44"/>
      <c r="AB206" s="44">
        <v>0</v>
      </c>
      <c r="AC206" s="44">
        <v>0</v>
      </c>
      <c r="AD206" s="44"/>
      <c r="AE206" s="44"/>
      <c r="AF206" s="44"/>
      <c r="AG206" s="44"/>
      <c r="AH206" s="44"/>
      <c r="AI206" s="44"/>
      <c r="AJ206" s="44">
        <v>0</v>
      </c>
      <c r="AK206" s="44">
        <v>0</v>
      </c>
      <c r="AL206" s="308">
        <f>175100000+240000000+450000000+300000000+100000000</f>
        <v>1265100000</v>
      </c>
      <c r="AM206" s="309"/>
      <c r="AN206" s="44">
        <v>0</v>
      </c>
      <c r="AO206" s="312">
        <v>0</v>
      </c>
      <c r="AP206" s="312"/>
      <c r="AQ206" s="26">
        <f>P206+Q206+R206+S206+T206+U206+V206+W206+X206+Y206+Z206+AA206+AB206+AC206+AD206+AE206+AF206+AG206+AH206+AI206+AJ206+AK206+AL206+AM206+AN206+AP206+AO206</f>
        <v>1265100000</v>
      </c>
    </row>
    <row r="207" spans="1:45" s="28" customFormat="1" ht="68.25" customHeight="1" x14ac:dyDescent="0.25">
      <c r="A207" s="20"/>
      <c r="B207" s="20"/>
      <c r="C207" s="875"/>
      <c r="D207" s="948"/>
      <c r="E207" s="994"/>
      <c r="F207" s="860"/>
      <c r="G207" s="29"/>
      <c r="H207" s="762">
        <v>115</v>
      </c>
      <c r="I207" s="774" t="s">
        <v>252</v>
      </c>
      <c r="J207" s="31">
        <v>0</v>
      </c>
      <c r="K207" s="313">
        <v>35</v>
      </c>
      <c r="L207" s="860"/>
      <c r="M207" s="855"/>
      <c r="N207" s="857"/>
      <c r="O207" s="775" t="s">
        <v>34</v>
      </c>
      <c r="P207" s="14">
        <f>793100000+566730870+27037773-53541550.99</f>
        <v>1333327092.01</v>
      </c>
      <c r="Q207" s="26">
        <v>0</v>
      </c>
      <c r="R207" s="26">
        <v>0</v>
      </c>
      <c r="S207" s="26">
        <v>0</v>
      </c>
      <c r="T207" s="26">
        <v>0</v>
      </c>
      <c r="U207" s="26">
        <v>0</v>
      </c>
      <c r="V207" s="26">
        <v>0</v>
      </c>
      <c r="W207" s="26"/>
      <c r="X207" s="26"/>
      <c r="Y207" s="26"/>
      <c r="Z207" s="26">
        <v>0</v>
      </c>
      <c r="AA207" s="26"/>
      <c r="AB207" s="26">
        <v>0</v>
      </c>
      <c r="AC207" s="26">
        <v>0</v>
      </c>
      <c r="AD207" s="26"/>
      <c r="AE207" s="26"/>
      <c r="AF207" s="26"/>
      <c r="AG207" s="26"/>
      <c r="AH207" s="26"/>
      <c r="AI207" s="26"/>
      <c r="AJ207" s="26">
        <v>0</v>
      </c>
      <c r="AK207" s="26">
        <v>0</v>
      </c>
      <c r="AL207" s="110">
        <f>400000000-400000000</f>
        <v>0</v>
      </c>
      <c r="AM207" s="38"/>
      <c r="AN207" s="26">
        <v>0</v>
      </c>
      <c r="AO207" s="27">
        <v>0</v>
      </c>
      <c r="AP207" s="27"/>
      <c r="AQ207" s="26">
        <f>P207+Q207+R207+S207+T207+U207+V207+W207+X207+Y207+Z207+AA207+AB207+AC207+AD207+AE207+AF207+AG207+AH207+AI207+AJ207+AK207+AL207+AM207+AN207+AP207+AO207</f>
        <v>1333327092.01</v>
      </c>
    </row>
    <row r="208" spans="1:45" s="28" customFormat="1" ht="73.5" customHeight="1" x14ac:dyDescent="0.25">
      <c r="A208" s="20"/>
      <c r="B208" s="20"/>
      <c r="C208" s="862"/>
      <c r="D208" s="949"/>
      <c r="E208" s="995"/>
      <c r="F208" s="859"/>
      <c r="G208" s="30"/>
      <c r="H208" s="762">
        <v>116</v>
      </c>
      <c r="I208" s="774" t="s">
        <v>253</v>
      </c>
      <c r="J208" s="31" t="s">
        <v>30</v>
      </c>
      <c r="K208" s="314">
        <v>11</v>
      </c>
      <c r="L208" s="859"/>
      <c r="M208" s="856"/>
      <c r="N208" s="850"/>
      <c r="O208" s="775" t="s">
        <v>34</v>
      </c>
      <c r="P208" s="675">
        <f>158620000+158211035+5427554-10728309.59</f>
        <v>311530279.41000003</v>
      </c>
      <c r="Q208" s="26">
        <v>0</v>
      </c>
      <c r="R208" s="26">
        <v>0</v>
      </c>
      <c r="S208" s="26">
        <v>0</v>
      </c>
      <c r="T208" s="26">
        <v>0</v>
      </c>
      <c r="U208" s="26">
        <v>0</v>
      </c>
      <c r="V208" s="26">
        <v>0</v>
      </c>
      <c r="W208" s="26"/>
      <c r="X208" s="26"/>
      <c r="Y208" s="26"/>
      <c r="Z208" s="26">
        <v>0</v>
      </c>
      <c r="AA208" s="26"/>
      <c r="AB208" s="26">
        <v>0</v>
      </c>
      <c r="AC208" s="26">
        <v>0</v>
      </c>
      <c r="AD208" s="26"/>
      <c r="AE208" s="26"/>
      <c r="AF208" s="26"/>
      <c r="AG208" s="26"/>
      <c r="AH208" s="26"/>
      <c r="AI208" s="26"/>
      <c r="AJ208" s="26">
        <v>0</v>
      </c>
      <c r="AK208" s="26">
        <v>0</v>
      </c>
      <c r="AL208" s="110">
        <f>50000000-50000000</f>
        <v>0</v>
      </c>
      <c r="AM208" s="38"/>
      <c r="AN208" s="26">
        <v>0</v>
      </c>
      <c r="AO208" s="27">
        <v>0</v>
      </c>
      <c r="AP208" s="27"/>
      <c r="AQ208" s="26">
        <f>P208+Q208+R208+S208+T208+U208+V208+W208+X208+Y208+Z208+AA208+AB208+AC208+AD208+AE208+AF208+AG208+AH208+AI208+AJ208+AK208+AL208+AM208+AN208+AP208+AO208</f>
        <v>311530279.41000003</v>
      </c>
    </row>
    <row r="209" spans="1:43" ht="15" x14ac:dyDescent="0.25">
      <c r="A209" s="20"/>
      <c r="B209" s="20"/>
      <c r="C209" s="215"/>
      <c r="D209" s="315"/>
      <c r="E209" s="811"/>
      <c r="F209" s="811"/>
      <c r="G209" s="154"/>
      <c r="H209" s="155"/>
      <c r="I209" s="154"/>
      <c r="J209" s="316"/>
      <c r="K209" s="155"/>
      <c r="L209" s="155"/>
      <c r="M209" s="157"/>
      <c r="N209" s="154"/>
      <c r="O209" s="155"/>
      <c r="P209" s="158">
        <f t="shared" ref="P209:AO209" si="97">SUM(P205:P208)</f>
        <v>2535715106.8399997</v>
      </c>
      <c r="Q209" s="158">
        <f t="shared" si="97"/>
        <v>0</v>
      </c>
      <c r="R209" s="158">
        <f t="shared" si="97"/>
        <v>0</v>
      </c>
      <c r="S209" s="158">
        <f t="shared" si="97"/>
        <v>0</v>
      </c>
      <c r="T209" s="158">
        <f t="shared" si="97"/>
        <v>0</v>
      </c>
      <c r="U209" s="158">
        <f t="shared" si="97"/>
        <v>0</v>
      </c>
      <c r="V209" s="158">
        <f t="shared" si="97"/>
        <v>0</v>
      </c>
      <c r="W209" s="158">
        <f t="shared" si="97"/>
        <v>0</v>
      </c>
      <c r="X209" s="158">
        <f t="shared" si="97"/>
        <v>0</v>
      </c>
      <c r="Y209" s="158">
        <f t="shared" si="97"/>
        <v>0</v>
      </c>
      <c r="Z209" s="158">
        <f t="shared" si="97"/>
        <v>0</v>
      </c>
      <c r="AA209" s="158">
        <f t="shared" si="97"/>
        <v>0</v>
      </c>
      <c r="AB209" s="158">
        <f t="shared" si="97"/>
        <v>0</v>
      </c>
      <c r="AC209" s="158">
        <f t="shared" si="97"/>
        <v>0</v>
      </c>
      <c r="AD209" s="158">
        <f t="shared" si="97"/>
        <v>0</v>
      </c>
      <c r="AE209" s="158">
        <f t="shared" si="97"/>
        <v>0</v>
      </c>
      <c r="AF209" s="158">
        <f t="shared" si="97"/>
        <v>0</v>
      </c>
      <c r="AG209" s="158">
        <f t="shared" si="97"/>
        <v>0</v>
      </c>
      <c r="AH209" s="158">
        <f t="shared" si="97"/>
        <v>0</v>
      </c>
      <c r="AI209" s="158">
        <f t="shared" si="97"/>
        <v>0</v>
      </c>
      <c r="AJ209" s="158">
        <f t="shared" si="97"/>
        <v>0</v>
      </c>
      <c r="AK209" s="158">
        <f t="shared" si="97"/>
        <v>0</v>
      </c>
      <c r="AL209" s="158">
        <f t="shared" si="97"/>
        <v>1265100000</v>
      </c>
      <c r="AM209" s="158">
        <f t="shared" si="97"/>
        <v>0</v>
      </c>
      <c r="AN209" s="158">
        <f t="shared" si="97"/>
        <v>0</v>
      </c>
      <c r="AO209" s="158">
        <f t="shared" si="97"/>
        <v>0</v>
      </c>
      <c r="AP209" s="158">
        <f t="shared" ref="AP209:AQ209" si="98">SUM(AP205:AP208)</f>
        <v>0</v>
      </c>
      <c r="AQ209" s="158">
        <f t="shared" si="98"/>
        <v>3800815106.8400002</v>
      </c>
    </row>
    <row r="210" spans="1:43" s="28" customFormat="1" ht="15" x14ac:dyDescent="0.25">
      <c r="A210" s="20"/>
      <c r="B210" s="20"/>
      <c r="C210" s="777"/>
      <c r="D210" s="317"/>
      <c r="E210" s="318"/>
      <c r="F210" s="318"/>
      <c r="G210" s="177"/>
      <c r="H210" s="795"/>
      <c r="I210" s="177"/>
      <c r="J210" s="319"/>
      <c r="K210" s="795"/>
      <c r="L210" s="795"/>
      <c r="M210" s="179"/>
      <c r="N210" s="177"/>
      <c r="O210" s="795"/>
      <c r="P210" s="180"/>
      <c r="Q210" s="180"/>
      <c r="R210" s="180"/>
      <c r="S210" s="180"/>
      <c r="T210" s="180"/>
      <c r="U210" s="180"/>
      <c r="V210" s="180"/>
      <c r="W210" s="180"/>
      <c r="X210" s="180"/>
      <c r="Y210" s="180"/>
      <c r="Z210" s="180"/>
      <c r="AA210" s="180"/>
      <c r="AB210" s="180"/>
      <c r="AC210" s="180"/>
      <c r="AD210" s="180"/>
      <c r="AE210" s="180"/>
      <c r="AF210" s="180"/>
      <c r="AG210" s="180"/>
      <c r="AH210" s="180"/>
      <c r="AI210" s="180"/>
      <c r="AJ210" s="180"/>
      <c r="AK210" s="180"/>
      <c r="AL210" s="182"/>
      <c r="AM210" s="180"/>
      <c r="AN210" s="180"/>
      <c r="AO210" s="180"/>
      <c r="AP210" s="180"/>
      <c r="AQ210" s="26"/>
    </row>
    <row r="211" spans="1:43" s="28" customFormat="1" ht="15" x14ac:dyDescent="0.25">
      <c r="A211" s="20"/>
      <c r="B211" s="20"/>
      <c r="C211" s="767"/>
      <c r="D211" s="320"/>
      <c r="E211" s="321"/>
      <c r="F211" s="321"/>
      <c r="G211" s="188">
        <v>30</v>
      </c>
      <c r="H211" s="189" t="s">
        <v>254</v>
      </c>
      <c r="I211" s="189"/>
      <c r="J211" s="189"/>
      <c r="K211" s="189"/>
      <c r="L211" s="189"/>
      <c r="M211" s="659"/>
      <c r="N211" s="189"/>
      <c r="O211" s="189"/>
      <c r="P211" s="189"/>
      <c r="Q211" s="189"/>
      <c r="R211" s="189"/>
      <c r="S211" s="189"/>
      <c r="T211" s="189"/>
      <c r="U211" s="189"/>
      <c r="V211" s="189"/>
      <c r="W211" s="189"/>
      <c r="X211" s="189"/>
      <c r="Y211" s="189"/>
      <c r="Z211" s="189"/>
      <c r="AA211" s="189"/>
      <c r="AB211" s="189"/>
      <c r="AC211" s="189"/>
      <c r="AD211" s="189"/>
      <c r="AE211" s="189"/>
      <c r="AF211" s="189"/>
      <c r="AG211" s="189"/>
      <c r="AH211" s="189"/>
      <c r="AI211" s="189"/>
      <c r="AJ211" s="189"/>
      <c r="AK211" s="189"/>
      <c r="AL211" s="190"/>
      <c r="AM211" s="189"/>
      <c r="AN211" s="189"/>
      <c r="AO211" s="189"/>
      <c r="AP211" s="189"/>
      <c r="AQ211" s="521"/>
    </row>
    <row r="212" spans="1:43" ht="166.5" customHeight="1" x14ac:dyDescent="0.25">
      <c r="A212" s="20"/>
      <c r="B212" s="20"/>
      <c r="C212" s="767" t="s">
        <v>255</v>
      </c>
      <c r="D212" s="788" t="s">
        <v>256</v>
      </c>
      <c r="E212" s="789" t="s">
        <v>257</v>
      </c>
      <c r="F212" s="787" t="s">
        <v>258</v>
      </c>
      <c r="G212" s="774"/>
      <c r="H212" s="775">
        <v>117</v>
      </c>
      <c r="I212" s="774" t="s">
        <v>259</v>
      </c>
      <c r="J212" s="31" t="s">
        <v>30</v>
      </c>
      <c r="K212" s="322">
        <v>1</v>
      </c>
      <c r="L212" s="322" t="s">
        <v>246</v>
      </c>
      <c r="M212" s="37" t="s">
        <v>260</v>
      </c>
      <c r="N212" s="774" t="s">
        <v>261</v>
      </c>
      <c r="O212" s="323" t="s">
        <v>34</v>
      </c>
      <c r="P212" s="254">
        <v>0</v>
      </c>
      <c r="Q212" s="324">
        <v>0</v>
      </c>
      <c r="R212" s="324">
        <v>0</v>
      </c>
      <c r="S212" s="324">
        <v>0</v>
      </c>
      <c r="T212" s="324">
        <v>0</v>
      </c>
      <c r="U212" s="324">
        <v>0</v>
      </c>
      <c r="V212" s="324">
        <v>0</v>
      </c>
      <c r="W212" s="324"/>
      <c r="X212" s="324"/>
      <c r="Y212" s="324"/>
      <c r="Z212" s="324">
        <v>0</v>
      </c>
      <c r="AA212" s="324"/>
      <c r="AB212" s="324">
        <v>0</v>
      </c>
      <c r="AC212" s="324">
        <v>0</v>
      </c>
      <c r="AD212" s="254"/>
      <c r="AE212" s="254"/>
      <c r="AF212" s="254"/>
      <c r="AG212" s="254"/>
      <c r="AH212" s="254"/>
      <c r="AI212" s="254"/>
      <c r="AJ212" s="324">
        <v>0</v>
      </c>
      <c r="AK212" s="324">
        <v>0</v>
      </c>
      <c r="AL212" s="110">
        <f>51500000+60000000+443025</f>
        <v>111943025</v>
      </c>
      <c r="AM212" s="38"/>
      <c r="AN212" s="324">
        <v>0</v>
      </c>
      <c r="AO212" s="293">
        <v>0</v>
      </c>
      <c r="AP212" s="293"/>
      <c r="AQ212" s="26">
        <f>P212+Q212+R212+S212+T212+U212+V212+W212+X212+Y212+Z212+AA212+AB212+AC212+AD212+AE212+AF212+AG212+AH212+AI212+AJ212+AK212+AL212+AM212+AN212+AP212+AO212</f>
        <v>111943025</v>
      </c>
    </row>
    <row r="213" spans="1:43" ht="15" x14ac:dyDescent="0.25">
      <c r="A213" s="20"/>
      <c r="B213" s="20"/>
      <c r="C213" s="215"/>
      <c r="D213" s="315"/>
      <c r="E213" s="811"/>
      <c r="F213" s="811"/>
      <c r="G213" s="154"/>
      <c r="H213" s="155"/>
      <c r="I213" s="154"/>
      <c r="J213" s="316"/>
      <c r="K213" s="316"/>
      <c r="L213" s="316"/>
      <c r="M213" s="157"/>
      <c r="N213" s="154"/>
      <c r="O213" s="155"/>
      <c r="P213" s="158">
        <f t="shared" ref="P213:AK213" si="99">P212</f>
        <v>0</v>
      </c>
      <c r="Q213" s="158">
        <f t="shared" si="99"/>
        <v>0</v>
      </c>
      <c r="R213" s="158">
        <f t="shared" si="99"/>
        <v>0</v>
      </c>
      <c r="S213" s="158">
        <f t="shared" si="99"/>
        <v>0</v>
      </c>
      <c r="T213" s="158">
        <f t="shared" si="99"/>
        <v>0</v>
      </c>
      <c r="U213" s="158">
        <f t="shared" si="99"/>
        <v>0</v>
      </c>
      <c r="V213" s="158">
        <f t="shared" si="99"/>
        <v>0</v>
      </c>
      <c r="W213" s="158">
        <f t="shared" si="99"/>
        <v>0</v>
      </c>
      <c r="X213" s="158">
        <f t="shared" si="99"/>
        <v>0</v>
      </c>
      <c r="Y213" s="158">
        <f t="shared" si="99"/>
        <v>0</v>
      </c>
      <c r="Z213" s="158">
        <f t="shared" si="99"/>
        <v>0</v>
      </c>
      <c r="AA213" s="158">
        <f t="shared" si="99"/>
        <v>0</v>
      </c>
      <c r="AB213" s="158">
        <f t="shared" si="99"/>
        <v>0</v>
      </c>
      <c r="AC213" s="158">
        <f t="shared" si="99"/>
        <v>0</v>
      </c>
      <c r="AD213" s="158">
        <f t="shared" si="99"/>
        <v>0</v>
      </c>
      <c r="AE213" s="158">
        <f t="shared" si="99"/>
        <v>0</v>
      </c>
      <c r="AF213" s="158">
        <f t="shared" si="99"/>
        <v>0</v>
      </c>
      <c r="AG213" s="158">
        <f t="shared" si="99"/>
        <v>0</v>
      </c>
      <c r="AH213" s="158">
        <f t="shared" si="99"/>
        <v>0</v>
      </c>
      <c r="AI213" s="158">
        <f t="shared" si="99"/>
        <v>0</v>
      </c>
      <c r="AJ213" s="158">
        <f t="shared" si="99"/>
        <v>0</v>
      </c>
      <c r="AK213" s="158">
        <f t="shared" si="99"/>
        <v>0</v>
      </c>
      <c r="AL213" s="158">
        <f t="shared" ref="AL213:AP213" si="100">AL212</f>
        <v>111943025</v>
      </c>
      <c r="AM213" s="158">
        <f t="shared" si="100"/>
        <v>0</v>
      </c>
      <c r="AN213" s="158">
        <f t="shared" si="100"/>
        <v>0</v>
      </c>
      <c r="AO213" s="158">
        <f t="shared" si="100"/>
        <v>0</v>
      </c>
      <c r="AP213" s="158">
        <f t="shared" si="100"/>
        <v>0</v>
      </c>
      <c r="AQ213" s="158">
        <f>AQ212</f>
        <v>111943025</v>
      </c>
    </row>
    <row r="214" spans="1:43" s="28" customFormat="1" ht="15" x14ac:dyDescent="0.25">
      <c r="A214" s="20"/>
      <c r="B214" s="20"/>
      <c r="C214" s="777"/>
      <c r="D214" s="317"/>
      <c r="E214" s="318"/>
      <c r="F214" s="318"/>
      <c r="G214" s="177"/>
      <c r="H214" s="795"/>
      <c r="I214" s="177"/>
      <c r="J214" s="319"/>
      <c r="K214" s="319"/>
      <c r="L214" s="319"/>
      <c r="M214" s="179"/>
      <c r="N214" s="177"/>
      <c r="O214" s="795"/>
      <c r="P214" s="180"/>
      <c r="Q214" s="180"/>
      <c r="R214" s="180"/>
      <c r="S214" s="180"/>
      <c r="T214" s="180"/>
      <c r="U214" s="180"/>
      <c r="V214" s="180"/>
      <c r="W214" s="180"/>
      <c r="X214" s="180"/>
      <c r="Y214" s="180"/>
      <c r="Z214" s="180"/>
      <c r="AA214" s="180"/>
      <c r="AB214" s="180"/>
      <c r="AC214" s="180"/>
      <c r="AD214" s="180"/>
      <c r="AE214" s="180"/>
      <c r="AF214" s="180"/>
      <c r="AG214" s="180"/>
      <c r="AH214" s="180"/>
      <c r="AI214" s="180"/>
      <c r="AJ214" s="180"/>
      <c r="AK214" s="180"/>
      <c r="AL214" s="182"/>
      <c r="AM214" s="183"/>
      <c r="AN214" s="180"/>
      <c r="AO214" s="180"/>
      <c r="AP214" s="180"/>
      <c r="AQ214" s="26"/>
    </row>
    <row r="215" spans="1:43" ht="21.75" customHeight="1" x14ac:dyDescent="0.25">
      <c r="A215" s="20"/>
      <c r="B215" s="20"/>
      <c r="C215" s="325"/>
      <c r="D215" s="320"/>
      <c r="E215" s="321"/>
      <c r="F215" s="321"/>
      <c r="G215" s="258">
        <v>31</v>
      </c>
      <c r="H215" s="275" t="s">
        <v>262</v>
      </c>
      <c r="I215" s="189"/>
      <c r="J215" s="189"/>
      <c r="K215" s="189"/>
      <c r="L215" s="189"/>
      <c r="M215" s="659"/>
      <c r="N215" s="189"/>
      <c r="O215" s="189"/>
      <c r="P215" s="189"/>
      <c r="Q215" s="189"/>
      <c r="R215" s="189"/>
      <c r="S215" s="189"/>
      <c r="T215" s="189"/>
      <c r="U215" s="189"/>
      <c r="V215" s="189"/>
      <c r="W215" s="189"/>
      <c r="X215" s="189"/>
      <c r="Y215" s="189"/>
      <c r="Z215" s="189"/>
      <c r="AA215" s="189"/>
      <c r="AB215" s="189"/>
      <c r="AC215" s="189"/>
      <c r="AD215" s="189"/>
      <c r="AE215" s="189"/>
      <c r="AF215" s="189"/>
      <c r="AG215" s="189"/>
      <c r="AH215" s="189"/>
      <c r="AI215" s="189"/>
      <c r="AJ215" s="189"/>
      <c r="AK215" s="189"/>
      <c r="AL215" s="190"/>
      <c r="AM215" s="189"/>
      <c r="AN215" s="189"/>
      <c r="AO215" s="189"/>
      <c r="AP215" s="189"/>
      <c r="AQ215" s="521"/>
    </row>
    <row r="216" spans="1:43" s="28" customFormat="1" ht="174.75" customHeight="1" x14ac:dyDescent="0.25">
      <c r="A216" s="20"/>
      <c r="B216" s="20"/>
      <c r="C216" s="767" t="s">
        <v>263</v>
      </c>
      <c r="D216" s="792" t="s">
        <v>264</v>
      </c>
      <c r="E216" s="793" t="s">
        <v>265</v>
      </c>
      <c r="F216" s="762" t="s">
        <v>266</v>
      </c>
      <c r="G216" s="774"/>
      <c r="H216" s="775">
        <v>118</v>
      </c>
      <c r="I216" s="774" t="s">
        <v>267</v>
      </c>
      <c r="J216" s="31">
        <v>16</v>
      </c>
      <c r="K216" s="104">
        <v>6</v>
      </c>
      <c r="L216" s="31" t="s">
        <v>246</v>
      </c>
      <c r="M216" s="37" t="s">
        <v>268</v>
      </c>
      <c r="N216" s="774" t="s">
        <v>269</v>
      </c>
      <c r="O216" s="775" t="s">
        <v>34</v>
      </c>
      <c r="P216" s="675">
        <f>158620000+72215489+5427554-10728309.58</f>
        <v>225534733.41999999</v>
      </c>
      <c r="Q216" s="26">
        <v>0</v>
      </c>
      <c r="R216" s="26">
        <v>0</v>
      </c>
      <c r="S216" s="26">
        <v>0</v>
      </c>
      <c r="T216" s="26">
        <v>0</v>
      </c>
      <c r="U216" s="26">
        <v>0</v>
      </c>
      <c r="V216" s="26">
        <v>0</v>
      </c>
      <c r="W216" s="26"/>
      <c r="X216" s="26"/>
      <c r="Y216" s="26"/>
      <c r="Z216" s="26">
        <v>0</v>
      </c>
      <c r="AA216" s="26"/>
      <c r="AB216" s="26">
        <v>0</v>
      </c>
      <c r="AC216" s="26">
        <v>0</v>
      </c>
      <c r="AD216" s="26"/>
      <c r="AE216" s="26"/>
      <c r="AF216" s="26"/>
      <c r="AG216" s="26"/>
      <c r="AH216" s="26"/>
      <c r="AI216" s="26"/>
      <c r="AJ216" s="26">
        <v>0</v>
      </c>
      <c r="AK216" s="26">
        <v>0</v>
      </c>
      <c r="AL216" s="110">
        <v>0</v>
      </c>
      <c r="AM216" s="38"/>
      <c r="AN216" s="26">
        <v>0</v>
      </c>
      <c r="AO216" s="27">
        <v>29000000</v>
      </c>
      <c r="AP216" s="27"/>
      <c r="AQ216" s="26">
        <f>P216+Q216+R216+S216+T216+U216+V216+W216+X216+Y216+Z216+AA216+AB216+AC216+AD216+AE216+AF216+AG216+AH216+AI216+AJ216+AK216+AL216+AM216+AN216+AP216+AO216</f>
        <v>254534733.41999999</v>
      </c>
    </row>
    <row r="217" spans="1:43" ht="15" x14ac:dyDescent="0.25">
      <c r="A217" s="20"/>
      <c r="B217" s="152"/>
      <c r="C217" s="215"/>
      <c r="D217" s="315"/>
      <c r="E217" s="811"/>
      <c r="F217" s="811"/>
      <c r="G217" s="154"/>
      <c r="H217" s="155"/>
      <c r="I217" s="154"/>
      <c r="J217" s="316"/>
      <c r="K217" s="316"/>
      <c r="L217" s="316"/>
      <c r="M217" s="157"/>
      <c r="N217" s="154"/>
      <c r="O217" s="155"/>
      <c r="P217" s="158">
        <f>SUM(P216)</f>
        <v>225534733.41999999</v>
      </c>
      <c r="Q217" s="158">
        <f t="shared" ref="Q217:AK217" si="101">SUM(Q216)</f>
        <v>0</v>
      </c>
      <c r="R217" s="158">
        <f t="shared" si="101"/>
        <v>0</v>
      </c>
      <c r="S217" s="158">
        <f t="shared" si="101"/>
        <v>0</v>
      </c>
      <c r="T217" s="158">
        <f t="shared" si="101"/>
        <v>0</v>
      </c>
      <c r="U217" s="158">
        <f t="shared" si="101"/>
        <v>0</v>
      </c>
      <c r="V217" s="158">
        <f t="shared" si="101"/>
        <v>0</v>
      </c>
      <c r="W217" s="158">
        <f t="shared" si="101"/>
        <v>0</v>
      </c>
      <c r="X217" s="158">
        <f t="shared" si="101"/>
        <v>0</v>
      </c>
      <c r="Y217" s="158">
        <f t="shared" si="101"/>
        <v>0</v>
      </c>
      <c r="Z217" s="158">
        <f t="shared" si="101"/>
        <v>0</v>
      </c>
      <c r="AA217" s="158">
        <f t="shared" si="101"/>
        <v>0</v>
      </c>
      <c r="AB217" s="158">
        <f t="shared" si="101"/>
        <v>0</v>
      </c>
      <c r="AC217" s="158">
        <f t="shared" si="101"/>
        <v>0</v>
      </c>
      <c r="AD217" s="158">
        <f t="shared" si="101"/>
        <v>0</v>
      </c>
      <c r="AE217" s="158">
        <f t="shared" si="101"/>
        <v>0</v>
      </c>
      <c r="AF217" s="158">
        <f t="shared" si="101"/>
        <v>0</v>
      </c>
      <c r="AG217" s="158">
        <f t="shared" si="101"/>
        <v>0</v>
      </c>
      <c r="AH217" s="158">
        <f t="shared" si="101"/>
        <v>0</v>
      </c>
      <c r="AI217" s="158">
        <f t="shared" si="101"/>
        <v>0</v>
      </c>
      <c r="AJ217" s="158">
        <f t="shared" si="101"/>
        <v>0</v>
      </c>
      <c r="AK217" s="158">
        <f t="shared" si="101"/>
        <v>0</v>
      </c>
      <c r="AL217" s="158">
        <f t="shared" ref="AL217:AP217" si="102">SUM(AL216)</f>
        <v>0</v>
      </c>
      <c r="AM217" s="158">
        <f t="shared" si="102"/>
        <v>0</v>
      </c>
      <c r="AN217" s="158">
        <f t="shared" si="102"/>
        <v>0</v>
      </c>
      <c r="AO217" s="158">
        <f t="shared" si="102"/>
        <v>29000000</v>
      </c>
      <c r="AP217" s="158">
        <f t="shared" si="102"/>
        <v>0</v>
      </c>
      <c r="AQ217" s="158">
        <f>SUM(AQ216)</f>
        <v>254534733.41999999</v>
      </c>
    </row>
    <row r="218" spans="1:43" ht="15" x14ac:dyDescent="0.25">
      <c r="A218" s="20"/>
      <c r="B218" s="218"/>
      <c r="C218" s="162"/>
      <c r="D218" s="326"/>
      <c r="E218" s="327"/>
      <c r="F218" s="327"/>
      <c r="G218" s="161"/>
      <c r="H218" s="162"/>
      <c r="I218" s="161"/>
      <c r="J218" s="328"/>
      <c r="K218" s="328"/>
      <c r="L218" s="328"/>
      <c r="M218" s="164"/>
      <c r="N218" s="161"/>
      <c r="O218" s="162"/>
      <c r="P218" s="165">
        <f>P217+P213+P209</f>
        <v>2761249840.2599998</v>
      </c>
      <c r="Q218" s="165">
        <f t="shared" ref="Q218:AK218" si="103">Q217+Q213+Q209</f>
        <v>0</v>
      </c>
      <c r="R218" s="165">
        <f t="shared" si="103"/>
        <v>0</v>
      </c>
      <c r="S218" s="165">
        <f t="shared" si="103"/>
        <v>0</v>
      </c>
      <c r="T218" s="165">
        <f t="shared" si="103"/>
        <v>0</v>
      </c>
      <c r="U218" s="165">
        <f t="shared" si="103"/>
        <v>0</v>
      </c>
      <c r="V218" s="165">
        <f t="shared" si="103"/>
        <v>0</v>
      </c>
      <c r="W218" s="165">
        <f t="shared" si="103"/>
        <v>0</v>
      </c>
      <c r="X218" s="165">
        <f t="shared" si="103"/>
        <v>0</v>
      </c>
      <c r="Y218" s="165">
        <f t="shared" si="103"/>
        <v>0</v>
      </c>
      <c r="Z218" s="165">
        <f t="shared" si="103"/>
        <v>0</v>
      </c>
      <c r="AA218" s="165">
        <f t="shared" si="103"/>
        <v>0</v>
      </c>
      <c r="AB218" s="165">
        <f t="shared" si="103"/>
        <v>0</v>
      </c>
      <c r="AC218" s="165">
        <f t="shared" si="103"/>
        <v>0</v>
      </c>
      <c r="AD218" s="165">
        <f t="shared" si="103"/>
        <v>0</v>
      </c>
      <c r="AE218" s="165">
        <f t="shared" si="103"/>
        <v>0</v>
      </c>
      <c r="AF218" s="165">
        <f t="shared" si="103"/>
        <v>0</v>
      </c>
      <c r="AG218" s="165">
        <f t="shared" si="103"/>
        <v>0</v>
      </c>
      <c r="AH218" s="165">
        <f t="shared" si="103"/>
        <v>0</v>
      </c>
      <c r="AI218" s="165">
        <f t="shared" si="103"/>
        <v>0</v>
      </c>
      <c r="AJ218" s="165">
        <f t="shared" si="103"/>
        <v>0</v>
      </c>
      <c r="AK218" s="165">
        <f t="shared" si="103"/>
        <v>0</v>
      </c>
      <c r="AL218" s="165">
        <f t="shared" ref="AL218:AP218" si="104">AL217+AL213+AL209</f>
        <v>1377043025</v>
      </c>
      <c r="AM218" s="165">
        <f t="shared" si="104"/>
        <v>0</v>
      </c>
      <c r="AN218" s="165">
        <f t="shared" si="104"/>
        <v>0</v>
      </c>
      <c r="AO218" s="165">
        <f t="shared" si="104"/>
        <v>29000000</v>
      </c>
      <c r="AP218" s="165">
        <f t="shared" si="104"/>
        <v>0</v>
      </c>
      <c r="AQ218" s="165">
        <f>AQ217+AQ213+AQ209</f>
        <v>4167292865.2600002</v>
      </c>
    </row>
    <row r="219" spans="1:43" s="28" customFormat="1" ht="15" x14ac:dyDescent="0.25">
      <c r="A219" s="20"/>
      <c r="B219" s="177"/>
      <c r="C219" s="777"/>
      <c r="D219" s="317"/>
      <c r="E219" s="318"/>
      <c r="F219" s="318"/>
      <c r="G219" s="177"/>
      <c r="H219" s="795"/>
      <c r="I219" s="177"/>
      <c r="J219" s="319"/>
      <c r="K219" s="319"/>
      <c r="L219" s="319"/>
      <c r="M219" s="179"/>
      <c r="N219" s="177"/>
      <c r="O219" s="795"/>
      <c r="P219" s="180"/>
      <c r="Q219" s="180"/>
      <c r="R219" s="180"/>
      <c r="S219" s="180"/>
      <c r="T219" s="180"/>
      <c r="U219" s="180"/>
      <c r="V219" s="180"/>
      <c r="W219" s="180"/>
      <c r="X219" s="180"/>
      <c r="Y219" s="180"/>
      <c r="Z219" s="180"/>
      <c r="AA219" s="180"/>
      <c r="AB219" s="180"/>
      <c r="AC219" s="180"/>
      <c r="AD219" s="180"/>
      <c r="AE219" s="180"/>
      <c r="AF219" s="180"/>
      <c r="AG219" s="180"/>
      <c r="AH219" s="180"/>
      <c r="AI219" s="180"/>
      <c r="AJ219" s="180"/>
      <c r="AK219" s="180"/>
      <c r="AL219" s="182"/>
      <c r="AM219" s="183"/>
      <c r="AN219" s="180"/>
      <c r="AO219" s="180"/>
      <c r="AP219" s="180"/>
      <c r="AQ219" s="26"/>
    </row>
    <row r="220" spans="1:43" ht="15" x14ac:dyDescent="0.25">
      <c r="A220" s="20"/>
      <c r="B220" s="243">
        <v>10</v>
      </c>
      <c r="C220" s="146" t="s">
        <v>270</v>
      </c>
      <c r="D220" s="146"/>
      <c r="E220" s="146"/>
      <c r="F220" s="146"/>
      <c r="G220" s="146"/>
      <c r="H220" s="146"/>
      <c r="I220" s="146"/>
      <c r="J220" s="146"/>
      <c r="K220" s="146"/>
      <c r="L220" s="146"/>
      <c r="M220" s="652"/>
      <c r="N220" s="146"/>
      <c r="O220" s="146"/>
      <c r="P220" s="146"/>
      <c r="Q220" s="146"/>
      <c r="R220" s="146"/>
      <c r="S220" s="146"/>
      <c r="T220" s="146"/>
      <c r="U220" s="146"/>
      <c r="V220" s="146"/>
      <c r="W220" s="146"/>
      <c r="X220" s="146"/>
      <c r="Y220" s="146"/>
      <c r="Z220" s="146"/>
      <c r="AA220" s="146"/>
      <c r="AB220" s="146"/>
      <c r="AC220" s="146"/>
      <c r="AD220" s="146"/>
      <c r="AE220" s="146"/>
      <c r="AF220" s="146"/>
      <c r="AG220" s="146"/>
      <c r="AH220" s="146"/>
      <c r="AI220" s="146"/>
      <c r="AJ220" s="146"/>
      <c r="AK220" s="146"/>
      <c r="AL220" s="148"/>
      <c r="AM220" s="146"/>
      <c r="AN220" s="146"/>
      <c r="AO220" s="146"/>
      <c r="AP220" s="146"/>
      <c r="AQ220" s="524"/>
    </row>
    <row r="221" spans="1:43" ht="15" x14ac:dyDescent="0.25">
      <c r="A221" s="20"/>
      <c r="B221" s="329"/>
      <c r="C221" s="330"/>
      <c r="D221" s="331"/>
      <c r="E221" s="331"/>
      <c r="F221" s="331"/>
      <c r="G221" s="332">
        <v>32</v>
      </c>
      <c r="H221" s="228" t="s">
        <v>271</v>
      </c>
      <c r="I221" s="228"/>
      <c r="J221" s="228"/>
      <c r="K221" s="228"/>
      <c r="L221" s="228"/>
      <c r="M221" s="658"/>
      <c r="N221" s="228"/>
      <c r="O221" s="228"/>
      <c r="P221" s="228"/>
      <c r="Q221" s="228"/>
      <c r="R221" s="228"/>
      <c r="S221" s="228"/>
      <c r="T221" s="228"/>
      <c r="U221" s="228"/>
      <c r="V221" s="228"/>
      <c r="W221" s="228"/>
      <c r="X221" s="228"/>
      <c r="Y221" s="228"/>
      <c r="Z221" s="228"/>
      <c r="AA221" s="228"/>
      <c r="AB221" s="228"/>
      <c r="AC221" s="228"/>
      <c r="AD221" s="228"/>
      <c r="AE221" s="228"/>
      <c r="AF221" s="228"/>
      <c r="AG221" s="228"/>
      <c r="AH221" s="228"/>
      <c r="AI221" s="228"/>
      <c r="AJ221" s="228"/>
      <c r="AK221" s="228"/>
      <c r="AL221" s="229"/>
      <c r="AM221" s="228"/>
      <c r="AN221" s="228"/>
      <c r="AO221" s="228"/>
      <c r="AP221" s="228"/>
      <c r="AQ221" s="679"/>
    </row>
    <row r="222" spans="1:43" ht="92.25" customHeight="1" x14ac:dyDescent="0.25">
      <c r="A222" s="20"/>
      <c r="B222" s="19"/>
      <c r="C222" s="762" t="s">
        <v>272</v>
      </c>
      <c r="D222" s="788" t="s">
        <v>273</v>
      </c>
      <c r="E222" s="789" t="s">
        <v>274</v>
      </c>
      <c r="F222" s="787" t="s">
        <v>275</v>
      </c>
      <c r="G222" s="774"/>
      <c r="H222" s="775">
        <v>119</v>
      </c>
      <c r="I222" s="774" t="s">
        <v>276</v>
      </c>
      <c r="J222" s="31">
        <v>10</v>
      </c>
      <c r="K222" s="31">
        <v>9</v>
      </c>
      <c r="L222" s="31" t="s">
        <v>246</v>
      </c>
      <c r="M222" s="37" t="s">
        <v>277</v>
      </c>
      <c r="N222" s="774" t="s">
        <v>278</v>
      </c>
      <c r="O222" s="775" t="s">
        <v>34</v>
      </c>
      <c r="P222" s="324">
        <v>0</v>
      </c>
      <c r="Q222" s="324">
        <v>0</v>
      </c>
      <c r="R222" s="324">
        <v>0</v>
      </c>
      <c r="S222" s="324">
        <v>0</v>
      </c>
      <c r="T222" s="324">
        <v>0</v>
      </c>
      <c r="U222" s="324">
        <v>0</v>
      </c>
      <c r="V222" s="324">
        <v>0</v>
      </c>
      <c r="W222" s="324"/>
      <c r="X222" s="324"/>
      <c r="Y222" s="324"/>
      <c r="Z222" s="324">
        <v>0</v>
      </c>
      <c r="AA222" s="324"/>
      <c r="AB222" s="324">
        <v>0</v>
      </c>
      <c r="AC222" s="324">
        <v>0</v>
      </c>
      <c r="AD222" s="324">
        <v>0</v>
      </c>
      <c r="AE222" s="324">
        <v>0</v>
      </c>
      <c r="AF222" s="324"/>
      <c r="AG222" s="324">
        <v>0</v>
      </c>
      <c r="AH222" s="324">
        <v>0</v>
      </c>
      <c r="AI222" s="324">
        <v>0</v>
      </c>
      <c r="AJ222" s="324">
        <v>0</v>
      </c>
      <c r="AK222" s="324">
        <v>0</v>
      </c>
      <c r="AL222" s="114">
        <v>193900000</v>
      </c>
      <c r="AM222" s="333"/>
      <c r="AN222" s="26">
        <f>236949833+154613084-19000000-30272190</f>
        <v>342290727</v>
      </c>
      <c r="AO222" s="59">
        <v>0</v>
      </c>
      <c r="AP222" s="59"/>
      <c r="AQ222" s="26">
        <f>P222+Q222+R222+S222+T222+U222+V222+W222+X222+Y222+Z222+AA222+AB222+AC222+AD222+AE222+AF222+AG222+AH222+AI222+AJ222+AK222+AL222+AM222+AN222+AP222+AO222</f>
        <v>536190727</v>
      </c>
    </row>
    <row r="223" spans="1:43" s="47" customFormat="1" ht="20.25" x14ac:dyDescent="0.25">
      <c r="A223" s="20"/>
      <c r="B223" s="19"/>
      <c r="C223" s="579"/>
      <c r="D223" s="315"/>
      <c r="E223" s="811"/>
      <c r="F223" s="811"/>
      <c r="G223" s="154"/>
      <c r="H223" s="155"/>
      <c r="I223" s="154"/>
      <c r="J223" s="316"/>
      <c r="K223" s="316"/>
      <c r="L223" s="316"/>
      <c r="M223" s="157"/>
      <c r="N223" s="154"/>
      <c r="O223" s="155"/>
      <c r="P223" s="158">
        <f t="shared" ref="P223:AN223" si="105">SUM(P222)</f>
        <v>0</v>
      </c>
      <c r="Q223" s="158">
        <f t="shared" si="105"/>
        <v>0</v>
      </c>
      <c r="R223" s="158">
        <f t="shared" si="105"/>
        <v>0</v>
      </c>
      <c r="S223" s="158">
        <f t="shared" si="105"/>
        <v>0</v>
      </c>
      <c r="T223" s="158">
        <f t="shared" si="105"/>
        <v>0</v>
      </c>
      <c r="U223" s="158">
        <f t="shared" si="105"/>
        <v>0</v>
      </c>
      <c r="V223" s="158">
        <f t="shared" si="105"/>
        <v>0</v>
      </c>
      <c r="W223" s="158">
        <f t="shared" si="105"/>
        <v>0</v>
      </c>
      <c r="X223" s="158">
        <f t="shared" si="105"/>
        <v>0</v>
      </c>
      <c r="Y223" s="158">
        <f t="shared" si="105"/>
        <v>0</v>
      </c>
      <c r="Z223" s="158">
        <f t="shared" si="105"/>
        <v>0</v>
      </c>
      <c r="AA223" s="158">
        <f t="shared" si="105"/>
        <v>0</v>
      </c>
      <c r="AB223" s="158">
        <f t="shared" si="105"/>
        <v>0</v>
      </c>
      <c r="AC223" s="158">
        <f t="shared" si="105"/>
        <v>0</v>
      </c>
      <c r="AD223" s="158">
        <f t="shared" si="105"/>
        <v>0</v>
      </c>
      <c r="AE223" s="158">
        <f t="shared" si="105"/>
        <v>0</v>
      </c>
      <c r="AF223" s="158">
        <f t="shared" si="105"/>
        <v>0</v>
      </c>
      <c r="AG223" s="158">
        <f t="shared" si="105"/>
        <v>0</v>
      </c>
      <c r="AH223" s="158">
        <f t="shared" si="105"/>
        <v>0</v>
      </c>
      <c r="AI223" s="158">
        <f t="shared" si="105"/>
        <v>0</v>
      </c>
      <c r="AJ223" s="158">
        <f t="shared" si="105"/>
        <v>0</v>
      </c>
      <c r="AK223" s="158">
        <f t="shared" si="105"/>
        <v>0</v>
      </c>
      <c r="AL223" s="158">
        <f t="shared" si="105"/>
        <v>193900000</v>
      </c>
      <c r="AM223" s="158">
        <f t="shared" si="105"/>
        <v>0</v>
      </c>
      <c r="AN223" s="158">
        <f t="shared" si="105"/>
        <v>342290727</v>
      </c>
      <c r="AO223" s="158">
        <f t="shared" ref="AO223:AP223" si="106">SUM(AO222)</f>
        <v>0</v>
      </c>
      <c r="AP223" s="158">
        <f t="shared" si="106"/>
        <v>0</v>
      </c>
      <c r="AQ223" s="158">
        <f>SUM(AQ222)</f>
        <v>536190727</v>
      </c>
    </row>
    <row r="224" spans="1:43" s="47" customFormat="1" ht="20.25" x14ac:dyDescent="0.25">
      <c r="A224" s="20"/>
      <c r="B224" s="19"/>
      <c r="C224" s="777"/>
      <c r="D224" s="317"/>
      <c r="E224" s="318"/>
      <c r="F224" s="318"/>
      <c r="G224" s="177"/>
      <c r="H224" s="795"/>
      <c r="I224" s="177"/>
      <c r="J224" s="319"/>
      <c r="K224" s="319"/>
      <c r="L224" s="334"/>
      <c r="M224" s="234"/>
      <c r="N224" s="223"/>
      <c r="O224" s="795"/>
      <c r="P224" s="180"/>
      <c r="Q224" s="180"/>
      <c r="R224" s="180"/>
      <c r="S224" s="180"/>
      <c r="T224" s="180"/>
      <c r="U224" s="180"/>
      <c r="V224" s="180"/>
      <c r="W224" s="180"/>
      <c r="X224" s="180"/>
      <c r="Y224" s="180"/>
      <c r="Z224" s="180"/>
      <c r="AA224" s="180"/>
      <c r="AB224" s="180"/>
      <c r="AC224" s="180"/>
      <c r="AD224" s="180"/>
      <c r="AE224" s="180"/>
      <c r="AF224" s="180"/>
      <c r="AG224" s="180"/>
      <c r="AH224" s="180"/>
      <c r="AI224" s="180"/>
      <c r="AJ224" s="180"/>
      <c r="AK224" s="180"/>
      <c r="AL224" s="182"/>
      <c r="AM224" s="183"/>
      <c r="AN224" s="180"/>
      <c r="AO224" s="180"/>
      <c r="AP224" s="180"/>
      <c r="AQ224" s="26"/>
    </row>
    <row r="225" spans="1:43" s="47" customFormat="1" ht="20.25" x14ac:dyDescent="0.25">
      <c r="A225" s="20"/>
      <c r="B225" s="19"/>
      <c r="C225" s="791"/>
      <c r="D225" s="320"/>
      <c r="E225" s="321"/>
      <c r="F225" s="321"/>
      <c r="G225" s="188">
        <v>33</v>
      </c>
      <c r="H225" s="189" t="s">
        <v>279</v>
      </c>
      <c r="I225" s="189"/>
      <c r="J225" s="189"/>
      <c r="K225" s="189"/>
      <c r="L225" s="189"/>
      <c r="M225" s="659"/>
      <c r="N225" s="189"/>
      <c r="O225" s="189"/>
      <c r="P225" s="189"/>
      <c r="Q225" s="189"/>
      <c r="R225" s="189"/>
      <c r="S225" s="189"/>
      <c r="T225" s="189"/>
      <c r="U225" s="189"/>
      <c r="V225" s="189"/>
      <c r="W225" s="189"/>
      <c r="X225" s="189"/>
      <c r="Y225" s="189"/>
      <c r="Z225" s="189"/>
      <c r="AA225" s="189"/>
      <c r="AB225" s="189"/>
      <c r="AC225" s="189"/>
      <c r="AD225" s="189"/>
      <c r="AE225" s="189"/>
      <c r="AF225" s="189"/>
      <c r="AG225" s="189"/>
      <c r="AH225" s="189"/>
      <c r="AI225" s="189"/>
      <c r="AJ225" s="189"/>
      <c r="AK225" s="189"/>
      <c r="AL225" s="190"/>
      <c r="AM225" s="189"/>
      <c r="AN225" s="189"/>
      <c r="AO225" s="189"/>
      <c r="AP225" s="189"/>
      <c r="AQ225" s="521"/>
    </row>
    <row r="226" spans="1:43" ht="64.5" customHeight="1" x14ac:dyDescent="0.25">
      <c r="A226" s="20"/>
      <c r="B226" s="19"/>
      <c r="C226" s="858" t="s">
        <v>280</v>
      </c>
      <c r="D226" s="989" t="s">
        <v>281</v>
      </c>
      <c r="E226" s="991" t="s">
        <v>282</v>
      </c>
      <c r="F226" s="931" t="s">
        <v>283</v>
      </c>
      <c r="G226" s="23"/>
      <c r="H226" s="775">
        <v>120</v>
      </c>
      <c r="I226" s="153" t="s">
        <v>284</v>
      </c>
      <c r="J226" s="335">
        <v>0</v>
      </c>
      <c r="K226" s="65">
        <v>3</v>
      </c>
      <c r="L226" s="868" t="s">
        <v>246</v>
      </c>
      <c r="M226" s="854" t="s">
        <v>285</v>
      </c>
      <c r="N226" s="935" t="s">
        <v>286</v>
      </c>
      <c r="O226" s="775" t="s">
        <v>34</v>
      </c>
      <c r="P226" s="26">
        <v>0</v>
      </c>
      <c r="Q226" s="26">
        <v>0</v>
      </c>
      <c r="R226" s="26">
        <v>0</v>
      </c>
      <c r="S226" s="26">
        <v>0</v>
      </c>
      <c r="T226" s="26">
        <v>0</v>
      </c>
      <c r="U226" s="26">
        <v>0</v>
      </c>
      <c r="V226" s="26">
        <v>0</v>
      </c>
      <c r="W226" s="26"/>
      <c r="X226" s="26"/>
      <c r="Y226" s="26"/>
      <c r="Z226" s="26">
        <v>0</v>
      </c>
      <c r="AA226" s="26"/>
      <c r="AB226" s="26">
        <v>0</v>
      </c>
      <c r="AC226" s="26">
        <v>0</v>
      </c>
      <c r="AD226" s="26"/>
      <c r="AE226" s="26"/>
      <c r="AF226" s="26"/>
      <c r="AG226" s="26"/>
      <c r="AH226" s="26"/>
      <c r="AI226" s="26"/>
      <c r="AJ226" s="26">
        <v>0</v>
      </c>
      <c r="AK226" s="26">
        <v>0</v>
      </c>
      <c r="AL226" s="110">
        <f>50000000-21000000-6000000</f>
        <v>23000000</v>
      </c>
      <c r="AM226" s="14"/>
      <c r="AN226" s="324">
        <v>0</v>
      </c>
      <c r="AO226" s="293">
        <v>0</v>
      </c>
      <c r="AP226" s="293"/>
      <c r="AQ226" s="26">
        <f>P226+Q226+R226+S226+T226+U226+V226+W226+X226+Y226+Z226+AA226+AB226+AC226+AD226+AE226+AF226+AG226+AH226+AI226+AJ226+AK226+AL226+AM226+AN226+AP226+AO226</f>
        <v>23000000</v>
      </c>
    </row>
    <row r="227" spans="1:43" ht="63.75" customHeight="1" x14ac:dyDescent="0.25">
      <c r="A227" s="20"/>
      <c r="B227" s="19"/>
      <c r="C227" s="859"/>
      <c r="D227" s="990"/>
      <c r="E227" s="992"/>
      <c r="F227" s="932"/>
      <c r="G227" s="30"/>
      <c r="H227" s="775">
        <v>121</v>
      </c>
      <c r="I227" s="153" t="s">
        <v>287</v>
      </c>
      <c r="J227" s="335">
        <v>9</v>
      </c>
      <c r="K227" s="643">
        <v>4</v>
      </c>
      <c r="L227" s="946"/>
      <c r="M227" s="856"/>
      <c r="N227" s="937"/>
      <c r="O227" s="775" t="s">
        <v>34</v>
      </c>
      <c r="P227" s="26">
        <v>0</v>
      </c>
      <c r="Q227" s="26">
        <v>0</v>
      </c>
      <c r="R227" s="26">
        <v>0</v>
      </c>
      <c r="S227" s="26">
        <v>0</v>
      </c>
      <c r="T227" s="26">
        <v>0</v>
      </c>
      <c r="U227" s="26">
        <v>0</v>
      </c>
      <c r="V227" s="26">
        <v>0</v>
      </c>
      <c r="W227" s="26"/>
      <c r="X227" s="26"/>
      <c r="Y227" s="26"/>
      <c r="Z227" s="26">
        <v>0</v>
      </c>
      <c r="AA227" s="26"/>
      <c r="AB227" s="26">
        <v>0</v>
      </c>
      <c r="AC227" s="26">
        <v>0</v>
      </c>
      <c r="AD227" s="26"/>
      <c r="AE227" s="26"/>
      <c r="AF227" s="26"/>
      <c r="AG227" s="26"/>
      <c r="AH227" s="26"/>
      <c r="AI227" s="26"/>
      <c r="AJ227" s="26">
        <v>0</v>
      </c>
      <c r="AK227" s="26">
        <v>0</v>
      </c>
      <c r="AL227" s="110">
        <f>50000000+50000000+27000000</f>
        <v>127000000</v>
      </c>
      <c r="AM227" s="14"/>
      <c r="AN227" s="26">
        <v>0</v>
      </c>
      <c r="AO227" s="293">
        <v>0</v>
      </c>
      <c r="AP227" s="293"/>
      <c r="AQ227" s="26">
        <f>P227+Q227+R227+S227+T227+U227+V227+W227+X227+Y227+Z227+AA227+AB227+AC227+AD227+AE227+AF227+AG227+AH227+AI227+AJ227+AK227+AL227+AM227+AN227+AP227+AO227</f>
        <v>127000000</v>
      </c>
    </row>
    <row r="228" spans="1:43" ht="15" x14ac:dyDescent="0.25">
      <c r="A228" s="20"/>
      <c r="B228" s="336"/>
      <c r="C228" s="579"/>
      <c r="D228" s="315"/>
      <c r="E228" s="811"/>
      <c r="F228" s="811"/>
      <c r="G228" s="154"/>
      <c r="H228" s="155"/>
      <c r="I228" s="154"/>
      <c r="J228" s="316"/>
      <c r="K228" s="155"/>
      <c r="L228" s="155"/>
      <c r="M228" s="157"/>
      <c r="N228" s="154"/>
      <c r="O228" s="155"/>
      <c r="P228" s="158">
        <f>SUM(P226:P227)</f>
        <v>0</v>
      </c>
      <c r="Q228" s="158">
        <f t="shared" ref="Q228:AK228" si="107">SUM(Q226:Q227)</f>
        <v>0</v>
      </c>
      <c r="R228" s="158">
        <f t="shared" si="107"/>
        <v>0</v>
      </c>
      <c r="S228" s="158">
        <f t="shared" si="107"/>
        <v>0</v>
      </c>
      <c r="T228" s="158">
        <f t="shared" si="107"/>
        <v>0</v>
      </c>
      <c r="U228" s="158">
        <f t="shared" si="107"/>
        <v>0</v>
      </c>
      <c r="V228" s="158">
        <f t="shared" si="107"/>
        <v>0</v>
      </c>
      <c r="W228" s="158">
        <f t="shared" si="107"/>
        <v>0</v>
      </c>
      <c r="X228" s="158">
        <f t="shared" si="107"/>
        <v>0</v>
      </c>
      <c r="Y228" s="158">
        <f t="shared" si="107"/>
        <v>0</v>
      </c>
      <c r="Z228" s="158">
        <f t="shared" si="107"/>
        <v>0</v>
      </c>
      <c r="AA228" s="158">
        <f t="shared" si="107"/>
        <v>0</v>
      </c>
      <c r="AB228" s="158">
        <f t="shared" si="107"/>
        <v>0</v>
      </c>
      <c r="AC228" s="158">
        <f t="shared" si="107"/>
        <v>0</v>
      </c>
      <c r="AD228" s="158">
        <f t="shared" si="107"/>
        <v>0</v>
      </c>
      <c r="AE228" s="158">
        <f t="shared" si="107"/>
        <v>0</v>
      </c>
      <c r="AF228" s="158">
        <f t="shared" si="107"/>
        <v>0</v>
      </c>
      <c r="AG228" s="158">
        <f t="shared" si="107"/>
        <v>0</v>
      </c>
      <c r="AH228" s="158">
        <f t="shared" si="107"/>
        <v>0</v>
      </c>
      <c r="AI228" s="158">
        <f t="shared" si="107"/>
        <v>0</v>
      </c>
      <c r="AJ228" s="158">
        <f t="shared" si="107"/>
        <v>0</v>
      </c>
      <c r="AK228" s="158">
        <f t="shared" si="107"/>
        <v>0</v>
      </c>
      <c r="AL228" s="158">
        <f t="shared" ref="AL228:AP228" si="108">SUM(AL226:AL227)</f>
        <v>150000000</v>
      </c>
      <c r="AM228" s="158">
        <f t="shared" si="108"/>
        <v>0</v>
      </c>
      <c r="AN228" s="158">
        <f t="shared" si="108"/>
        <v>0</v>
      </c>
      <c r="AO228" s="158">
        <f t="shared" si="108"/>
        <v>0</v>
      </c>
      <c r="AP228" s="158">
        <f t="shared" si="108"/>
        <v>0</v>
      </c>
      <c r="AQ228" s="158">
        <f>SUM(AQ226:AQ227)</f>
        <v>150000000</v>
      </c>
    </row>
    <row r="229" spans="1:43" s="28" customFormat="1" ht="15" x14ac:dyDescent="0.25">
      <c r="A229" s="152"/>
      <c r="B229" s="218"/>
      <c r="C229" s="162"/>
      <c r="D229" s="326"/>
      <c r="E229" s="327"/>
      <c r="F229" s="327"/>
      <c r="G229" s="161"/>
      <c r="H229" s="162"/>
      <c r="I229" s="161"/>
      <c r="J229" s="328"/>
      <c r="K229" s="162"/>
      <c r="L229" s="162"/>
      <c r="M229" s="164"/>
      <c r="N229" s="161"/>
      <c r="O229" s="162"/>
      <c r="P229" s="165">
        <f>P228+P223</f>
        <v>0</v>
      </c>
      <c r="Q229" s="165">
        <f t="shared" ref="Q229:AK229" si="109">Q228+Q223</f>
        <v>0</v>
      </c>
      <c r="R229" s="165">
        <f t="shared" si="109"/>
        <v>0</v>
      </c>
      <c r="S229" s="165">
        <f t="shared" si="109"/>
        <v>0</v>
      </c>
      <c r="T229" s="165">
        <f t="shared" si="109"/>
        <v>0</v>
      </c>
      <c r="U229" s="165">
        <f t="shared" si="109"/>
        <v>0</v>
      </c>
      <c r="V229" s="165">
        <f t="shared" si="109"/>
        <v>0</v>
      </c>
      <c r="W229" s="165">
        <f t="shared" si="109"/>
        <v>0</v>
      </c>
      <c r="X229" s="165">
        <f t="shared" si="109"/>
        <v>0</v>
      </c>
      <c r="Y229" s="165">
        <f t="shared" si="109"/>
        <v>0</v>
      </c>
      <c r="Z229" s="165">
        <f t="shared" si="109"/>
        <v>0</v>
      </c>
      <c r="AA229" s="165">
        <f t="shared" si="109"/>
        <v>0</v>
      </c>
      <c r="AB229" s="165">
        <f t="shared" si="109"/>
        <v>0</v>
      </c>
      <c r="AC229" s="165">
        <f t="shared" si="109"/>
        <v>0</v>
      </c>
      <c r="AD229" s="165">
        <f t="shared" si="109"/>
        <v>0</v>
      </c>
      <c r="AE229" s="165">
        <f t="shared" si="109"/>
        <v>0</v>
      </c>
      <c r="AF229" s="165">
        <f t="shared" si="109"/>
        <v>0</v>
      </c>
      <c r="AG229" s="165">
        <f t="shared" si="109"/>
        <v>0</v>
      </c>
      <c r="AH229" s="165">
        <f t="shared" si="109"/>
        <v>0</v>
      </c>
      <c r="AI229" s="165">
        <f t="shared" si="109"/>
        <v>0</v>
      </c>
      <c r="AJ229" s="165">
        <f t="shared" si="109"/>
        <v>0</v>
      </c>
      <c r="AK229" s="165">
        <f t="shared" si="109"/>
        <v>0</v>
      </c>
      <c r="AL229" s="165">
        <f t="shared" ref="AL229:AP229" si="110">AL228+AL223</f>
        <v>343900000</v>
      </c>
      <c r="AM229" s="165">
        <f t="shared" si="110"/>
        <v>0</v>
      </c>
      <c r="AN229" s="165">
        <f t="shared" si="110"/>
        <v>342290727</v>
      </c>
      <c r="AO229" s="165">
        <f t="shared" si="110"/>
        <v>0</v>
      </c>
      <c r="AP229" s="165">
        <f t="shared" si="110"/>
        <v>0</v>
      </c>
      <c r="AQ229" s="165">
        <f>AQ228+AQ223</f>
        <v>686190727</v>
      </c>
    </row>
    <row r="230" spans="1:43" ht="15" x14ac:dyDescent="0.25">
      <c r="A230" s="166"/>
      <c r="B230" s="166"/>
      <c r="C230" s="167"/>
      <c r="D230" s="337"/>
      <c r="E230" s="338"/>
      <c r="F230" s="338"/>
      <c r="G230" s="166"/>
      <c r="H230" s="167"/>
      <c r="I230" s="166"/>
      <c r="J230" s="339"/>
      <c r="K230" s="167"/>
      <c r="L230" s="167"/>
      <c r="M230" s="169"/>
      <c r="N230" s="166"/>
      <c r="O230" s="167"/>
      <c r="P230" s="170">
        <f>P229+P218</f>
        <v>2761249840.2599998</v>
      </c>
      <c r="Q230" s="170">
        <f t="shared" ref="Q230:AK230" si="111">Q229+Q218</f>
        <v>0</v>
      </c>
      <c r="R230" s="170">
        <f t="shared" si="111"/>
        <v>0</v>
      </c>
      <c r="S230" s="170">
        <f t="shared" si="111"/>
        <v>0</v>
      </c>
      <c r="T230" s="170">
        <f t="shared" si="111"/>
        <v>0</v>
      </c>
      <c r="U230" s="170">
        <f t="shared" si="111"/>
        <v>0</v>
      </c>
      <c r="V230" s="170">
        <f t="shared" si="111"/>
        <v>0</v>
      </c>
      <c r="W230" s="170">
        <f t="shared" si="111"/>
        <v>0</v>
      </c>
      <c r="X230" s="170">
        <f t="shared" si="111"/>
        <v>0</v>
      </c>
      <c r="Y230" s="170">
        <f t="shared" si="111"/>
        <v>0</v>
      </c>
      <c r="Z230" s="170">
        <f t="shared" si="111"/>
        <v>0</v>
      </c>
      <c r="AA230" s="170">
        <f t="shared" si="111"/>
        <v>0</v>
      </c>
      <c r="AB230" s="170">
        <f t="shared" si="111"/>
        <v>0</v>
      </c>
      <c r="AC230" s="170">
        <f t="shared" si="111"/>
        <v>0</v>
      </c>
      <c r="AD230" s="170">
        <f t="shared" si="111"/>
        <v>0</v>
      </c>
      <c r="AE230" s="170">
        <f t="shared" si="111"/>
        <v>0</v>
      </c>
      <c r="AF230" s="170">
        <f t="shared" si="111"/>
        <v>0</v>
      </c>
      <c r="AG230" s="170">
        <f t="shared" si="111"/>
        <v>0</v>
      </c>
      <c r="AH230" s="170">
        <f t="shared" si="111"/>
        <v>0</v>
      </c>
      <c r="AI230" s="170">
        <f t="shared" si="111"/>
        <v>0</v>
      </c>
      <c r="AJ230" s="170">
        <f t="shared" si="111"/>
        <v>0</v>
      </c>
      <c r="AK230" s="170">
        <f t="shared" si="111"/>
        <v>0</v>
      </c>
      <c r="AL230" s="170">
        <f t="shared" ref="AL230:AP230" si="112">AL229+AL218</f>
        <v>1720943025</v>
      </c>
      <c r="AM230" s="170">
        <f t="shared" si="112"/>
        <v>0</v>
      </c>
      <c r="AN230" s="170">
        <f t="shared" si="112"/>
        <v>342290727</v>
      </c>
      <c r="AO230" s="170">
        <f t="shared" si="112"/>
        <v>29000000</v>
      </c>
      <c r="AP230" s="170">
        <f t="shared" si="112"/>
        <v>0</v>
      </c>
      <c r="AQ230" s="170">
        <f>AQ229+AQ218</f>
        <v>4853483592.2600002</v>
      </c>
    </row>
    <row r="231" spans="1:43" ht="15" x14ac:dyDescent="0.25">
      <c r="A231" s="171"/>
      <c r="B231" s="171"/>
      <c r="C231" s="172"/>
      <c r="D231" s="340"/>
      <c r="E231" s="341"/>
      <c r="F231" s="341"/>
      <c r="G231" s="171"/>
      <c r="H231" s="172"/>
      <c r="I231" s="171"/>
      <c r="J231" s="342"/>
      <c r="K231" s="172"/>
      <c r="L231" s="172"/>
      <c r="M231" s="174"/>
      <c r="N231" s="171"/>
      <c r="O231" s="172"/>
      <c r="P231" s="175">
        <f>P230</f>
        <v>2761249840.2599998</v>
      </c>
      <c r="Q231" s="175">
        <f t="shared" ref="Q231:AK231" si="113">Q230</f>
        <v>0</v>
      </c>
      <c r="R231" s="175">
        <f t="shared" si="113"/>
        <v>0</v>
      </c>
      <c r="S231" s="175">
        <f t="shared" si="113"/>
        <v>0</v>
      </c>
      <c r="T231" s="175">
        <f t="shared" si="113"/>
        <v>0</v>
      </c>
      <c r="U231" s="175">
        <f t="shared" si="113"/>
        <v>0</v>
      </c>
      <c r="V231" s="175">
        <f t="shared" si="113"/>
        <v>0</v>
      </c>
      <c r="W231" s="175">
        <f t="shared" si="113"/>
        <v>0</v>
      </c>
      <c r="X231" s="175">
        <f t="shared" si="113"/>
        <v>0</v>
      </c>
      <c r="Y231" s="175">
        <f t="shared" si="113"/>
        <v>0</v>
      </c>
      <c r="Z231" s="175">
        <f t="shared" si="113"/>
        <v>0</v>
      </c>
      <c r="AA231" s="175">
        <f t="shared" si="113"/>
        <v>0</v>
      </c>
      <c r="AB231" s="175">
        <f t="shared" si="113"/>
        <v>0</v>
      </c>
      <c r="AC231" s="175">
        <f t="shared" si="113"/>
        <v>0</v>
      </c>
      <c r="AD231" s="175">
        <f t="shared" si="113"/>
        <v>0</v>
      </c>
      <c r="AE231" s="175">
        <f t="shared" si="113"/>
        <v>0</v>
      </c>
      <c r="AF231" s="175">
        <f t="shared" si="113"/>
        <v>0</v>
      </c>
      <c r="AG231" s="175">
        <f t="shared" si="113"/>
        <v>0</v>
      </c>
      <c r="AH231" s="175">
        <f t="shared" si="113"/>
        <v>0</v>
      </c>
      <c r="AI231" s="175">
        <f t="shared" si="113"/>
        <v>0</v>
      </c>
      <c r="AJ231" s="175">
        <f t="shared" si="113"/>
        <v>0</v>
      </c>
      <c r="AK231" s="175">
        <f t="shared" si="113"/>
        <v>0</v>
      </c>
      <c r="AL231" s="175">
        <f t="shared" ref="AL231:AP231" si="114">AL230</f>
        <v>1720943025</v>
      </c>
      <c r="AM231" s="175">
        <f t="shared" si="114"/>
        <v>0</v>
      </c>
      <c r="AN231" s="175">
        <f t="shared" si="114"/>
        <v>342290727</v>
      </c>
      <c r="AO231" s="175">
        <f t="shared" si="114"/>
        <v>29000000</v>
      </c>
      <c r="AP231" s="175">
        <f t="shared" si="114"/>
        <v>0</v>
      </c>
      <c r="AQ231" s="175">
        <f>AQ230</f>
        <v>4853483592.2600002</v>
      </c>
    </row>
    <row r="232" spans="1:43" s="28" customFormat="1" ht="15" x14ac:dyDescent="0.25">
      <c r="A232" s="176"/>
      <c r="B232" s="177"/>
      <c r="C232" s="795"/>
      <c r="D232" s="343"/>
      <c r="E232" s="150"/>
      <c r="F232" s="150"/>
      <c r="G232" s="177"/>
      <c r="H232" s="795"/>
      <c r="I232" s="177"/>
      <c r="J232" s="319"/>
      <c r="K232" s="795"/>
      <c r="L232" s="795"/>
      <c r="M232" s="179"/>
      <c r="N232" s="177"/>
      <c r="O232" s="795"/>
      <c r="P232" s="180"/>
      <c r="Q232" s="180"/>
      <c r="R232" s="180"/>
      <c r="S232" s="180"/>
      <c r="T232" s="180"/>
      <c r="U232" s="180"/>
      <c r="V232" s="180"/>
      <c r="W232" s="180"/>
      <c r="X232" s="180"/>
      <c r="Y232" s="180"/>
      <c r="Z232" s="180"/>
      <c r="AA232" s="180"/>
      <c r="AB232" s="180"/>
      <c r="AC232" s="180"/>
      <c r="AD232" s="181"/>
      <c r="AE232" s="181"/>
      <c r="AF232" s="181"/>
      <c r="AG232" s="181"/>
      <c r="AH232" s="181"/>
      <c r="AI232" s="181"/>
      <c r="AJ232" s="180"/>
      <c r="AK232" s="180"/>
      <c r="AL232" s="182"/>
      <c r="AM232" s="183"/>
      <c r="AN232" s="180"/>
      <c r="AO232" s="180"/>
      <c r="AP232" s="180"/>
      <c r="AQ232" s="815"/>
    </row>
    <row r="233" spans="1:43" ht="20.25" x14ac:dyDescent="0.25">
      <c r="A233" s="134" t="s">
        <v>288</v>
      </c>
      <c r="B233" s="135"/>
      <c r="C233" s="136"/>
      <c r="D233" s="135"/>
      <c r="E233" s="135"/>
      <c r="F233" s="135"/>
      <c r="G233" s="135"/>
      <c r="H233" s="136"/>
      <c r="I233" s="135"/>
      <c r="J233" s="135"/>
      <c r="K233" s="135"/>
      <c r="L233" s="135"/>
      <c r="M233" s="650"/>
      <c r="N233" s="135"/>
      <c r="O233" s="136"/>
      <c r="P233" s="135"/>
      <c r="Q233" s="135"/>
      <c r="R233" s="135"/>
      <c r="S233" s="135"/>
      <c r="T233" s="135"/>
      <c r="U233" s="135"/>
      <c r="V233" s="135"/>
      <c r="W233" s="135"/>
      <c r="X233" s="135"/>
      <c r="Y233" s="135"/>
      <c r="Z233" s="135"/>
      <c r="AA233" s="135"/>
      <c r="AB233" s="135"/>
      <c r="AC233" s="135"/>
      <c r="AD233" s="135"/>
      <c r="AE233" s="135"/>
      <c r="AF233" s="135"/>
      <c r="AG233" s="135"/>
      <c r="AH233" s="135"/>
      <c r="AI233" s="135"/>
      <c r="AJ233" s="135"/>
      <c r="AK233" s="135"/>
      <c r="AL233" s="137"/>
      <c r="AM233" s="138"/>
      <c r="AN233" s="135"/>
      <c r="AO233" s="135"/>
      <c r="AP233" s="135"/>
      <c r="AQ233" s="564" t="s">
        <v>0</v>
      </c>
    </row>
    <row r="234" spans="1:43" ht="15" x14ac:dyDescent="0.25">
      <c r="A234" s="139">
        <v>2</v>
      </c>
      <c r="B234" s="140" t="s">
        <v>113</v>
      </c>
      <c r="C234" s="141"/>
      <c r="D234" s="140"/>
      <c r="E234" s="140"/>
      <c r="F234" s="140"/>
      <c r="G234" s="140"/>
      <c r="H234" s="141"/>
      <c r="I234" s="140"/>
      <c r="J234" s="140"/>
      <c r="K234" s="140"/>
      <c r="L234" s="140"/>
      <c r="M234" s="651"/>
      <c r="N234" s="140"/>
      <c r="O234" s="140"/>
      <c r="P234" s="140"/>
      <c r="Q234" s="140"/>
      <c r="R234" s="140"/>
      <c r="S234" s="140"/>
      <c r="T234" s="140"/>
      <c r="U234" s="140"/>
      <c r="V234" s="140"/>
      <c r="W234" s="140"/>
      <c r="X234" s="140"/>
      <c r="Y234" s="140"/>
      <c r="Z234" s="140"/>
      <c r="AA234" s="140"/>
      <c r="AB234" s="140"/>
      <c r="AC234" s="140"/>
      <c r="AD234" s="140"/>
      <c r="AE234" s="140"/>
      <c r="AF234" s="140"/>
      <c r="AG234" s="140"/>
      <c r="AH234" s="140"/>
      <c r="AI234" s="140"/>
      <c r="AJ234" s="140"/>
      <c r="AK234" s="140"/>
      <c r="AL234" s="142"/>
      <c r="AM234" s="140"/>
      <c r="AN234" s="140"/>
      <c r="AO234" s="140"/>
      <c r="AP234" s="140"/>
      <c r="AQ234" s="538"/>
    </row>
    <row r="235" spans="1:43" ht="15" x14ac:dyDescent="0.25">
      <c r="A235" s="185"/>
      <c r="B235" s="243">
        <v>2</v>
      </c>
      <c r="C235" s="147" t="s">
        <v>289</v>
      </c>
      <c r="D235" s="146"/>
      <c r="E235" s="146"/>
      <c r="F235" s="146"/>
      <c r="G235" s="146"/>
      <c r="H235" s="147"/>
      <c r="I235" s="146"/>
      <c r="J235" s="146"/>
      <c r="K235" s="146"/>
      <c r="L235" s="146"/>
      <c r="M235" s="652"/>
      <c r="N235" s="146"/>
      <c r="O235" s="146"/>
      <c r="P235" s="146"/>
      <c r="Q235" s="146"/>
      <c r="R235" s="146"/>
      <c r="S235" s="146"/>
      <c r="T235" s="146"/>
      <c r="U235" s="146"/>
      <c r="V235" s="146"/>
      <c r="W235" s="146"/>
      <c r="X235" s="146"/>
      <c r="Y235" s="146"/>
      <c r="Z235" s="146"/>
      <c r="AA235" s="146"/>
      <c r="AB235" s="146"/>
      <c r="AC235" s="146"/>
      <c r="AD235" s="146"/>
      <c r="AE235" s="146"/>
      <c r="AF235" s="146"/>
      <c r="AG235" s="146"/>
      <c r="AH235" s="146"/>
      <c r="AI235" s="146"/>
      <c r="AJ235" s="146"/>
      <c r="AK235" s="146"/>
      <c r="AL235" s="148"/>
      <c r="AM235" s="146"/>
      <c r="AN235" s="146"/>
      <c r="AO235" s="146"/>
      <c r="AP235" s="146"/>
      <c r="AQ235" s="524"/>
    </row>
    <row r="236" spans="1:43" ht="15" x14ac:dyDescent="0.25">
      <c r="A236" s="20"/>
      <c r="B236" s="185"/>
      <c r="C236" s="795"/>
      <c r="D236" s="177"/>
      <c r="E236" s="795"/>
      <c r="F236" s="773"/>
      <c r="G236" s="344">
        <v>8</v>
      </c>
      <c r="H236" s="902" t="s">
        <v>290</v>
      </c>
      <c r="I236" s="902"/>
      <c r="J236" s="902"/>
      <c r="K236" s="902"/>
      <c r="L236" s="902"/>
      <c r="M236" s="902"/>
      <c r="N236" s="902"/>
      <c r="O236" s="902"/>
      <c r="P236" s="902"/>
      <c r="Q236" s="189"/>
      <c r="R236" s="189"/>
      <c r="S236" s="189"/>
      <c r="T236" s="189"/>
      <c r="U236" s="189"/>
      <c r="V236" s="189"/>
      <c r="W236" s="189"/>
      <c r="X236" s="189"/>
      <c r="Y236" s="189"/>
      <c r="Z236" s="189"/>
      <c r="AA236" s="189"/>
      <c r="AB236" s="189"/>
      <c r="AC236" s="189"/>
      <c r="AD236" s="189"/>
      <c r="AE236" s="189"/>
      <c r="AF236" s="189"/>
      <c r="AG236" s="189"/>
      <c r="AH236" s="189"/>
      <c r="AI236" s="189"/>
      <c r="AJ236" s="189"/>
      <c r="AK236" s="189"/>
      <c r="AL236" s="190"/>
      <c r="AM236" s="189"/>
      <c r="AN236" s="189"/>
      <c r="AO236" s="189"/>
      <c r="AP236" s="189"/>
      <c r="AQ236" s="521"/>
    </row>
    <row r="237" spans="1:43" s="28" customFormat="1" ht="81.75" customHeight="1" x14ac:dyDescent="0.25">
      <c r="A237" s="20"/>
      <c r="B237" s="20"/>
      <c r="C237" s="773">
        <v>5</v>
      </c>
      <c r="D237" s="774" t="s">
        <v>291</v>
      </c>
      <c r="E237" s="775">
        <v>12.9</v>
      </c>
      <c r="F237" s="775">
        <v>8.9</v>
      </c>
      <c r="G237" s="23"/>
      <c r="H237" s="775">
        <v>38</v>
      </c>
      <c r="I237" s="774" t="s">
        <v>292</v>
      </c>
      <c r="J237" s="11">
        <v>3</v>
      </c>
      <c r="K237" s="11">
        <v>4</v>
      </c>
      <c r="L237" s="849" t="s">
        <v>293</v>
      </c>
      <c r="M237" s="854" t="s">
        <v>294</v>
      </c>
      <c r="N237" s="849" t="s">
        <v>295</v>
      </c>
      <c r="O237" s="57" t="s">
        <v>38</v>
      </c>
      <c r="P237" s="26">
        <v>0</v>
      </c>
      <c r="Q237" s="26">
        <v>0</v>
      </c>
      <c r="R237" s="26">
        <v>0</v>
      </c>
      <c r="S237" s="26">
        <v>0</v>
      </c>
      <c r="T237" s="26">
        <v>0</v>
      </c>
      <c r="U237" s="26">
        <v>0</v>
      </c>
      <c r="V237" s="26">
        <v>0</v>
      </c>
      <c r="W237" s="26"/>
      <c r="X237" s="26"/>
      <c r="Y237" s="26"/>
      <c r="Z237" s="26">
        <v>0</v>
      </c>
      <c r="AA237" s="26"/>
      <c r="AB237" s="26">
        <v>0</v>
      </c>
      <c r="AC237" s="26">
        <v>0</v>
      </c>
      <c r="AD237" s="26"/>
      <c r="AE237" s="26"/>
      <c r="AF237" s="26"/>
      <c r="AG237" s="26"/>
      <c r="AH237" s="26"/>
      <c r="AI237" s="26"/>
      <c r="AJ237" s="26">
        <v>0</v>
      </c>
      <c r="AK237" s="26">
        <v>0</v>
      </c>
      <c r="AL237" s="110">
        <f>7500000+20000000+9000000</f>
        <v>36500000</v>
      </c>
      <c r="AM237" s="14"/>
      <c r="AN237" s="26">
        <v>0</v>
      </c>
      <c r="AO237" s="27">
        <v>0</v>
      </c>
      <c r="AP237" s="27"/>
      <c r="AQ237" s="26">
        <f>P237+Q237+R237+S237+T237+U237+V237+W237+X237+Y237+Z237+AA237+AB237+AC237+AD237+AE237+AF237+AG237+AH237+AI237+AJ237+AK237+AL237+AM237+AN237+AP237+AO237</f>
        <v>36500000</v>
      </c>
    </row>
    <row r="238" spans="1:43" s="28" customFormat="1" ht="68.25" customHeight="1" x14ac:dyDescent="0.25">
      <c r="A238" s="20"/>
      <c r="B238" s="20"/>
      <c r="C238" s="773">
        <v>6</v>
      </c>
      <c r="D238" s="774" t="s">
        <v>296</v>
      </c>
      <c r="E238" s="762" t="s">
        <v>297</v>
      </c>
      <c r="F238" s="762" t="s">
        <v>298</v>
      </c>
      <c r="G238" s="29"/>
      <c r="H238" s="775">
        <v>39</v>
      </c>
      <c r="I238" s="23" t="s">
        <v>299</v>
      </c>
      <c r="J238" s="11">
        <v>0</v>
      </c>
      <c r="K238" s="11">
        <v>3</v>
      </c>
      <c r="L238" s="850"/>
      <c r="M238" s="856"/>
      <c r="N238" s="850"/>
      <c r="O238" s="57" t="s">
        <v>38</v>
      </c>
      <c r="P238" s="26"/>
      <c r="Q238" s="26"/>
      <c r="R238" s="26"/>
      <c r="S238" s="26"/>
      <c r="T238" s="26"/>
      <c r="U238" s="26"/>
      <c r="V238" s="26"/>
      <c r="W238" s="26"/>
      <c r="X238" s="26"/>
      <c r="Y238" s="26"/>
      <c r="Z238" s="26"/>
      <c r="AA238" s="26"/>
      <c r="AB238" s="26"/>
      <c r="AC238" s="26"/>
      <c r="AD238" s="26"/>
      <c r="AE238" s="26"/>
      <c r="AF238" s="26"/>
      <c r="AG238" s="26"/>
      <c r="AH238" s="26"/>
      <c r="AI238" s="26"/>
      <c r="AJ238" s="26"/>
      <c r="AK238" s="26"/>
      <c r="AL238" s="110">
        <f>7500000+20000000+10160000</f>
        <v>37660000</v>
      </c>
      <c r="AM238" s="14"/>
      <c r="AN238" s="26"/>
      <c r="AO238" s="27"/>
      <c r="AP238" s="27"/>
      <c r="AQ238" s="26">
        <f>P238+Q238+R238+S238+T238+U238+V238+W238+X238+Y238+Z238+AA238+AB238+AC238+AD238+AE238+AF238+AG238+AH238+AI238+AJ238+AK238+AL238+AM238+AN238+AP238+AO238</f>
        <v>37660000</v>
      </c>
    </row>
    <row r="239" spans="1:43" s="28" customFormat="1" ht="80.25" customHeight="1" x14ac:dyDescent="0.25">
      <c r="A239" s="20"/>
      <c r="B239" s="20"/>
      <c r="C239" s="861">
        <v>5</v>
      </c>
      <c r="D239" s="987" t="s">
        <v>291</v>
      </c>
      <c r="E239" s="858">
        <v>12.9</v>
      </c>
      <c r="F239" s="861">
        <v>8.9</v>
      </c>
      <c r="G239" s="29"/>
      <c r="H239" s="775">
        <v>40</v>
      </c>
      <c r="I239" s="774" t="s">
        <v>300</v>
      </c>
      <c r="J239" s="11">
        <v>0</v>
      </c>
      <c r="K239" s="11">
        <v>0.35</v>
      </c>
      <c r="L239" s="975" t="s">
        <v>293</v>
      </c>
      <c r="M239" s="854" t="s">
        <v>301</v>
      </c>
      <c r="N239" s="849" t="s">
        <v>302</v>
      </c>
      <c r="O239" s="57" t="s">
        <v>34</v>
      </c>
      <c r="P239" s="26">
        <v>0</v>
      </c>
      <c r="Q239" s="26">
        <v>0</v>
      </c>
      <c r="R239" s="26">
        <v>0</v>
      </c>
      <c r="S239" s="26">
        <v>0</v>
      </c>
      <c r="T239" s="26">
        <v>0</v>
      </c>
      <c r="U239" s="26">
        <v>0</v>
      </c>
      <c r="V239" s="26">
        <v>0</v>
      </c>
      <c r="W239" s="26"/>
      <c r="X239" s="26"/>
      <c r="Y239" s="26"/>
      <c r="Z239" s="26">
        <v>0</v>
      </c>
      <c r="AA239" s="26"/>
      <c r="AB239" s="26">
        <v>0</v>
      </c>
      <c r="AC239" s="26">
        <v>0</v>
      </c>
      <c r="AD239" s="26"/>
      <c r="AE239" s="26"/>
      <c r="AF239" s="26"/>
      <c r="AG239" s="26"/>
      <c r="AH239" s="26"/>
      <c r="AI239" s="26"/>
      <c r="AJ239" s="26">
        <v>0</v>
      </c>
      <c r="AK239" s="26">
        <v>0</v>
      </c>
      <c r="AL239" s="110">
        <f>22000000+22500000-6500000</f>
        <v>38000000</v>
      </c>
      <c r="AM239" s="14"/>
      <c r="AN239" s="26">
        <v>0</v>
      </c>
      <c r="AO239" s="27">
        <v>0</v>
      </c>
      <c r="AP239" s="27"/>
      <c r="AQ239" s="26">
        <f>P239+Q239+R239+S239+T239+U239+V239+W239+X239+Y239+Z239+AA239+AB239+AC239+AD239+AE239+AF239+AG239+AH239+AI239+AJ239+AK239+AL239+AM239+AN239+AP239+AO239</f>
        <v>38000000</v>
      </c>
    </row>
    <row r="240" spans="1:43" s="28" customFormat="1" ht="57" x14ac:dyDescent="0.25">
      <c r="A240" s="20"/>
      <c r="B240" s="20"/>
      <c r="C240" s="875"/>
      <c r="D240" s="987"/>
      <c r="E240" s="860"/>
      <c r="F240" s="875"/>
      <c r="G240" s="29"/>
      <c r="H240" s="775">
        <v>41</v>
      </c>
      <c r="I240" s="774" t="s">
        <v>303</v>
      </c>
      <c r="J240" s="11">
        <v>0</v>
      </c>
      <c r="K240" s="11">
        <v>1</v>
      </c>
      <c r="L240" s="976"/>
      <c r="M240" s="855"/>
      <c r="N240" s="857"/>
      <c r="O240" s="57" t="s">
        <v>38</v>
      </c>
      <c r="P240" s="26">
        <v>0</v>
      </c>
      <c r="Q240" s="26">
        <v>0</v>
      </c>
      <c r="R240" s="26">
        <v>0</v>
      </c>
      <c r="S240" s="26">
        <v>0</v>
      </c>
      <c r="T240" s="26">
        <v>0</v>
      </c>
      <c r="U240" s="26">
        <v>0</v>
      </c>
      <c r="V240" s="26">
        <v>0</v>
      </c>
      <c r="W240" s="26"/>
      <c r="X240" s="26"/>
      <c r="Y240" s="26"/>
      <c r="Z240" s="26">
        <v>0</v>
      </c>
      <c r="AA240" s="26"/>
      <c r="AB240" s="26">
        <v>0</v>
      </c>
      <c r="AC240" s="26">
        <v>0</v>
      </c>
      <c r="AD240" s="26"/>
      <c r="AE240" s="26"/>
      <c r="AF240" s="26"/>
      <c r="AG240" s="26"/>
      <c r="AH240" s="26"/>
      <c r="AI240" s="26"/>
      <c r="AJ240" s="26">
        <v>0</v>
      </c>
      <c r="AK240" s="26">
        <v>0</v>
      </c>
      <c r="AL240" s="110">
        <f>27500000-22500000+10000000-3120000</f>
        <v>11880000</v>
      </c>
      <c r="AM240" s="14"/>
      <c r="AN240" s="26">
        <v>0</v>
      </c>
      <c r="AO240" s="27">
        <v>0</v>
      </c>
      <c r="AP240" s="27"/>
      <c r="AQ240" s="26">
        <f>P240+Q240+R240+S240+T240+U240+V240+W240+X240+Y240+Z240+AA240+AB240+AC240+AD240+AE240+AF240+AG240+AH240+AI240+AJ240+AK240+AL240+AM240+AN240+AP240+AO240</f>
        <v>11880000</v>
      </c>
    </row>
    <row r="241" spans="1:43" s="28" customFormat="1" ht="69" customHeight="1" x14ac:dyDescent="0.25">
      <c r="A241" s="20"/>
      <c r="B241" s="20"/>
      <c r="C241" s="71">
        <v>6</v>
      </c>
      <c r="D241" s="72" t="s">
        <v>296</v>
      </c>
      <c r="E241" s="73" t="s">
        <v>297</v>
      </c>
      <c r="F241" s="73" t="s">
        <v>298</v>
      </c>
      <c r="G241" s="30"/>
      <c r="H241" s="775">
        <v>42</v>
      </c>
      <c r="I241" s="774" t="s">
        <v>304</v>
      </c>
      <c r="J241" s="11">
        <v>1</v>
      </c>
      <c r="K241" s="11">
        <v>1</v>
      </c>
      <c r="L241" s="977"/>
      <c r="M241" s="856"/>
      <c r="N241" s="850"/>
      <c r="O241" s="57" t="s">
        <v>38</v>
      </c>
      <c r="P241" s="26">
        <v>0</v>
      </c>
      <c r="Q241" s="26">
        <v>0</v>
      </c>
      <c r="R241" s="26">
        <v>0</v>
      </c>
      <c r="S241" s="26">
        <v>0</v>
      </c>
      <c r="T241" s="26">
        <v>0</v>
      </c>
      <c r="U241" s="26">
        <v>0</v>
      </c>
      <c r="V241" s="26">
        <v>0</v>
      </c>
      <c r="W241" s="26"/>
      <c r="X241" s="26"/>
      <c r="Y241" s="26"/>
      <c r="Z241" s="26">
        <v>0</v>
      </c>
      <c r="AA241" s="26"/>
      <c r="AB241" s="26">
        <v>0</v>
      </c>
      <c r="AC241" s="26">
        <v>0</v>
      </c>
      <c r="AD241" s="26"/>
      <c r="AE241" s="26"/>
      <c r="AF241" s="26"/>
      <c r="AG241" s="26"/>
      <c r="AH241" s="26"/>
      <c r="AI241" s="26"/>
      <c r="AJ241" s="26">
        <v>0</v>
      </c>
      <c r="AK241" s="26">
        <v>0</v>
      </c>
      <c r="AL241" s="110">
        <f>7500000+20000000+48300000+9620000</f>
        <v>85420000</v>
      </c>
      <c r="AM241" s="14"/>
      <c r="AN241" s="26">
        <v>0</v>
      </c>
      <c r="AO241" s="26">
        <v>0</v>
      </c>
      <c r="AP241" s="26"/>
      <c r="AQ241" s="26">
        <f>P241+Q241+R241+S241+T241+U241+V241+W241+X241+Y241+Z241+AA241+AB241+AC241+AD241+AE241+AF241+AG241+AH241+AI241+AJ241+AK241+AL241+AM241+AN241+AP241+AO241</f>
        <v>85420000</v>
      </c>
    </row>
    <row r="242" spans="1:43" ht="15" x14ac:dyDescent="0.25">
      <c r="A242" s="20"/>
      <c r="B242" s="20"/>
      <c r="C242" s="773"/>
      <c r="D242" s="774"/>
      <c r="E242" s="775"/>
      <c r="F242" s="775"/>
      <c r="G242" s="154"/>
      <c r="H242" s="155"/>
      <c r="I242" s="154"/>
      <c r="J242" s="253"/>
      <c r="K242" s="253"/>
      <c r="L242" s="253"/>
      <c r="M242" s="157"/>
      <c r="N242" s="154"/>
      <c r="O242" s="155"/>
      <c r="P242" s="158">
        <f>SUM(P237:P241)</f>
        <v>0</v>
      </c>
      <c r="Q242" s="158">
        <f t="shared" ref="Q242:AK242" si="115">SUM(Q237:Q241)</f>
        <v>0</v>
      </c>
      <c r="R242" s="158">
        <f t="shared" si="115"/>
        <v>0</v>
      </c>
      <c r="S242" s="158">
        <f t="shared" si="115"/>
        <v>0</v>
      </c>
      <c r="T242" s="158">
        <f t="shared" si="115"/>
        <v>0</v>
      </c>
      <c r="U242" s="158">
        <f t="shared" si="115"/>
        <v>0</v>
      </c>
      <c r="V242" s="158">
        <f t="shared" si="115"/>
        <v>0</v>
      </c>
      <c r="W242" s="158">
        <f t="shared" si="115"/>
        <v>0</v>
      </c>
      <c r="X242" s="158">
        <f t="shared" si="115"/>
        <v>0</v>
      </c>
      <c r="Y242" s="158">
        <f t="shared" si="115"/>
        <v>0</v>
      </c>
      <c r="Z242" s="158">
        <f t="shared" si="115"/>
        <v>0</v>
      </c>
      <c r="AA242" s="158">
        <f t="shared" si="115"/>
        <v>0</v>
      </c>
      <c r="AB242" s="158">
        <f t="shared" si="115"/>
        <v>0</v>
      </c>
      <c r="AC242" s="158">
        <f t="shared" si="115"/>
        <v>0</v>
      </c>
      <c r="AD242" s="158">
        <f t="shared" si="115"/>
        <v>0</v>
      </c>
      <c r="AE242" s="158">
        <f t="shared" si="115"/>
        <v>0</v>
      </c>
      <c r="AF242" s="158">
        <f t="shared" si="115"/>
        <v>0</v>
      </c>
      <c r="AG242" s="158">
        <f t="shared" si="115"/>
        <v>0</v>
      </c>
      <c r="AH242" s="158">
        <f t="shared" si="115"/>
        <v>0</v>
      </c>
      <c r="AI242" s="158">
        <f t="shared" si="115"/>
        <v>0</v>
      </c>
      <c r="AJ242" s="158">
        <f t="shared" si="115"/>
        <v>0</v>
      </c>
      <c r="AK242" s="158">
        <f t="shared" si="115"/>
        <v>0</v>
      </c>
      <c r="AL242" s="158">
        <f t="shared" ref="AL242:AP242" si="116">SUM(AL237:AL241)</f>
        <v>209460000</v>
      </c>
      <c r="AM242" s="158">
        <f t="shared" si="116"/>
        <v>0</v>
      </c>
      <c r="AN242" s="158">
        <f t="shared" si="116"/>
        <v>0</v>
      </c>
      <c r="AO242" s="158">
        <f t="shared" si="116"/>
        <v>0</v>
      </c>
      <c r="AP242" s="158">
        <f t="shared" si="116"/>
        <v>0</v>
      </c>
      <c r="AQ242" s="158">
        <f>SUM(AQ237:AQ241)</f>
        <v>209460000</v>
      </c>
    </row>
    <row r="243" spans="1:43" s="28" customFormat="1" ht="15" x14ac:dyDescent="0.25">
      <c r="A243" s="20"/>
      <c r="B243" s="20"/>
      <c r="C243" s="773"/>
      <c r="D243" s="774"/>
      <c r="E243" s="775"/>
      <c r="F243" s="775"/>
      <c r="G243" s="774"/>
      <c r="H243" s="775"/>
      <c r="I243" s="774"/>
      <c r="J243" s="11"/>
      <c r="K243" s="11"/>
      <c r="L243" s="769"/>
      <c r="M243" s="796"/>
      <c r="N243" s="763"/>
      <c r="O243" s="775"/>
      <c r="P243" s="26"/>
      <c r="Q243" s="26"/>
      <c r="R243" s="26"/>
      <c r="S243" s="26"/>
      <c r="T243" s="26"/>
      <c r="U243" s="26"/>
      <c r="V243" s="26"/>
      <c r="W243" s="26"/>
      <c r="X243" s="26"/>
      <c r="Y243" s="26"/>
      <c r="Z243" s="26"/>
      <c r="AA243" s="26"/>
      <c r="AB243" s="26"/>
      <c r="AC243" s="26"/>
      <c r="AD243" s="26"/>
      <c r="AE243" s="26"/>
      <c r="AF243" s="26"/>
      <c r="AG243" s="26"/>
      <c r="AH243" s="26"/>
      <c r="AI243" s="26"/>
      <c r="AJ243" s="26"/>
      <c r="AK243" s="26"/>
      <c r="AL243" s="115"/>
      <c r="AM243" s="83"/>
      <c r="AN243" s="26"/>
      <c r="AO243" s="27"/>
      <c r="AP243" s="27"/>
      <c r="AQ243" s="26"/>
    </row>
    <row r="244" spans="1:43" ht="15" x14ac:dyDescent="0.25">
      <c r="A244" s="20"/>
      <c r="B244" s="20"/>
      <c r="C244" s="773"/>
      <c r="D244" s="774"/>
      <c r="E244" s="775"/>
      <c r="F244" s="775"/>
      <c r="G244" s="258">
        <v>9</v>
      </c>
      <c r="H244" s="275" t="s">
        <v>305</v>
      </c>
      <c r="I244" s="189"/>
      <c r="J244" s="189"/>
      <c r="K244" s="189"/>
      <c r="L244" s="189"/>
      <c r="M244" s="659"/>
      <c r="N244" s="189"/>
      <c r="O244" s="189"/>
      <c r="P244" s="189"/>
      <c r="Q244" s="189"/>
      <c r="R244" s="189"/>
      <c r="S244" s="189"/>
      <c r="T244" s="189"/>
      <c r="U244" s="189"/>
      <c r="V244" s="189"/>
      <c r="W244" s="189"/>
      <c r="X244" s="189"/>
      <c r="Y244" s="189"/>
      <c r="Z244" s="189"/>
      <c r="AA244" s="189"/>
      <c r="AB244" s="189"/>
      <c r="AC244" s="189"/>
      <c r="AD244" s="189"/>
      <c r="AE244" s="189"/>
      <c r="AF244" s="189"/>
      <c r="AG244" s="189"/>
      <c r="AH244" s="189"/>
      <c r="AI244" s="189"/>
      <c r="AJ244" s="189"/>
      <c r="AK244" s="189"/>
      <c r="AL244" s="190"/>
      <c r="AM244" s="189"/>
      <c r="AN244" s="189"/>
      <c r="AO244" s="189"/>
      <c r="AP244" s="189"/>
      <c r="AQ244" s="521"/>
    </row>
    <row r="245" spans="1:43" ht="96.75" customHeight="1" x14ac:dyDescent="0.25">
      <c r="A245" s="20"/>
      <c r="B245" s="20"/>
      <c r="C245" s="772">
        <v>5</v>
      </c>
      <c r="D245" s="774" t="s">
        <v>291</v>
      </c>
      <c r="E245" s="760">
        <v>12.9</v>
      </c>
      <c r="F245" s="760">
        <v>8.9</v>
      </c>
      <c r="G245" s="858">
        <v>0</v>
      </c>
      <c r="H245" s="5">
        <v>43</v>
      </c>
      <c r="I245" s="774" t="s">
        <v>306</v>
      </c>
      <c r="J245" s="11" t="s">
        <v>30</v>
      </c>
      <c r="K245" s="11">
        <v>3</v>
      </c>
      <c r="L245" s="931" t="s">
        <v>293</v>
      </c>
      <c r="M245" s="854" t="s">
        <v>307</v>
      </c>
      <c r="N245" s="935" t="s">
        <v>308</v>
      </c>
      <c r="O245" s="5" t="s">
        <v>34</v>
      </c>
      <c r="P245" s="324">
        <v>0</v>
      </c>
      <c r="Q245" s="324">
        <v>0</v>
      </c>
      <c r="R245" s="324">
        <v>0</v>
      </c>
      <c r="S245" s="324">
        <v>0</v>
      </c>
      <c r="T245" s="324">
        <v>0</v>
      </c>
      <c r="U245" s="324">
        <v>0</v>
      </c>
      <c r="V245" s="324">
        <v>0</v>
      </c>
      <c r="W245" s="324"/>
      <c r="X245" s="324"/>
      <c r="Y245" s="324"/>
      <c r="Z245" s="324">
        <v>0</v>
      </c>
      <c r="AA245" s="324"/>
      <c r="AB245" s="324">
        <v>0</v>
      </c>
      <c r="AC245" s="324">
        <v>0</v>
      </c>
      <c r="AD245" s="254"/>
      <c r="AE245" s="254"/>
      <c r="AF245" s="254"/>
      <c r="AG245" s="254"/>
      <c r="AH245" s="254"/>
      <c r="AI245" s="254"/>
      <c r="AJ245" s="324">
        <v>0</v>
      </c>
      <c r="AK245" s="324">
        <v>0</v>
      </c>
      <c r="AL245" s="110">
        <f>40000000-10000000+47140000</f>
        <v>77140000</v>
      </c>
      <c r="AM245" s="14"/>
      <c r="AN245" s="324">
        <v>0</v>
      </c>
      <c r="AO245" s="293">
        <v>0</v>
      </c>
      <c r="AP245" s="293"/>
      <c r="AQ245" s="26">
        <f>P245+Q245+R245+S245+T245+U245+V245+W245+X245+Y245+Z245+AA245+AB245+AC245+AD245+AE245+AF245+AG245+AH245+AI245+AJ245+AK245+AL245+AM245+AN245+AP245+AO245</f>
        <v>77140000</v>
      </c>
    </row>
    <row r="246" spans="1:43" ht="84" customHeight="1" x14ac:dyDescent="0.25">
      <c r="A246" s="20"/>
      <c r="B246" s="20"/>
      <c r="C246" s="772">
        <v>6</v>
      </c>
      <c r="D246" s="774" t="s">
        <v>309</v>
      </c>
      <c r="E246" s="761" t="s">
        <v>297</v>
      </c>
      <c r="F246" s="761" t="s">
        <v>298</v>
      </c>
      <c r="G246" s="860"/>
      <c r="H246" s="5">
        <v>44</v>
      </c>
      <c r="I246" s="774" t="s">
        <v>310</v>
      </c>
      <c r="J246" s="11">
        <v>0</v>
      </c>
      <c r="K246" s="11">
        <v>1</v>
      </c>
      <c r="L246" s="939"/>
      <c r="M246" s="855"/>
      <c r="N246" s="936"/>
      <c r="O246" s="5" t="s">
        <v>38</v>
      </c>
      <c r="P246" s="324">
        <v>0</v>
      </c>
      <c r="Q246" s="324">
        <v>0</v>
      </c>
      <c r="R246" s="324">
        <v>0</v>
      </c>
      <c r="S246" s="324">
        <v>0</v>
      </c>
      <c r="T246" s="324">
        <v>0</v>
      </c>
      <c r="U246" s="324">
        <v>0</v>
      </c>
      <c r="V246" s="324">
        <v>0</v>
      </c>
      <c r="W246" s="324"/>
      <c r="X246" s="324"/>
      <c r="Y246" s="324"/>
      <c r="Z246" s="324">
        <v>0</v>
      </c>
      <c r="AA246" s="324"/>
      <c r="AB246" s="324">
        <v>0</v>
      </c>
      <c r="AC246" s="324">
        <v>0</v>
      </c>
      <c r="AD246" s="254"/>
      <c r="AE246" s="254"/>
      <c r="AF246" s="254"/>
      <c r="AG246" s="254"/>
      <c r="AH246" s="254"/>
      <c r="AI246" s="254"/>
      <c r="AJ246" s="324">
        <v>0</v>
      </c>
      <c r="AK246" s="324">
        <v>0</v>
      </c>
      <c r="AL246" s="110">
        <f>40000000-7000000+20140000</f>
        <v>53140000</v>
      </c>
      <c r="AM246" s="14"/>
      <c r="AN246" s="324">
        <v>0</v>
      </c>
      <c r="AO246" s="293">
        <v>0</v>
      </c>
      <c r="AP246" s="293"/>
      <c r="AQ246" s="26">
        <f>P246+Q246+R246+S246+T246+U246+V246+W246+X246+Y246+Z246+AA246+AB246+AC246+AD246+AE246+AF246+AG246+AH246+AI246+AJ246+AK246+AL246+AM246+AN246+AP246+AO246</f>
        <v>53140000</v>
      </c>
    </row>
    <row r="247" spans="1:43" ht="57" x14ac:dyDescent="0.25">
      <c r="A247" s="20"/>
      <c r="B247" s="20"/>
      <c r="C247" s="875">
        <v>7</v>
      </c>
      <c r="D247" s="987" t="s">
        <v>311</v>
      </c>
      <c r="E247" s="860" t="s">
        <v>312</v>
      </c>
      <c r="F247" s="860">
        <v>27</v>
      </c>
      <c r="G247" s="860"/>
      <c r="H247" s="5">
        <v>45</v>
      </c>
      <c r="I247" s="774" t="s">
        <v>313</v>
      </c>
      <c r="J247" s="11" t="s">
        <v>30</v>
      </c>
      <c r="K247" s="11">
        <v>3</v>
      </c>
      <c r="L247" s="939"/>
      <c r="M247" s="855"/>
      <c r="N247" s="936"/>
      <c r="O247" s="5" t="s">
        <v>34</v>
      </c>
      <c r="P247" s="324"/>
      <c r="Q247" s="324"/>
      <c r="R247" s="324"/>
      <c r="S247" s="324"/>
      <c r="T247" s="324"/>
      <c r="U247" s="324"/>
      <c r="V247" s="324"/>
      <c r="W247" s="324"/>
      <c r="X247" s="324"/>
      <c r="Y247" s="324"/>
      <c r="Z247" s="324"/>
      <c r="AA247" s="324"/>
      <c r="AB247" s="324"/>
      <c r="AC247" s="324"/>
      <c r="AD247" s="254"/>
      <c r="AE247" s="254"/>
      <c r="AF247" s="254"/>
      <c r="AG247" s="254"/>
      <c r="AH247" s="254"/>
      <c r="AI247" s="254"/>
      <c r="AJ247" s="324"/>
      <c r="AK247" s="324"/>
      <c r="AL247" s="110">
        <f>40000000+17000000+12920000</f>
        <v>69920000</v>
      </c>
      <c r="AM247" s="14"/>
      <c r="AN247" s="324"/>
      <c r="AO247" s="293"/>
      <c r="AP247" s="293"/>
      <c r="AQ247" s="26">
        <f>P247+Q247+R247+S247+T247+U247+V247+W247+X247+Y247+Z247+AA247+AB247+AC247+AD247+AE247+AF247+AG247+AH247+AI247+AJ247+AK247+AL247+AM247+AN247+AP247+AO247</f>
        <v>69920000</v>
      </c>
    </row>
    <row r="248" spans="1:43" ht="57" x14ac:dyDescent="0.25">
      <c r="A248" s="20"/>
      <c r="B248" s="20"/>
      <c r="C248" s="862"/>
      <c r="D248" s="987"/>
      <c r="E248" s="859"/>
      <c r="F248" s="859"/>
      <c r="G248" s="859"/>
      <c r="H248" s="5">
        <v>46</v>
      </c>
      <c r="I248" s="774" t="s">
        <v>314</v>
      </c>
      <c r="J248" s="11">
        <v>0</v>
      </c>
      <c r="K248" s="11">
        <v>1</v>
      </c>
      <c r="L248" s="932"/>
      <c r="M248" s="856"/>
      <c r="N248" s="937"/>
      <c r="O248" s="5" t="s">
        <v>38</v>
      </c>
      <c r="P248" s="324">
        <v>0</v>
      </c>
      <c r="Q248" s="324">
        <v>0</v>
      </c>
      <c r="R248" s="324">
        <v>0</v>
      </c>
      <c r="S248" s="324">
        <v>0</v>
      </c>
      <c r="T248" s="324">
        <v>0</v>
      </c>
      <c r="U248" s="324">
        <v>0</v>
      </c>
      <c r="V248" s="324">
        <v>0</v>
      </c>
      <c r="W248" s="324"/>
      <c r="X248" s="324"/>
      <c r="Y248" s="324"/>
      <c r="Z248" s="324">
        <v>0</v>
      </c>
      <c r="AA248" s="324"/>
      <c r="AB248" s="324">
        <v>0</v>
      </c>
      <c r="AC248" s="324">
        <v>0</v>
      </c>
      <c r="AD248" s="254"/>
      <c r="AE248" s="254"/>
      <c r="AF248" s="254"/>
      <c r="AG248" s="254"/>
      <c r="AH248" s="254"/>
      <c r="AI248" s="254"/>
      <c r="AJ248" s="324">
        <v>0</v>
      </c>
      <c r="AK248" s="324">
        <v>0</v>
      </c>
      <c r="AL248" s="110">
        <f>25000000+25000000+165000000</f>
        <v>215000000</v>
      </c>
      <c r="AM248" s="14"/>
      <c r="AN248" s="324">
        <v>0</v>
      </c>
      <c r="AO248" s="293">
        <v>0</v>
      </c>
      <c r="AP248" s="293"/>
      <c r="AQ248" s="26">
        <f>P248+Q248+R248+S248+T248+U248+V248+W248+X248+Y248+Z248+AA248+AB248+AC248+AD248+AE248+AF248+AG248+AH248+AI248+AJ248+AK248+AL248+AM248+AN248+AP248+AO248</f>
        <v>215000000</v>
      </c>
    </row>
    <row r="249" spans="1:43" ht="15" x14ac:dyDescent="0.25">
      <c r="A249" s="20"/>
      <c r="B249" s="20"/>
      <c r="C249" s="773"/>
      <c r="D249" s="774"/>
      <c r="E249" s="775"/>
      <c r="F249" s="775"/>
      <c r="G249" s="154"/>
      <c r="H249" s="155"/>
      <c r="I249" s="154"/>
      <c r="J249" s="253"/>
      <c r="K249" s="253"/>
      <c r="L249" s="253"/>
      <c r="M249" s="157"/>
      <c r="N249" s="154"/>
      <c r="O249" s="155"/>
      <c r="P249" s="158">
        <f>SUM(P245:P248)</f>
        <v>0</v>
      </c>
      <c r="Q249" s="158">
        <f t="shared" ref="Q249:AK249" si="117">SUM(Q245:Q248)</f>
        <v>0</v>
      </c>
      <c r="R249" s="158">
        <f t="shared" si="117"/>
        <v>0</v>
      </c>
      <c r="S249" s="158">
        <f t="shared" si="117"/>
        <v>0</v>
      </c>
      <c r="T249" s="158">
        <f t="shared" si="117"/>
        <v>0</v>
      </c>
      <c r="U249" s="158">
        <f t="shared" si="117"/>
        <v>0</v>
      </c>
      <c r="V249" s="158">
        <f t="shared" si="117"/>
        <v>0</v>
      </c>
      <c r="W249" s="158">
        <f t="shared" si="117"/>
        <v>0</v>
      </c>
      <c r="X249" s="158">
        <f t="shared" si="117"/>
        <v>0</v>
      </c>
      <c r="Y249" s="158">
        <f t="shared" si="117"/>
        <v>0</v>
      </c>
      <c r="Z249" s="158">
        <f t="shared" si="117"/>
        <v>0</v>
      </c>
      <c r="AA249" s="158">
        <f t="shared" si="117"/>
        <v>0</v>
      </c>
      <c r="AB249" s="158">
        <f t="shared" si="117"/>
        <v>0</v>
      </c>
      <c r="AC249" s="158">
        <f t="shared" si="117"/>
        <v>0</v>
      </c>
      <c r="AD249" s="158">
        <f t="shared" si="117"/>
        <v>0</v>
      </c>
      <c r="AE249" s="158">
        <f t="shared" si="117"/>
        <v>0</v>
      </c>
      <c r="AF249" s="158">
        <f t="shared" si="117"/>
        <v>0</v>
      </c>
      <c r="AG249" s="158">
        <f t="shared" si="117"/>
        <v>0</v>
      </c>
      <c r="AH249" s="158">
        <f t="shared" si="117"/>
        <v>0</v>
      </c>
      <c r="AI249" s="158">
        <f t="shared" si="117"/>
        <v>0</v>
      </c>
      <c r="AJ249" s="158">
        <f t="shared" si="117"/>
        <v>0</v>
      </c>
      <c r="AK249" s="158">
        <f t="shared" si="117"/>
        <v>0</v>
      </c>
      <c r="AL249" s="158">
        <f t="shared" ref="AL249:AP249" si="118">SUM(AL245:AL248)</f>
        <v>415200000</v>
      </c>
      <c r="AM249" s="158">
        <f t="shared" si="118"/>
        <v>0</v>
      </c>
      <c r="AN249" s="158">
        <f t="shared" si="118"/>
        <v>0</v>
      </c>
      <c r="AO249" s="158">
        <f t="shared" si="118"/>
        <v>0</v>
      </c>
      <c r="AP249" s="158">
        <f t="shared" si="118"/>
        <v>0</v>
      </c>
      <c r="AQ249" s="158">
        <f>SUM(AQ245:AQ248)</f>
        <v>415200000</v>
      </c>
    </row>
    <row r="250" spans="1:43" s="28" customFormat="1" ht="15" x14ac:dyDescent="0.25">
      <c r="A250" s="20"/>
      <c r="B250" s="20"/>
      <c r="C250" s="795"/>
      <c r="D250" s="177"/>
      <c r="E250" s="795"/>
      <c r="F250" s="795"/>
      <c r="G250" s="177"/>
      <c r="H250" s="795"/>
      <c r="I250" s="177"/>
      <c r="J250" s="264"/>
      <c r="K250" s="264"/>
      <c r="L250" s="264"/>
      <c r="M250" s="179"/>
      <c r="N250" s="177"/>
      <c r="O250" s="795"/>
      <c r="P250" s="180"/>
      <c r="Q250" s="180"/>
      <c r="R250" s="180"/>
      <c r="S250" s="180"/>
      <c r="T250" s="180"/>
      <c r="U250" s="180"/>
      <c r="V250" s="180"/>
      <c r="W250" s="180"/>
      <c r="X250" s="180"/>
      <c r="Y250" s="180"/>
      <c r="Z250" s="180"/>
      <c r="AA250" s="180"/>
      <c r="AB250" s="180"/>
      <c r="AC250" s="180"/>
      <c r="AD250" s="180"/>
      <c r="AE250" s="180"/>
      <c r="AF250" s="180"/>
      <c r="AG250" s="180"/>
      <c r="AH250" s="180"/>
      <c r="AI250" s="180"/>
      <c r="AJ250" s="180"/>
      <c r="AK250" s="180"/>
      <c r="AL250" s="182"/>
      <c r="AM250" s="183"/>
      <c r="AN250" s="180"/>
      <c r="AO250" s="180"/>
      <c r="AP250" s="180"/>
      <c r="AQ250" s="26"/>
    </row>
    <row r="251" spans="1:43" ht="15" x14ac:dyDescent="0.25">
      <c r="A251" s="20"/>
      <c r="B251" s="20"/>
      <c r="C251" s="767"/>
      <c r="D251" s="765"/>
      <c r="E251" s="762"/>
      <c r="F251" s="762"/>
      <c r="G251" s="346">
        <v>10</v>
      </c>
      <c r="H251" s="275" t="s">
        <v>315</v>
      </c>
      <c r="I251" s="189"/>
      <c r="J251" s="189"/>
      <c r="K251" s="189"/>
      <c r="L251" s="189"/>
      <c r="M251" s="659"/>
      <c r="N251" s="189"/>
      <c r="O251" s="189"/>
      <c r="P251" s="189"/>
      <c r="Q251" s="189"/>
      <c r="R251" s="189"/>
      <c r="S251" s="189"/>
      <c r="T251" s="189"/>
      <c r="U251" s="189"/>
      <c r="V251" s="189"/>
      <c r="W251" s="189"/>
      <c r="X251" s="189"/>
      <c r="Y251" s="189"/>
      <c r="Z251" s="189"/>
      <c r="AA251" s="189"/>
      <c r="AB251" s="189"/>
      <c r="AC251" s="189"/>
      <c r="AD251" s="189"/>
      <c r="AE251" s="189"/>
      <c r="AF251" s="189"/>
      <c r="AG251" s="189"/>
      <c r="AH251" s="189"/>
      <c r="AI251" s="189"/>
      <c r="AJ251" s="189"/>
      <c r="AK251" s="189"/>
      <c r="AL251" s="190"/>
      <c r="AM251" s="189"/>
      <c r="AN251" s="189"/>
      <c r="AO251" s="189"/>
      <c r="AP251" s="189"/>
      <c r="AQ251" s="521"/>
    </row>
    <row r="252" spans="1:43" s="28" customFormat="1" ht="79.5" customHeight="1" x14ac:dyDescent="0.25">
      <c r="A252" s="20"/>
      <c r="B252" s="20"/>
      <c r="C252" s="772">
        <v>5</v>
      </c>
      <c r="D252" s="763" t="s">
        <v>316</v>
      </c>
      <c r="E252" s="760" t="s">
        <v>317</v>
      </c>
      <c r="F252" s="760" t="s">
        <v>318</v>
      </c>
      <c r="G252" s="29"/>
      <c r="H252" s="775">
        <v>47</v>
      </c>
      <c r="I252" s="774" t="s">
        <v>319</v>
      </c>
      <c r="J252" s="11">
        <v>0</v>
      </c>
      <c r="K252" s="11">
        <v>24</v>
      </c>
      <c r="L252" s="985" t="s">
        <v>293</v>
      </c>
      <c r="M252" s="854" t="s">
        <v>320</v>
      </c>
      <c r="N252" s="849" t="s">
        <v>321</v>
      </c>
      <c r="O252" s="775" t="s">
        <v>34</v>
      </c>
      <c r="P252" s="26"/>
      <c r="Q252" s="26"/>
      <c r="R252" s="26"/>
      <c r="S252" s="26"/>
      <c r="T252" s="26"/>
      <c r="U252" s="26"/>
      <c r="V252" s="26"/>
      <c r="W252" s="26"/>
      <c r="X252" s="26"/>
      <c r="Y252" s="26"/>
      <c r="Z252" s="26"/>
      <c r="AA252" s="26"/>
      <c r="AB252" s="26"/>
      <c r="AC252" s="26"/>
      <c r="AD252" s="26"/>
      <c r="AE252" s="26"/>
      <c r="AF252" s="26"/>
      <c r="AG252" s="26"/>
      <c r="AH252" s="26"/>
      <c r="AI252" s="26"/>
      <c r="AJ252" s="26"/>
      <c r="AK252" s="26"/>
      <c r="AL252" s="110">
        <f>78750000+5625000+83920000+20000000+150000000+9750000+6000000</f>
        <v>354045000</v>
      </c>
      <c r="AM252" s="14"/>
      <c r="AN252" s="26"/>
      <c r="AO252" s="27"/>
      <c r="AP252" s="27"/>
      <c r="AQ252" s="26">
        <f>P252+Q252+R252+S252+T252+U252+V252+W252+X252+Y252+Z252+AA252+AB252+AC252+AD252+AE252+AF252+AG252+AH252+AI252+AJ252+AK252+AL252+AM252+AN252+AP252+AO252</f>
        <v>354045000</v>
      </c>
    </row>
    <row r="253" spans="1:43" s="28" customFormat="1" ht="57" customHeight="1" x14ac:dyDescent="0.25">
      <c r="A253" s="20"/>
      <c r="B253" s="20"/>
      <c r="C253" s="766">
        <v>6</v>
      </c>
      <c r="D253" s="29" t="s">
        <v>309</v>
      </c>
      <c r="E253" s="761" t="s">
        <v>297</v>
      </c>
      <c r="F253" s="761" t="s">
        <v>298</v>
      </c>
      <c r="G253" s="29"/>
      <c r="H253" s="775">
        <v>48</v>
      </c>
      <c r="I253" s="774" t="s">
        <v>322</v>
      </c>
      <c r="J253" s="11">
        <v>0</v>
      </c>
      <c r="K253" s="11">
        <v>1</v>
      </c>
      <c r="L253" s="1007"/>
      <c r="M253" s="855"/>
      <c r="N253" s="857"/>
      <c r="O253" s="775" t="s">
        <v>38</v>
      </c>
      <c r="P253" s="26">
        <v>0</v>
      </c>
      <c r="Q253" s="26">
        <v>0</v>
      </c>
      <c r="R253" s="26">
        <v>0</v>
      </c>
      <c r="S253" s="26">
        <v>0</v>
      </c>
      <c r="T253" s="26">
        <v>0</v>
      </c>
      <c r="U253" s="26">
        <v>0</v>
      </c>
      <c r="V253" s="26">
        <v>0</v>
      </c>
      <c r="W253" s="26"/>
      <c r="X253" s="26"/>
      <c r="Y253" s="26"/>
      <c r="Z253" s="26">
        <v>0</v>
      </c>
      <c r="AA253" s="26"/>
      <c r="AB253" s="26">
        <v>0</v>
      </c>
      <c r="AC253" s="26">
        <v>0</v>
      </c>
      <c r="AD253" s="26"/>
      <c r="AE253" s="26"/>
      <c r="AF253" s="26"/>
      <c r="AG253" s="26"/>
      <c r="AH253" s="26"/>
      <c r="AI253" s="26"/>
      <c r="AJ253" s="26">
        <v>0</v>
      </c>
      <c r="AK253" s="26">
        <v>0</v>
      </c>
      <c r="AL253" s="110">
        <f>205625000-5625000-150000000+150000000</f>
        <v>200000000</v>
      </c>
      <c r="AM253" s="14"/>
      <c r="AN253" s="26">
        <v>0</v>
      </c>
      <c r="AO253" s="27">
        <v>0</v>
      </c>
      <c r="AP253" s="27"/>
      <c r="AQ253" s="26">
        <f>P253+Q253+R253+S253+T253+U253+V253+W253+X253+Y253+Z253+AA253+AB253+AC253+AD253+AE253+AF253+AG253+AH253+AI253+AJ253+AK253+AL253+AM253+AN253+AP253+AO253</f>
        <v>200000000</v>
      </c>
    </row>
    <row r="254" spans="1:43" s="28" customFormat="1" ht="72" thickBot="1" x14ac:dyDescent="0.3">
      <c r="A254" s="20"/>
      <c r="B254" s="20"/>
      <c r="C254" s="767">
        <v>7</v>
      </c>
      <c r="D254" s="765" t="s">
        <v>311</v>
      </c>
      <c r="E254" s="74">
        <v>31.7</v>
      </c>
      <c r="F254" s="762" t="s">
        <v>323</v>
      </c>
      <c r="G254" s="30"/>
      <c r="H254" s="775">
        <v>49</v>
      </c>
      <c r="I254" s="774" t="s">
        <v>324</v>
      </c>
      <c r="J254" s="11">
        <v>0</v>
      </c>
      <c r="K254" s="11">
        <v>1</v>
      </c>
      <c r="L254" s="986"/>
      <c r="M254" s="856"/>
      <c r="N254" s="988"/>
      <c r="O254" s="775" t="s">
        <v>38</v>
      </c>
      <c r="P254" s="26">
        <v>0</v>
      </c>
      <c r="Q254" s="26">
        <v>0</v>
      </c>
      <c r="R254" s="26">
        <v>0</v>
      </c>
      <c r="S254" s="26">
        <v>0</v>
      </c>
      <c r="T254" s="26">
        <v>0</v>
      </c>
      <c r="U254" s="26">
        <v>0</v>
      </c>
      <c r="V254" s="26">
        <v>0</v>
      </c>
      <c r="W254" s="26"/>
      <c r="X254" s="26"/>
      <c r="Y254" s="26"/>
      <c r="Z254" s="26">
        <v>0</v>
      </c>
      <c r="AA254" s="26"/>
      <c r="AB254" s="26">
        <v>0</v>
      </c>
      <c r="AC254" s="26">
        <v>0</v>
      </c>
      <c r="AD254" s="26"/>
      <c r="AE254" s="26"/>
      <c r="AF254" s="26"/>
      <c r="AG254" s="26"/>
      <c r="AH254" s="26"/>
      <c r="AI254" s="26"/>
      <c r="AJ254" s="26">
        <v>0</v>
      </c>
      <c r="AK254" s="26">
        <v>0</v>
      </c>
      <c r="AL254" s="110">
        <f>5625000+20000000+30000000-20000000-9750000</f>
        <v>25875000</v>
      </c>
      <c r="AM254" s="14"/>
      <c r="AN254" s="26">
        <v>0</v>
      </c>
      <c r="AO254" s="27">
        <v>0</v>
      </c>
      <c r="AP254" s="27"/>
      <c r="AQ254" s="26">
        <f>P254+Q254+R254+S254+T254+U254+V254+W254+X254+Y254+Z254+AA254+AB254+AC254+AD254+AE254+AF254+AG254+AH254+AI254+AJ254+AK254+AL254+AM254+AN254+AP254+AO254</f>
        <v>25875000</v>
      </c>
    </row>
    <row r="255" spans="1:43" thickTop="1" x14ac:dyDescent="0.25">
      <c r="A255" s="20"/>
      <c r="B255" s="152"/>
      <c r="C255" s="773"/>
      <c r="D255" s="774"/>
      <c r="E255" s="775"/>
      <c r="F255" s="775"/>
      <c r="G255" s="154"/>
      <c r="H255" s="155"/>
      <c r="I255" s="154"/>
      <c r="J255" s="253"/>
      <c r="K255" s="253"/>
      <c r="L255" s="253"/>
      <c r="M255" s="157"/>
      <c r="N255" s="154"/>
      <c r="O255" s="155"/>
      <c r="P255" s="158">
        <f>SUM(P252:P254)</f>
        <v>0</v>
      </c>
      <c r="Q255" s="158">
        <f t="shared" ref="Q255:AK255" si="119">SUM(Q252:Q254)</f>
        <v>0</v>
      </c>
      <c r="R255" s="158">
        <f t="shared" si="119"/>
        <v>0</v>
      </c>
      <c r="S255" s="158">
        <f t="shared" si="119"/>
        <v>0</v>
      </c>
      <c r="T255" s="158">
        <f t="shared" si="119"/>
        <v>0</v>
      </c>
      <c r="U255" s="158">
        <f t="shared" si="119"/>
        <v>0</v>
      </c>
      <c r="V255" s="158">
        <f t="shared" si="119"/>
        <v>0</v>
      </c>
      <c r="W255" s="158">
        <f t="shared" si="119"/>
        <v>0</v>
      </c>
      <c r="X255" s="158">
        <f t="shared" si="119"/>
        <v>0</v>
      </c>
      <c r="Y255" s="158">
        <f t="shared" si="119"/>
        <v>0</v>
      </c>
      <c r="Z255" s="158">
        <f t="shared" si="119"/>
        <v>0</v>
      </c>
      <c r="AA255" s="158">
        <f t="shared" si="119"/>
        <v>0</v>
      </c>
      <c r="AB255" s="158">
        <f t="shared" si="119"/>
        <v>0</v>
      </c>
      <c r="AC255" s="158">
        <f t="shared" si="119"/>
        <v>0</v>
      </c>
      <c r="AD255" s="158">
        <f t="shared" si="119"/>
        <v>0</v>
      </c>
      <c r="AE255" s="158">
        <f t="shared" si="119"/>
        <v>0</v>
      </c>
      <c r="AF255" s="158">
        <f t="shared" si="119"/>
        <v>0</v>
      </c>
      <c r="AG255" s="158">
        <f t="shared" si="119"/>
        <v>0</v>
      </c>
      <c r="AH255" s="158">
        <f t="shared" si="119"/>
        <v>0</v>
      </c>
      <c r="AI255" s="158">
        <f t="shared" si="119"/>
        <v>0</v>
      </c>
      <c r="AJ255" s="158">
        <f t="shared" si="119"/>
        <v>0</v>
      </c>
      <c r="AK255" s="158">
        <f t="shared" si="119"/>
        <v>0</v>
      </c>
      <c r="AL255" s="158">
        <f t="shared" ref="AL255:AP255" si="120">SUM(AL252:AL254)</f>
        <v>579920000</v>
      </c>
      <c r="AM255" s="158">
        <f t="shared" si="120"/>
        <v>0</v>
      </c>
      <c r="AN255" s="158">
        <f t="shared" si="120"/>
        <v>0</v>
      </c>
      <c r="AO255" s="158">
        <f t="shared" si="120"/>
        <v>0</v>
      </c>
      <c r="AP255" s="158">
        <f t="shared" si="120"/>
        <v>0</v>
      </c>
      <c r="AQ255" s="158">
        <f>SUM(AQ252:AQ254)</f>
        <v>579920000</v>
      </c>
    </row>
    <row r="256" spans="1:43" ht="15" x14ac:dyDescent="0.25">
      <c r="A256" s="20"/>
      <c r="B256" s="218"/>
      <c r="C256" s="162"/>
      <c r="D256" s="161"/>
      <c r="E256" s="162"/>
      <c r="F256" s="162"/>
      <c r="G256" s="161"/>
      <c r="H256" s="162"/>
      <c r="I256" s="161"/>
      <c r="J256" s="261"/>
      <c r="K256" s="261"/>
      <c r="L256" s="261"/>
      <c r="M256" s="164"/>
      <c r="N256" s="161"/>
      <c r="O256" s="162"/>
      <c r="P256" s="165">
        <f>P255+P249+P242</f>
        <v>0</v>
      </c>
      <c r="Q256" s="165">
        <f t="shared" ref="Q256:AK256" si="121">Q255+Q249+Q242</f>
        <v>0</v>
      </c>
      <c r="R256" s="165">
        <f t="shared" si="121"/>
        <v>0</v>
      </c>
      <c r="S256" s="165">
        <f t="shared" si="121"/>
        <v>0</v>
      </c>
      <c r="T256" s="165">
        <f t="shared" si="121"/>
        <v>0</v>
      </c>
      <c r="U256" s="165">
        <f t="shared" si="121"/>
        <v>0</v>
      </c>
      <c r="V256" s="165">
        <f t="shared" si="121"/>
        <v>0</v>
      </c>
      <c r="W256" s="165">
        <f t="shared" si="121"/>
        <v>0</v>
      </c>
      <c r="X256" s="165">
        <f t="shared" si="121"/>
        <v>0</v>
      </c>
      <c r="Y256" s="165">
        <f t="shared" si="121"/>
        <v>0</v>
      </c>
      <c r="Z256" s="165">
        <f t="shared" si="121"/>
        <v>0</v>
      </c>
      <c r="AA256" s="165">
        <f t="shared" si="121"/>
        <v>0</v>
      </c>
      <c r="AB256" s="165">
        <f t="shared" si="121"/>
        <v>0</v>
      </c>
      <c r="AC256" s="165">
        <f t="shared" si="121"/>
        <v>0</v>
      </c>
      <c r="AD256" s="165">
        <f t="shared" si="121"/>
        <v>0</v>
      </c>
      <c r="AE256" s="165">
        <f t="shared" si="121"/>
        <v>0</v>
      </c>
      <c r="AF256" s="165">
        <f t="shared" si="121"/>
        <v>0</v>
      </c>
      <c r="AG256" s="165">
        <f t="shared" si="121"/>
        <v>0</v>
      </c>
      <c r="AH256" s="165">
        <f t="shared" si="121"/>
        <v>0</v>
      </c>
      <c r="AI256" s="165">
        <f t="shared" si="121"/>
        <v>0</v>
      </c>
      <c r="AJ256" s="165">
        <f t="shared" si="121"/>
        <v>0</v>
      </c>
      <c r="AK256" s="165">
        <f t="shared" si="121"/>
        <v>0</v>
      </c>
      <c r="AL256" s="165">
        <f t="shared" ref="AL256:AP256" si="122">AL255+AL249+AL242</f>
        <v>1204580000</v>
      </c>
      <c r="AM256" s="165">
        <f t="shared" si="122"/>
        <v>0</v>
      </c>
      <c r="AN256" s="165">
        <f t="shared" si="122"/>
        <v>0</v>
      </c>
      <c r="AO256" s="165">
        <f t="shared" si="122"/>
        <v>0</v>
      </c>
      <c r="AP256" s="165">
        <f t="shared" si="122"/>
        <v>0</v>
      </c>
      <c r="AQ256" s="165">
        <f>AQ255+AQ249+AQ242</f>
        <v>1204580000</v>
      </c>
    </row>
    <row r="257" spans="1:43" s="28" customFormat="1" ht="15" x14ac:dyDescent="0.25">
      <c r="A257" s="20"/>
      <c r="B257" s="35"/>
      <c r="C257" s="775"/>
      <c r="D257" s="774"/>
      <c r="E257" s="775"/>
      <c r="F257" s="775"/>
      <c r="G257" s="774"/>
      <c r="H257" s="775"/>
      <c r="I257" s="774"/>
      <c r="J257" s="11"/>
      <c r="K257" s="11"/>
      <c r="L257" s="11"/>
      <c r="M257" s="37"/>
      <c r="N257" s="774"/>
      <c r="O257" s="775"/>
      <c r="P257" s="26"/>
      <c r="Q257" s="26"/>
      <c r="R257" s="26"/>
      <c r="S257" s="26"/>
      <c r="T257" s="26"/>
      <c r="U257" s="26"/>
      <c r="V257" s="26"/>
      <c r="W257" s="26"/>
      <c r="X257" s="26"/>
      <c r="Y257" s="26"/>
      <c r="Z257" s="26"/>
      <c r="AA257" s="26"/>
      <c r="AB257" s="26"/>
      <c r="AC257" s="26"/>
      <c r="AD257" s="26"/>
      <c r="AE257" s="26"/>
      <c r="AF257" s="26"/>
      <c r="AG257" s="26"/>
      <c r="AH257" s="26"/>
      <c r="AI257" s="26"/>
      <c r="AJ257" s="26"/>
      <c r="AK257" s="26"/>
      <c r="AL257" s="110"/>
      <c r="AM257" s="26"/>
      <c r="AN257" s="26"/>
      <c r="AO257" s="27"/>
      <c r="AP257" s="27"/>
      <c r="AQ257" s="26"/>
    </row>
    <row r="258" spans="1:43" s="28" customFormat="1" ht="15" x14ac:dyDescent="0.25">
      <c r="A258" s="20"/>
      <c r="B258" s="243">
        <v>3</v>
      </c>
      <c r="C258" s="146" t="s">
        <v>325</v>
      </c>
      <c r="D258" s="146"/>
      <c r="E258" s="146"/>
      <c r="F258" s="146"/>
      <c r="G258" s="146"/>
      <c r="H258" s="147"/>
      <c r="I258" s="146"/>
      <c r="J258" s="146"/>
      <c r="K258" s="146"/>
      <c r="L258" s="146"/>
      <c r="M258" s="652"/>
      <c r="N258" s="146"/>
      <c r="O258" s="146"/>
      <c r="P258" s="146"/>
      <c r="Q258" s="146"/>
      <c r="R258" s="146"/>
      <c r="S258" s="146"/>
      <c r="T258" s="146"/>
      <c r="U258" s="146"/>
      <c r="V258" s="146"/>
      <c r="W258" s="146"/>
      <c r="X258" s="146"/>
      <c r="Y258" s="146"/>
      <c r="Z258" s="146"/>
      <c r="AA258" s="146"/>
      <c r="AB258" s="146"/>
      <c r="AC258" s="146"/>
      <c r="AD258" s="146"/>
      <c r="AE258" s="146"/>
      <c r="AF258" s="146"/>
      <c r="AG258" s="146"/>
      <c r="AH258" s="146"/>
      <c r="AI258" s="146"/>
      <c r="AJ258" s="146"/>
      <c r="AK258" s="146"/>
      <c r="AL258" s="148"/>
      <c r="AM258" s="146"/>
      <c r="AN258" s="146"/>
      <c r="AO258" s="146"/>
      <c r="AP258" s="146"/>
      <c r="AQ258" s="524"/>
    </row>
    <row r="259" spans="1:43" s="28" customFormat="1" ht="15" x14ac:dyDescent="0.25">
      <c r="A259" s="20"/>
      <c r="B259" s="23" t="s">
        <v>0</v>
      </c>
      <c r="C259" s="244"/>
      <c r="D259" s="347"/>
      <c r="E259" s="347"/>
      <c r="F259" s="347"/>
      <c r="G259" s="332">
        <v>11</v>
      </c>
      <c r="H259" s="228" t="s">
        <v>326</v>
      </c>
      <c r="I259" s="228"/>
      <c r="J259" s="228"/>
      <c r="K259" s="228"/>
      <c r="L259" s="228"/>
      <c r="M259" s="658"/>
      <c r="N259" s="228"/>
      <c r="O259" s="228"/>
      <c r="P259" s="228"/>
      <c r="Q259" s="228"/>
      <c r="R259" s="228"/>
      <c r="S259" s="228"/>
      <c r="T259" s="228"/>
      <c r="U259" s="228"/>
      <c r="V259" s="228"/>
      <c r="W259" s="228"/>
      <c r="X259" s="228"/>
      <c r="Y259" s="228"/>
      <c r="Z259" s="228"/>
      <c r="AA259" s="228"/>
      <c r="AB259" s="228"/>
      <c r="AC259" s="228"/>
      <c r="AD259" s="228"/>
      <c r="AE259" s="228"/>
      <c r="AF259" s="228"/>
      <c r="AG259" s="228"/>
      <c r="AH259" s="228"/>
      <c r="AI259" s="228"/>
      <c r="AJ259" s="228"/>
      <c r="AK259" s="228"/>
      <c r="AL259" s="229"/>
      <c r="AM259" s="228"/>
      <c r="AN259" s="228"/>
      <c r="AO259" s="228"/>
      <c r="AP259" s="228"/>
      <c r="AQ259" s="679"/>
    </row>
    <row r="260" spans="1:43" s="28" customFormat="1" ht="180.75" customHeight="1" x14ac:dyDescent="0.25">
      <c r="A260" s="20"/>
      <c r="B260" s="29"/>
      <c r="C260" s="773" t="s">
        <v>327</v>
      </c>
      <c r="D260" s="774" t="s">
        <v>940</v>
      </c>
      <c r="E260" s="775" t="s">
        <v>328</v>
      </c>
      <c r="F260" s="775" t="s">
        <v>329</v>
      </c>
      <c r="G260" s="762"/>
      <c r="H260" s="775">
        <v>50</v>
      </c>
      <c r="I260" s="774" t="s">
        <v>330</v>
      </c>
      <c r="J260" s="11" t="s">
        <v>30</v>
      </c>
      <c r="K260" s="769">
        <v>5</v>
      </c>
      <c r="L260" s="858" t="s">
        <v>293</v>
      </c>
      <c r="M260" s="854" t="s">
        <v>331</v>
      </c>
      <c r="N260" s="849" t="s">
        <v>332</v>
      </c>
      <c r="O260" s="775" t="s">
        <v>34</v>
      </c>
      <c r="P260" s="26">
        <v>0</v>
      </c>
      <c r="Q260" s="26">
        <v>0</v>
      </c>
      <c r="R260" s="26">
        <v>0</v>
      </c>
      <c r="S260" s="26">
        <v>0</v>
      </c>
      <c r="T260" s="26">
        <v>0</v>
      </c>
      <c r="U260" s="26">
        <v>0</v>
      </c>
      <c r="V260" s="26">
        <v>0</v>
      </c>
      <c r="W260" s="26"/>
      <c r="X260" s="26"/>
      <c r="Y260" s="26"/>
      <c r="Z260" s="26">
        <v>0</v>
      </c>
      <c r="AA260" s="26"/>
      <c r="AB260" s="26">
        <v>0</v>
      </c>
      <c r="AC260" s="26">
        <v>0</v>
      </c>
      <c r="AD260" s="26"/>
      <c r="AE260" s="26"/>
      <c r="AF260" s="26"/>
      <c r="AG260" s="26"/>
      <c r="AH260" s="26"/>
      <c r="AI260" s="26"/>
      <c r="AJ260" s="26">
        <v>0</v>
      </c>
      <c r="AK260" s="26">
        <v>0</v>
      </c>
      <c r="AL260" s="110">
        <f>90000000-30000000+148240000+40840000+31000000</f>
        <v>280080000</v>
      </c>
      <c r="AM260" s="14"/>
      <c r="AN260" s="26">
        <v>0</v>
      </c>
      <c r="AO260" s="27">
        <v>0</v>
      </c>
      <c r="AP260" s="27"/>
      <c r="AQ260" s="26">
        <f>P260+Q260+R260+S260+T260+U260+V260+W260+X260+Y260+Z260+AA260+AB260+AC260+AD260+AE260+AF260+AG260+AH260+AI260+AJ260+AK260+AL260+AM260+AN260+AP260+AO260</f>
        <v>280080000</v>
      </c>
    </row>
    <row r="261" spans="1:43" s="28" customFormat="1" ht="49.5" customHeight="1" x14ac:dyDescent="0.25">
      <c r="A261" s="20"/>
      <c r="B261" s="29"/>
      <c r="C261" s="773"/>
      <c r="D261" s="774"/>
      <c r="E261" s="775"/>
      <c r="F261" s="775"/>
      <c r="G261" s="762"/>
      <c r="H261" s="773">
        <v>51</v>
      </c>
      <c r="I261" s="774" t="s">
        <v>333</v>
      </c>
      <c r="J261" s="11">
        <v>0</v>
      </c>
      <c r="K261" s="11">
        <v>1</v>
      </c>
      <c r="L261" s="859"/>
      <c r="M261" s="856"/>
      <c r="N261" s="850"/>
      <c r="O261" s="775" t="s">
        <v>38</v>
      </c>
      <c r="P261" s="26"/>
      <c r="Q261" s="26"/>
      <c r="R261" s="26"/>
      <c r="S261" s="26"/>
      <c r="T261" s="26"/>
      <c r="U261" s="26"/>
      <c r="V261" s="26"/>
      <c r="W261" s="26"/>
      <c r="X261" s="26"/>
      <c r="Y261" s="26"/>
      <c r="Z261" s="26"/>
      <c r="AA261" s="26"/>
      <c r="AB261" s="26"/>
      <c r="AC261" s="26"/>
      <c r="AD261" s="26"/>
      <c r="AE261" s="26"/>
      <c r="AF261" s="26"/>
      <c r="AG261" s="26"/>
      <c r="AH261" s="26"/>
      <c r="AI261" s="26"/>
      <c r="AJ261" s="26"/>
      <c r="AK261" s="26"/>
      <c r="AL261" s="110">
        <f>60000000+30000000-40840000</f>
        <v>49160000</v>
      </c>
      <c r="AM261" s="14"/>
      <c r="AN261" s="26"/>
      <c r="AO261" s="27"/>
      <c r="AP261" s="27"/>
      <c r="AQ261" s="26">
        <f>P261+Q261+R261+S261+T261+U261+V261+W261+X261+Y261+Z261+AA261+AB261+AC261+AD261+AE261+AF261+AG261+AH261+AI261+AJ261+AK261+AL261+AM261+AN261+AP261+AO261</f>
        <v>49160000</v>
      </c>
    </row>
    <row r="262" spans="1:43" ht="15" x14ac:dyDescent="0.25">
      <c r="A262" s="20"/>
      <c r="B262" s="29"/>
      <c r="C262" s="773"/>
      <c r="D262" s="774"/>
      <c r="E262" s="775"/>
      <c r="F262" s="775"/>
      <c r="G262" s="154"/>
      <c r="H262" s="155"/>
      <c r="I262" s="154"/>
      <c r="J262" s="253"/>
      <c r="K262" s="253"/>
      <c r="L262" s="253"/>
      <c r="M262" s="157"/>
      <c r="N262" s="154"/>
      <c r="O262" s="155"/>
      <c r="P262" s="158">
        <f>SUM(P260:P261)</f>
        <v>0</v>
      </c>
      <c r="Q262" s="158">
        <f t="shared" ref="Q262:AK262" si="123">SUM(Q260:Q261)</f>
        <v>0</v>
      </c>
      <c r="R262" s="158">
        <f t="shared" si="123"/>
        <v>0</v>
      </c>
      <c r="S262" s="158">
        <f t="shared" si="123"/>
        <v>0</v>
      </c>
      <c r="T262" s="158">
        <f t="shared" si="123"/>
        <v>0</v>
      </c>
      <c r="U262" s="158">
        <f t="shared" si="123"/>
        <v>0</v>
      </c>
      <c r="V262" s="158">
        <f t="shared" si="123"/>
        <v>0</v>
      </c>
      <c r="W262" s="158">
        <f t="shared" si="123"/>
        <v>0</v>
      </c>
      <c r="X262" s="158">
        <f t="shared" si="123"/>
        <v>0</v>
      </c>
      <c r="Y262" s="158">
        <f t="shared" si="123"/>
        <v>0</v>
      </c>
      <c r="Z262" s="158">
        <f t="shared" si="123"/>
        <v>0</v>
      </c>
      <c r="AA262" s="158">
        <f t="shared" si="123"/>
        <v>0</v>
      </c>
      <c r="AB262" s="158">
        <f t="shared" si="123"/>
        <v>0</v>
      </c>
      <c r="AC262" s="158">
        <f t="shared" si="123"/>
        <v>0</v>
      </c>
      <c r="AD262" s="158">
        <f t="shared" si="123"/>
        <v>0</v>
      </c>
      <c r="AE262" s="158">
        <f t="shared" si="123"/>
        <v>0</v>
      </c>
      <c r="AF262" s="158">
        <f t="shared" si="123"/>
        <v>0</v>
      </c>
      <c r="AG262" s="158">
        <f t="shared" si="123"/>
        <v>0</v>
      </c>
      <c r="AH262" s="158">
        <f t="shared" si="123"/>
        <v>0</v>
      </c>
      <c r="AI262" s="158">
        <f t="shared" si="123"/>
        <v>0</v>
      </c>
      <c r="AJ262" s="158">
        <f t="shared" si="123"/>
        <v>0</v>
      </c>
      <c r="AK262" s="158">
        <f t="shared" si="123"/>
        <v>0</v>
      </c>
      <c r="AL262" s="158">
        <f t="shared" ref="AL262:AP262" si="124">SUM(AL260:AL261)</f>
        <v>329240000</v>
      </c>
      <c r="AM262" s="158">
        <f t="shared" si="124"/>
        <v>0</v>
      </c>
      <c r="AN262" s="158">
        <f t="shared" si="124"/>
        <v>0</v>
      </c>
      <c r="AO262" s="158">
        <f t="shared" si="124"/>
        <v>0</v>
      </c>
      <c r="AP262" s="158">
        <f t="shared" si="124"/>
        <v>0</v>
      </c>
      <c r="AQ262" s="158">
        <f>SUM(AQ260:AQ261)</f>
        <v>329240000</v>
      </c>
    </row>
    <row r="263" spans="1:43" s="28" customFormat="1" ht="15" x14ac:dyDescent="0.25">
      <c r="A263" s="20"/>
      <c r="B263" s="29"/>
      <c r="C263" s="795"/>
      <c r="D263" s="177"/>
      <c r="E263" s="795"/>
      <c r="F263" s="795"/>
      <c r="G263" s="177"/>
      <c r="H263" s="795"/>
      <c r="I263" s="177"/>
      <c r="J263" s="264"/>
      <c r="K263" s="264"/>
      <c r="L263" s="264"/>
      <c r="M263" s="179"/>
      <c r="N263" s="177"/>
      <c r="O263" s="795"/>
      <c r="P263" s="180"/>
      <c r="Q263" s="180"/>
      <c r="R263" s="180"/>
      <c r="S263" s="180"/>
      <c r="T263" s="180"/>
      <c r="U263" s="180"/>
      <c r="V263" s="180"/>
      <c r="W263" s="180"/>
      <c r="X263" s="180"/>
      <c r="Y263" s="180"/>
      <c r="Z263" s="180"/>
      <c r="AA263" s="180"/>
      <c r="AB263" s="180"/>
      <c r="AC263" s="180"/>
      <c r="AD263" s="180"/>
      <c r="AE263" s="180"/>
      <c r="AF263" s="180"/>
      <c r="AG263" s="180"/>
      <c r="AH263" s="180"/>
      <c r="AI263" s="180"/>
      <c r="AJ263" s="180"/>
      <c r="AK263" s="180"/>
      <c r="AL263" s="291"/>
      <c r="AM263" s="292"/>
      <c r="AN263" s="180"/>
      <c r="AO263" s="180"/>
      <c r="AP263" s="180"/>
      <c r="AQ263" s="26"/>
    </row>
    <row r="264" spans="1:43" ht="15" x14ac:dyDescent="0.25">
      <c r="A264" s="20"/>
      <c r="B264" s="29"/>
      <c r="C264" s="773"/>
      <c r="D264" s="774"/>
      <c r="E264" s="775"/>
      <c r="F264" s="775"/>
      <c r="G264" s="258">
        <v>12</v>
      </c>
      <c r="H264" s="275" t="s">
        <v>334</v>
      </c>
      <c r="I264" s="189"/>
      <c r="J264" s="189"/>
      <c r="K264" s="189"/>
      <c r="L264" s="189"/>
      <c r="M264" s="659"/>
      <c r="N264" s="189"/>
      <c r="O264" s="189"/>
      <c r="P264" s="189"/>
      <c r="Q264" s="189"/>
      <c r="R264" s="348"/>
      <c r="S264" s="348"/>
      <c r="T264" s="348"/>
      <c r="U264" s="348"/>
      <c r="V264" s="348"/>
      <c r="W264" s="348"/>
      <c r="X264" s="348"/>
      <c r="Y264" s="348"/>
      <c r="Z264" s="348"/>
      <c r="AA264" s="348"/>
      <c r="AB264" s="348"/>
      <c r="AC264" s="348"/>
      <c r="AD264" s="348"/>
      <c r="AE264" s="348"/>
      <c r="AF264" s="348"/>
      <c r="AG264" s="348"/>
      <c r="AH264" s="348"/>
      <c r="AI264" s="348"/>
      <c r="AJ264" s="348"/>
      <c r="AK264" s="348"/>
      <c r="AL264" s="190"/>
      <c r="AM264" s="348"/>
      <c r="AN264" s="348"/>
      <c r="AO264" s="348"/>
      <c r="AP264" s="348"/>
      <c r="AQ264" s="521"/>
    </row>
    <row r="265" spans="1:43" ht="160.5" customHeight="1" x14ac:dyDescent="0.25">
      <c r="A265" s="20"/>
      <c r="B265" s="29"/>
      <c r="C265" s="773" t="s">
        <v>327</v>
      </c>
      <c r="D265" s="774" t="s">
        <v>940</v>
      </c>
      <c r="E265" s="775" t="s">
        <v>328</v>
      </c>
      <c r="F265" s="775" t="s">
        <v>329</v>
      </c>
      <c r="G265" s="760"/>
      <c r="H265" s="5">
        <v>52</v>
      </c>
      <c r="I265" s="153" t="s">
        <v>335</v>
      </c>
      <c r="J265" s="11">
        <v>0</v>
      </c>
      <c r="K265" s="11">
        <v>3</v>
      </c>
      <c r="L265" s="349" t="s">
        <v>293</v>
      </c>
      <c r="M265" s="37" t="s">
        <v>336</v>
      </c>
      <c r="N265" s="774" t="s">
        <v>337</v>
      </c>
      <c r="O265" s="775" t="s">
        <v>38</v>
      </c>
      <c r="P265" s="26">
        <v>0</v>
      </c>
      <c r="Q265" s="26">
        <v>0</v>
      </c>
      <c r="R265" s="26">
        <v>0</v>
      </c>
      <c r="S265" s="26">
        <v>0</v>
      </c>
      <c r="T265" s="26">
        <v>0</v>
      </c>
      <c r="U265" s="26">
        <v>0</v>
      </c>
      <c r="V265" s="26">
        <v>0</v>
      </c>
      <c r="W265" s="26"/>
      <c r="X265" s="26"/>
      <c r="Y265" s="26"/>
      <c r="Z265" s="26">
        <v>0</v>
      </c>
      <c r="AA265" s="26"/>
      <c r="AB265" s="26">
        <v>0</v>
      </c>
      <c r="AC265" s="26">
        <v>0</v>
      </c>
      <c r="AD265" s="254"/>
      <c r="AE265" s="254"/>
      <c r="AF265" s="254"/>
      <c r="AG265" s="254"/>
      <c r="AH265" s="254"/>
      <c r="AI265" s="254"/>
      <c r="AJ265" s="26">
        <v>0</v>
      </c>
      <c r="AK265" s="26">
        <v>0</v>
      </c>
      <c r="AL265" s="110">
        <f>90000000+155080000+51300000</f>
        <v>296380000</v>
      </c>
      <c r="AM265" s="14"/>
      <c r="AN265" s="26"/>
      <c r="AO265" s="27">
        <v>0</v>
      </c>
      <c r="AP265" s="27"/>
      <c r="AQ265" s="26">
        <f>P265+Q265+R265+S265+T265+U265+V265+W265+X265+Y265+Z265+AA265+AB265+AC265+AD265+AE265+AF265+AG265+AH265+AI265+AJ265+AK265+AL265+AM265+AN265+AP265+AO265</f>
        <v>296380000</v>
      </c>
    </row>
    <row r="266" spans="1:43" s="350" customFormat="1" ht="20.25" x14ac:dyDescent="0.25">
      <c r="A266" s="20"/>
      <c r="B266" s="29"/>
      <c r="C266" s="773"/>
      <c r="D266" s="774"/>
      <c r="E266" s="775"/>
      <c r="F266" s="775"/>
      <c r="G266" s="154"/>
      <c r="H266" s="155"/>
      <c r="I266" s="154"/>
      <c r="J266" s="253"/>
      <c r="K266" s="253"/>
      <c r="L266" s="253"/>
      <c r="M266" s="157"/>
      <c r="N266" s="154"/>
      <c r="O266" s="155"/>
      <c r="P266" s="158">
        <f>SUM(P265:P265)</f>
        <v>0</v>
      </c>
      <c r="Q266" s="158">
        <f t="shared" ref="Q266:AK266" si="125">SUM(Q265:Q265)</f>
        <v>0</v>
      </c>
      <c r="R266" s="158">
        <f t="shared" si="125"/>
        <v>0</v>
      </c>
      <c r="S266" s="158">
        <f t="shared" si="125"/>
        <v>0</v>
      </c>
      <c r="T266" s="158">
        <f t="shared" si="125"/>
        <v>0</v>
      </c>
      <c r="U266" s="158">
        <f t="shared" si="125"/>
        <v>0</v>
      </c>
      <c r="V266" s="158">
        <f t="shared" si="125"/>
        <v>0</v>
      </c>
      <c r="W266" s="158">
        <f t="shared" si="125"/>
        <v>0</v>
      </c>
      <c r="X266" s="158">
        <f t="shared" si="125"/>
        <v>0</v>
      </c>
      <c r="Y266" s="158">
        <f t="shared" si="125"/>
        <v>0</v>
      </c>
      <c r="Z266" s="158">
        <f t="shared" si="125"/>
        <v>0</v>
      </c>
      <c r="AA266" s="158">
        <f t="shared" si="125"/>
        <v>0</v>
      </c>
      <c r="AB266" s="158">
        <f t="shared" si="125"/>
        <v>0</v>
      </c>
      <c r="AC266" s="158">
        <f t="shared" si="125"/>
        <v>0</v>
      </c>
      <c r="AD266" s="158">
        <f t="shared" si="125"/>
        <v>0</v>
      </c>
      <c r="AE266" s="158">
        <f t="shared" si="125"/>
        <v>0</v>
      </c>
      <c r="AF266" s="158">
        <f t="shared" si="125"/>
        <v>0</v>
      </c>
      <c r="AG266" s="158">
        <f t="shared" si="125"/>
        <v>0</v>
      </c>
      <c r="AH266" s="158">
        <f t="shared" si="125"/>
        <v>0</v>
      </c>
      <c r="AI266" s="158">
        <f t="shared" si="125"/>
        <v>0</v>
      </c>
      <c r="AJ266" s="158">
        <f t="shared" si="125"/>
        <v>0</v>
      </c>
      <c r="AK266" s="158">
        <f t="shared" si="125"/>
        <v>0</v>
      </c>
      <c r="AL266" s="158">
        <f t="shared" ref="AL266:AP266" si="126">SUM(AL265:AL265)</f>
        <v>296380000</v>
      </c>
      <c r="AM266" s="158">
        <f t="shared" si="126"/>
        <v>0</v>
      </c>
      <c r="AN266" s="158">
        <f t="shared" si="126"/>
        <v>0</v>
      </c>
      <c r="AO266" s="158">
        <f t="shared" si="126"/>
        <v>0</v>
      </c>
      <c r="AP266" s="158">
        <f t="shared" si="126"/>
        <v>0</v>
      </c>
      <c r="AQ266" s="158">
        <f>SUM(AQ265:AQ265)</f>
        <v>296380000</v>
      </c>
    </row>
    <row r="267" spans="1:43" s="350" customFormat="1" ht="20.25" x14ac:dyDescent="0.25">
      <c r="A267" s="20"/>
      <c r="B267" s="29"/>
      <c r="C267" s="795"/>
      <c r="D267" s="177"/>
      <c r="E267" s="795"/>
      <c r="F267" s="795"/>
      <c r="G267" s="177"/>
      <c r="H267" s="795"/>
      <c r="I267" s="177"/>
      <c r="J267" s="264"/>
      <c r="K267" s="264"/>
      <c r="L267" s="264"/>
      <c r="M267" s="179"/>
      <c r="N267" s="177"/>
      <c r="O267" s="795"/>
      <c r="P267" s="180"/>
      <c r="Q267" s="180"/>
      <c r="R267" s="180"/>
      <c r="S267" s="180"/>
      <c r="T267" s="180"/>
      <c r="U267" s="180"/>
      <c r="V267" s="180"/>
      <c r="W267" s="180"/>
      <c r="X267" s="180"/>
      <c r="Y267" s="180"/>
      <c r="Z267" s="180"/>
      <c r="AA267" s="180"/>
      <c r="AB267" s="180"/>
      <c r="AC267" s="180"/>
      <c r="AD267" s="180"/>
      <c r="AE267" s="180"/>
      <c r="AF267" s="180"/>
      <c r="AG267" s="180"/>
      <c r="AH267" s="180"/>
      <c r="AI267" s="180"/>
      <c r="AJ267" s="180"/>
      <c r="AK267" s="180"/>
      <c r="AL267" s="182"/>
      <c r="AM267" s="183"/>
      <c r="AN267" s="180"/>
      <c r="AO267" s="180"/>
      <c r="AP267" s="180"/>
      <c r="AQ267" s="26"/>
    </row>
    <row r="268" spans="1:43" s="350" customFormat="1" ht="20.25" x14ac:dyDescent="0.25">
      <c r="A268" s="20"/>
      <c r="B268" s="29"/>
      <c r="C268" s="773"/>
      <c r="D268" s="774"/>
      <c r="E268" s="775"/>
      <c r="F268" s="775"/>
      <c r="G268" s="188">
        <v>13</v>
      </c>
      <c r="H268" s="668" t="s">
        <v>338</v>
      </c>
      <c r="I268" s="189"/>
      <c r="J268" s="189"/>
      <c r="K268" s="189"/>
      <c r="L268" s="189"/>
      <c r="M268" s="653"/>
      <c r="N268" s="189"/>
      <c r="O268" s="189"/>
      <c r="P268" s="189"/>
      <c r="Q268" s="189"/>
      <c r="R268" s="189"/>
      <c r="S268" s="189"/>
      <c r="T268" s="189"/>
      <c r="U268" s="189"/>
      <c r="V268" s="189"/>
      <c r="W268" s="189"/>
      <c r="X268" s="189"/>
      <c r="Y268" s="189"/>
      <c r="Z268" s="189"/>
      <c r="AA268" s="189"/>
      <c r="AB268" s="189"/>
      <c r="AC268" s="189"/>
      <c r="AD268" s="189"/>
      <c r="AE268" s="189"/>
      <c r="AF268" s="189"/>
      <c r="AG268" s="189"/>
      <c r="AH268" s="189"/>
      <c r="AI268" s="189"/>
      <c r="AJ268" s="189"/>
      <c r="AK268" s="189"/>
      <c r="AL268" s="190"/>
      <c r="AM268" s="245"/>
      <c r="AN268" s="189"/>
      <c r="AO268" s="189"/>
      <c r="AP268" s="189"/>
      <c r="AQ268" s="521"/>
    </row>
    <row r="269" spans="1:43" s="352" customFormat="1" ht="162.75" customHeight="1" x14ac:dyDescent="0.25">
      <c r="A269" s="20"/>
      <c r="B269" s="29"/>
      <c r="C269" s="773" t="s">
        <v>327</v>
      </c>
      <c r="D269" s="774" t="s">
        <v>940</v>
      </c>
      <c r="E269" s="775" t="s">
        <v>328</v>
      </c>
      <c r="F269" s="775" t="s">
        <v>329</v>
      </c>
      <c r="G269" s="23"/>
      <c r="H269" s="5">
        <v>53</v>
      </c>
      <c r="I269" s="153" t="s">
        <v>339</v>
      </c>
      <c r="J269" s="11">
        <v>0</v>
      </c>
      <c r="K269" s="11">
        <v>1</v>
      </c>
      <c r="L269" s="349" t="s">
        <v>293</v>
      </c>
      <c r="M269" s="37" t="s">
        <v>340</v>
      </c>
      <c r="N269" s="54" t="s">
        <v>341</v>
      </c>
      <c r="O269" s="775" t="s">
        <v>38</v>
      </c>
      <c r="P269" s="26">
        <v>0</v>
      </c>
      <c r="Q269" s="26">
        <v>0</v>
      </c>
      <c r="R269" s="26">
        <v>0</v>
      </c>
      <c r="S269" s="26">
        <v>0</v>
      </c>
      <c r="T269" s="26">
        <v>0</v>
      </c>
      <c r="U269" s="26">
        <v>0</v>
      </c>
      <c r="V269" s="26">
        <v>0</v>
      </c>
      <c r="W269" s="26"/>
      <c r="X269" s="26"/>
      <c r="Y269" s="26"/>
      <c r="Z269" s="26">
        <v>0</v>
      </c>
      <c r="AA269" s="26"/>
      <c r="AB269" s="26">
        <v>0</v>
      </c>
      <c r="AC269" s="26">
        <v>0</v>
      </c>
      <c r="AD269" s="254"/>
      <c r="AE269" s="254"/>
      <c r="AF269" s="254"/>
      <c r="AG269" s="254"/>
      <c r="AH269" s="254"/>
      <c r="AI269" s="254"/>
      <c r="AJ269" s="26">
        <v>0</v>
      </c>
      <c r="AK269" s="26">
        <v>0</v>
      </c>
      <c r="AL269" s="110">
        <f>100000000+60000000+180000000+50100000+60000000+11700000</f>
        <v>461800000</v>
      </c>
      <c r="AM269" s="38"/>
      <c r="AN269" s="14">
        <f>389502600+88606963+100000000</f>
        <v>578109563</v>
      </c>
      <c r="AO269" s="27">
        <v>0</v>
      </c>
      <c r="AP269" s="27"/>
      <c r="AQ269" s="26">
        <f>P269+Q269+R269+S269+T269+U269+V269+W269+X269+Y269+Z269+AA269+AB269+AC269+AD269+AE269+AF269+AG269+AH269+AI269+AJ269+AK269+AL269+AM269+AN269+AP269+AO269</f>
        <v>1039909563</v>
      </c>
    </row>
    <row r="270" spans="1:43" ht="15" x14ac:dyDescent="0.25">
      <c r="A270" s="20"/>
      <c r="B270" s="30"/>
      <c r="C270" s="773"/>
      <c r="D270" s="774"/>
      <c r="E270" s="775"/>
      <c r="F270" s="775"/>
      <c r="G270" s="154"/>
      <c r="H270" s="155"/>
      <c r="I270" s="154"/>
      <c r="J270" s="253"/>
      <c r="K270" s="253"/>
      <c r="L270" s="253"/>
      <c r="M270" s="157"/>
      <c r="N270" s="154"/>
      <c r="O270" s="155"/>
      <c r="P270" s="158">
        <f>SUM(P269:P269)</f>
        <v>0</v>
      </c>
      <c r="Q270" s="158">
        <f t="shared" ref="Q270:AK270" si="127">SUM(Q269:Q269)</f>
        <v>0</v>
      </c>
      <c r="R270" s="158">
        <f t="shared" si="127"/>
        <v>0</v>
      </c>
      <c r="S270" s="158">
        <f t="shared" si="127"/>
        <v>0</v>
      </c>
      <c r="T270" s="158">
        <f t="shared" si="127"/>
        <v>0</v>
      </c>
      <c r="U270" s="158">
        <f t="shared" si="127"/>
        <v>0</v>
      </c>
      <c r="V270" s="158">
        <f t="shared" si="127"/>
        <v>0</v>
      </c>
      <c r="W270" s="158">
        <f t="shared" si="127"/>
        <v>0</v>
      </c>
      <c r="X270" s="158">
        <f t="shared" si="127"/>
        <v>0</v>
      </c>
      <c r="Y270" s="158">
        <f t="shared" si="127"/>
        <v>0</v>
      </c>
      <c r="Z270" s="158">
        <f t="shared" si="127"/>
        <v>0</v>
      </c>
      <c r="AA270" s="158">
        <f t="shared" si="127"/>
        <v>0</v>
      </c>
      <c r="AB270" s="158">
        <f t="shared" si="127"/>
        <v>0</v>
      </c>
      <c r="AC270" s="158">
        <f t="shared" si="127"/>
        <v>0</v>
      </c>
      <c r="AD270" s="158">
        <f t="shared" si="127"/>
        <v>0</v>
      </c>
      <c r="AE270" s="158">
        <f t="shared" si="127"/>
        <v>0</v>
      </c>
      <c r="AF270" s="158">
        <f t="shared" si="127"/>
        <v>0</v>
      </c>
      <c r="AG270" s="158">
        <f t="shared" si="127"/>
        <v>0</v>
      </c>
      <c r="AH270" s="158">
        <f t="shared" si="127"/>
        <v>0</v>
      </c>
      <c r="AI270" s="158">
        <f t="shared" si="127"/>
        <v>0</v>
      </c>
      <c r="AJ270" s="158">
        <f t="shared" si="127"/>
        <v>0</v>
      </c>
      <c r="AK270" s="158">
        <f t="shared" si="127"/>
        <v>0</v>
      </c>
      <c r="AL270" s="158">
        <f t="shared" ref="AL270:AP270" si="128">SUM(AL269:AL269)</f>
        <v>461800000</v>
      </c>
      <c r="AM270" s="158">
        <f t="shared" si="128"/>
        <v>0</v>
      </c>
      <c r="AN270" s="158">
        <f t="shared" si="128"/>
        <v>578109563</v>
      </c>
      <c r="AO270" s="158">
        <f t="shared" si="128"/>
        <v>0</v>
      </c>
      <c r="AP270" s="158">
        <f t="shared" si="128"/>
        <v>0</v>
      </c>
      <c r="AQ270" s="158">
        <f>SUM(AQ269:AQ269)</f>
        <v>1039909563</v>
      </c>
    </row>
    <row r="271" spans="1:43" ht="15" x14ac:dyDescent="0.25">
      <c r="A271" s="152"/>
      <c r="B271" s="218"/>
      <c r="C271" s="162"/>
      <c r="D271" s="161"/>
      <c r="E271" s="162"/>
      <c r="F271" s="162"/>
      <c r="G271" s="161"/>
      <c r="H271" s="162"/>
      <c r="I271" s="161"/>
      <c r="J271" s="261"/>
      <c r="K271" s="261"/>
      <c r="L271" s="261"/>
      <c r="M271" s="164"/>
      <c r="N271" s="161"/>
      <c r="O271" s="162"/>
      <c r="P271" s="165">
        <f>P270+P266+P262</f>
        <v>0</v>
      </c>
      <c r="Q271" s="165">
        <f t="shared" ref="Q271:AK271" si="129">Q270+Q266+Q262</f>
        <v>0</v>
      </c>
      <c r="R271" s="165">
        <f t="shared" si="129"/>
        <v>0</v>
      </c>
      <c r="S271" s="165">
        <f t="shared" si="129"/>
        <v>0</v>
      </c>
      <c r="T271" s="165">
        <f t="shared" si="129"/>
        <v>0</v>
      </c>
      <c r="U271" s="165">
        <f t="shared" si="129"/>
        <v>0</v>
      </c>
      <c r="V271" s="165">
        <f t="shared" si="129"/>
        <v>0</v>
      </c>
      <c r="W271" s="165">
        <f t="shared" si="129"/>
        <v>0</v>
      </c>
      <c r="X271" s="165">
        <f t="shared" si="129"/>
        <v>0</v>
      </c>
      <c r="Y271" s="165">
        <f t="shared" si="129"/>
        <v>0</v>
      </c>
      <c r="Z271" s="165">
        <f t="shared" si="129"/>
        <v>0</v>
      </c>
      <c r="AA271" s="165">
        <f t="shared" si="129"/>
        <v>0</v>
      </c>
      <c r="AB271" s="165">
        <f t="shared" si="129"/>
        <v>0</v>
      </c>
      <c r="AC271" s="165">
        <f t="shared" si="129"/>
        <v>0</v>
      </c>
      <c r="AD271" s="165">
        <f t="shared" si="129"/>
        <v>0</v>
      </c>
      <c r="AE271" s="165">
        <f t="shared" si="129"/>
        <v>0</v>
      </c>
      <c r="AF271" s="165">
        <f t="shared" si="129"/>
        <v>0</v>
      </c>
      <c r="AG271" s="165">
        <f t="shared" si="129"/>
        <v>0</v>
      </c>
      <c r="AH271" s="165">
        <f t="shared" si="129"/>
        <v>0</v>
      </c>
      <c r="AI271" s="165">
        <f t="shared" si="129"/>
        <v>0</v>
      </c>
      <c r="AJ271" s="165">
        <f t="shared" si="129"/>
        <v>0</v>
      </c>
      <c r="AK271" s="165">
        <f t="shared" si="129"/>
        <v>0</v>
      </c>
      <c r="AL271" s="165">
        <f t="shared" ref="AL271:AP271" si="130">AL270+AL266+AL262</f>
        <v>1087420000</v>
      </c>
      <c r="AM271" s="165">
        <f t="shared" si="130"/>
        <v>0</v>
      </c>
      <c r="AN271" s="165">
        <f t="shared" si="130"/>
        <v>578109563</v>
      </c>
      <c r="AO271" s="165">
        <f t="shared" si="130"/>
        <v>0</v>
      </c>
      <c r="AP271" s="165">
        <f t="shared" si="130"/>
        <v>0</v>
      </c>
      <c r="AQ271" s="165">
        <f>AQ270+AQ266+AQ262</f>
        <v>1665529563</v>
      </c>
    </row>
    <row r="272" spans="1:43" ht="15" x14ac:dyDescent="0.25">
      <c r="A272" s="166"/>
      <c r="B272" s="166"/>
      <c r="C272" s="167"/>
      <c r="D272" s="166"/>
      <c r="E272" s="167"/>
      <c r="F272" s="167"/>
      <c r="G272" s="166"/>
      <c r="H272" s="167"/>
      <c r="I272" s="166"/>
      <c r="J272" s="263"/>
      <c r="K272" s="263"/>
      <c r="L272" s="263"/>
      <c r="M272" s="169"/>
      <c r="N272" s="166"/>
      <c r="O272" s="167"/>
      <c r="P272" s="170">
        <f>P271+P256</f>
        <v>0</v>
      </c>
      <c r="Q272" s="170">
        <f t="shared" ref="Q272:AK272" si="131">Q271+Q256</f>
        <v>0</v>
      </c>
      <c r="R272" s="170">
        <f t="shared" si="131"/>
        <v>0</v>
      </c>
      <c r="S272" s="170">
        <f t="shared" si="131"/>
        <v>0</v>
      </c>
      <c r="T272" s="170">
        <f t="shared" si="131"/>
        <v>0</v>
      </c>
      <c r="U272" s="170">
        <f t="shared" si="131"/>
        <v>0</v>
      </c>
      <c r="V272" s="170">
        <f t="shared" si="131"/>
        <v>0</v>
      </c>
      <c r="W272" s="170">
        <f t="shared" si="131"/>
        <v>0</v>
      </c>
      <c r="X272" s="170">
        <f t="shared" si="131"/>
        <v>0</v>
      </c>
      <c r="Y272" s="170">
        <f t="shared" si="131"/>
        <v>0</v>
      </c>
      <c r="Z272" s="170">
        <f t="shared" si="131"/>
        <v>0</v>
      </c>
      <c r="AA272" s="170">
        <f t="shared" si="131"/>
        <v>0</v>
      </c>
      <c r="AB272" s="170">
        <f t="shared" si="131"/>
        <v>0</v>
      </c>
      <c r="AC272" s="170">
        <f t="shared" si="131"/>
        <v>0</v>
      </c>
      <c r="AD272" s="170">
        <f t="shared" si="131"/>
        <v>0</v>
      </c>
      <c r="AE272" s="170">
        <f t="shared" si="131"/>
        <v>0</v>
      </c>
      <c r="AF272" s="170">
        <f t="shared" si="131"/>
        <v>0</v>
      </c>
      <c r="AG272" s="170">
        <f t="shared" si="131"/>
        <v>0</v>
      </c>
      <c r="AH272" s="170">
        <f t="shared" si="131"/>
        <v>0</v>
      </c>
      <c r="AI272" s="170">
        <f t="shared" si="131"/>
        <v>0</v>
      </c>
      <c r="AJ272" s="170">
        <f t="shared" si="131"/>
        <v>0</v>
      </c>
      <c r="AK272" s="170">
        <f t="shared" si="131"/>
        <v>0</v>
      </c>
      <c r="AL272" s="170">
        <f t="shared" ref="AL272:AP272" si="132">AL271+AL256</f>
        <v>2292000000</v>
      </c>
      <c r="AM272" s="170">
        <f t="shared" si="132"/>
        <v>0</v>
      </c>
      <c r="AN272" s="170">
        <f t="shared" si="132"/>
        <v>578109563</v>
      </c>
      <c r="AO272" s="170">
        <f t="shared" si="132"/>
        <v>0</v>
      </c>
      <c r="AP272" s="170">
        <f t="shared" si="132"/>
        <v>0</v>
      </c>
      <c r="AQ272" s="170">
        <f>AQ271+AQ256</f>
        <v>2870109563</v>
      </c>
    </row>
    <row r="273" spans="1:43" ht="15" x14ac:dyDescent="0.25">
      <c r="A273" s="171"/>
      <c r="B273" s="171"/>
      <c r="C273" s="172"/>
      <c r="D273" s="171"/>
      <c r="E273" s="172"/>
      <c r="F273" s="172"/>
      <c r="G273" s="171"/>
      <c r="H273" s="172"/>
      <c r="I273" s="171"/>
      <c r="J273" s="274"/>
      <c r="K273" s="274"/>
      <c r="L273" s="274"/>
      <c r="M273" s="174"/>
      <c r="N273" s="171"/>
      <c r="O273" s="172"/>
      <c r="P273" s="175">
        <f>P272</f>
        <v>0</v>
      </c>
      <c r="Q273" s="175">
        <f t="shared" ref="Q273:AK273" si="133">Q272</f>
        <v>0</v>
      </c>
      <c r="R273" s="175">
        <f t="shared" si="133"/>
        <v>0</v>
      </c>
      <c r="S273" s="175">
        <f t="shared" si="133"/>
        <v>0</v>
      </c>
      <c r="T273" s="175">
        <f t="shared" si="133"/>
        <v>0</v>
      </c>
      <c r="U273" s="175">
        <f t="shared" si="133"/>
        <v>0</v>
      </c>
      <c r="V273" s="175">
        <f t="shared" si="133"/>
        <v>0</v>
      </c>
      <c r="W273" s="175">
        <f t="shared" si="133"/>
        <v>0</v>
      </c>
      <c r="X273" s="175">
        <f t="shared" si="133"/>
        <v>0</v>
      </c>
      <c r="Y273" s="175">
        <f t="shared" si="133"/>
        <v>0</v>
      </c>
      <c r="Z273" s="175">
        <f t="shared" si="133"/>
        <v>0</v>
      </c>
      <c r="AA273" s="175">
        <f t="shared" si="133"/>
        <v>0</v>
      </c>
      <c r="AB273" s="175">
        <f t="shared" si="133"/>
        <v>0</v>
      </c>
      <c r="AC273" s="175">
        <f t="shared" si="133"/>
        <v>0</v>
      </c>
      <c r="AD273" s="175">
        <f t="shared" si="133"/>
        <v>0</v>
      </c>
      <c r="AE273" s="175">
        <f t="shared" si="133"/>
        <v>0</v>
      </c>
      <c r="AF273" s="175">
        <f t="shared" si="133"/>
        <v>0</v>
      </c>
      <c r="AG273" s="175">
        <f t="shared" si="133"/>
        <v>0</v>
      </c>
      <c r="AH273" s="175">
        <f t="shared" si="133"/>
        <v>0</v>
      </c>
      <c r="AI273" s="175">
        <f t="shared" si="133"/>
        <v>0</v>
      </c>
      <c r="AJ273" s="175">
        <f t="shared" si="133"/>
        <v>0</v>
      </c>
      <c r="AK273" s="175">
        <f t="shared" si="133"/>
        <v>0</v>
      </c>
      <c r="AL273" s="175">
        <f t="shared" ref="AL273:AP273" si="134">AL272</f>
        <v>2292000000</v>
      </c>
      <c r="AM273" s="175">
        <f t="shared" si="134"/>
        <v>0</v>
      </c>
      <c r="AN273" s="175">
        <f t="shared" si="134"/>
        <v>578109563</v>
      </c>
      <c r="AO273" s="175">
        <f t="shared" si="134"/>
        <v>0</v>
      </c>
      <c r="AP273" s="175">
        <f t="shared" si="134"/>
        <v>0</v>
      </c>
      <c r="AQ273" s="711">
        <f>AQ272</f>
        <v>2870109563</v>
      </c>
    </row>
    <row r="274" spans="1:43" s="28" customFormat="1" ht="15" x14ac:dyDescent="0.25">
      <c r="A274" s="176"/>
      <c r="B274" s="177"/>
      <c r="C274" s="795"/>
      <c r="D274" s="177"/>
      <c r="E274" s="795"/>
      <c r="F274" s="795"/>
      <c r="G274" s="177"/>
      <c r="H274" s="795"/>
      <c r="I274" s="177"/>
      <c r="J274" s="264"/>
      <c r="K274" s="264"/>
      <c r="L274" s="264"/>
      <c r="M274" s="179"/>
      <c r="N274" s="177"/>
      <c r="O274" s="795"/>
      <c r="P274" s="180"/>
      <c r="Q274" s="180"/>
      <c r="R274" s="180"/>
      <c r="S274" s="180"/>
      <c r="T274" s="180"/>
      <c r="U274" s="180"/>
      <c r="V274" s="180"/>
      <c r="W274" s="180"/>
      <c r="X274" s="180"/>
      <c r="Y274" s="180"/>
      <c r="Z274" s="180"/>
      <c r="AA274" s="180"/>
      <c r="AB274" s="180"/>
      <c r="AC274" s="180"/>
      <c r="AD274" s="181"/>
      <c r="AE274" s="181"/>
      <c r="AF274" s="181"/>
      <c r="AG274" s="181"/>
      <c r="AH274" s="181"/>
      <c r="AI274" s="181"/>
      <c r="AJ274" s="180"/>
      <c r="AK274" s="180"/>
      <c r="AL274" s="182"/>
      <c r="AM274" s="183"/>
      <c r="AN274" s="183"/>
      <c r="AO274" s="183"/>
      <c r="AP274" s="183"/>
      <c r="AQ274" s="682"/>
    </row>
    <row r="275" spans="1:43" ht="20.25" x14ac:dyDescent="0.25">
      <c r="A275" s="134" t="s">
        <v>342</v>
      </c>
      <c r="B275" s="353"/>
      <c r="C275" s="354"/>
      <c r="D275" s="353"/>
      <c r="E275" s="353"/>
      <c r="F275" s="353"/>
      <c r="G275" s="353"/>
      <c r="H275" s="354"/>
      <c r="I275" s="353"/>
      <c r="J275" s="353"/>
      <c r="K275" s="353"/>
      <c r="L275" s="353"/>
      <c r="M275" s="662"/>
      <c r="N275" s="353"/>
      <c r="O275" s="354"/>
      <c r="P275" s="353"/>
      <c r="Q275" s="353"/>
      <c r="R275" s="353"/>
      <c r="S275" s="353"/>
      <c r="T275" s="353"/>
      <c r="U275" s="353"/>
      <c r="V275" s="353"/>
      <c r="W275" s="353"/>
      <c r="X275" s="353"/>
      <c r="Y275" s="353"/>
      <c r="Z275" s="353"/>
      <c r="AA275" s="353"/>
      <c r="AB275" s="353"/>
      <c r="AC275" s="353"/>
      <c r="AD275" s="353"/>
      <c r="AE275" s="353"/>
      <c r="AF275" s="353"/>
      <c r="AG275" s="353"/>
      <c r="AH275" s="353"/>
      <c r="AI275" s="353"/>
      <c r="AJ275" s="353"/>
      <c r="AK275" s="353"/>
      <c r="AL275" s="355"/>
      <c r="AM275" s="356"/>
      <c r="AN275" s="353"/>
      <c r="AO275" s="353"/>
      <c r="AP275" s="353"/>
      <c r="AQ275" s="683"/>
    </row>
    <row r="276" spans="1:43" ht="15" x14ac:dyDescent="0.25">
      <c r="A276" s="139">
        <v>1</v>
      </c>
      <c r="B276" s="140" t="s">
        <v>136</v>
      </c>
      <c r="C276" s="141"/>
      <c r="D276" s="140"/>
      <c r="E276" s="140"/>
      <c r="F276" s="140"/>
      <c r="G276" s="140"/>
      <c r="H276" s="141"/>
      <c r="I276" s="140"/>
      <c r="J276" s="140"/>
      <c r="K276" s="140"/>
      <c r="L276" s="140"/>
      <c r="M276" s="651"/>
      <c r="N276" s="140"/>
      <c r="O276" s="140"/>
      <c r="P276" s="140"/>
      <c r="Q276" s="140"/>
      <c r="R276" s="140"/>
      <c r="S276" s="140"/>
      <c r="T276" s="140"/>
      <c r="U276" s="140"/>
      <c r="V276" s="140"/>
      <c r="W276" s="140"/>
      <c r="X276" s="140"/>
      <c r="Y276" s="140"/>
      <c r="Z276" s="140"/>
      <c r="AA276" s="140"/>
      <c r="AB276" s="140"/>
      <c r="AC276" s="140"/>
      <c r="AD276" s="140"/>
      <c r="AE276" s="140"/>
      <c r="AF276" s="140"/>
      <c r="AG276" s="140"/>
      <c r="AH276" s="140"/>
      <c r="AI276" s="140"/>
      <c r="AJ276" s="140"/>
      <c r="AK276" s="140"/>
      <c r="AL276" s="142"/>
      <c r="AM276" s="140"/>
      <c r="AN276" s="140"/>
      <c r="AO276" s="140"/>
      <c r="AP276" s="140"/>
      <c r="AQ276" s="538"/>
    </row>
    <row r="277" spans="1:43" ht="15" x14ac:dyDescent="0.25">
      <c r="A277" s="185"/>
      <c r="B277" s="266">
        <v>1</v>
      </c>
      <c r="C277" s="147" t="s">
        <v>137</v>
      </c>
      <c r="D277" s="146"/>
      <c r="E277" s="146"/>
      <c r="F277" s="146"/>
      <c r="G277" s="146"/>
      <c r="H277" s="147"/>
      <c r="I277" s="146"/>
      <c r="J277" s="146"/>
      <c r="K277" s="146"/>
      <c r="L277" s="146"/>
      <c r="M277" s="652"/>
      <c r="N277" s="146"/>
      <c r="O277" s="146"/>
      <c r="P277" s="146"/>
      <c r="Q277" s="146"/>
      <c r="R277" s="146"/>
      <c r="S277" s="146"/>
      <c r="T277" s="146"/>
      <c r="U277" s="146"/>
      <c r="V277" s="146"/>
      <c r="W277" s="146"/>
      <c r="X277" s="146"/>
      <c r="Y277" s="146"/>
      <c r="Z277" s="146"/>
      <c r="AA277" s="146"/>
      <c r="AB277" s="146"/>
      <c r="AC277" s="146"/>
      <c r="AD277" s="146"/>
      <c r="AE277" s="146"/>
      <c r="AF277" s="146"/>
      <c r="AG277" s="146"/>
      <c r="AH277" s="146"/>
      <c r="AI277" s="146"/>
      <c r="AJ277" s="146"/>
      <c r="AK277" s="146"/>
      <c r="AL277" s="148"/>
      <c r="AM277" s="146"/>
      <c r="AN277" s="146"/>
      <c r="AO277" s="146"/>
      <c r="AP277" s="146"/>
      <c r="AQ277" s="524"/>
    </row>
    <row r="278" spans="1:43" ht="15" x14ac:dyDescent="0.25">
      <c r="A278" s="20"/>
      <c r="B278" s="185"/>
      <c r="C278" s="776"/>
      <c r="D278" s="223"/>
      <c r="E278" s="776"/>
      <c r="F278" s="772"/>
      <c r="G278" s="344">
        <v>1</v>
      </c>
      <c r="H278" s="768" t="s">
        <v>343</v>
      </c>
      <c r="I278" s="189"/>
      <c r="J278" s="189"/>
      <c r="K278" s="189"/>
      <c r="L278" s="189"/>
      <c r="M278" s="653"/>
      <c r="N278" s="189"/>
      <c r="O278" s="189"/>
      <c r="P278" s="189"/>
      <c r="Q278" s="189"/>
      <c r="R278" s="189"/>
      <c r="S278" s="189"/>
      <c r="T278" s="189"/>
      <c r="U278" s="189"/>
      <c r="V278" s="189"/>
      <c r="W278" s="189"/>
      <c r="X278" s="189"/>
      <c r="Y278" s="189"/>
      <c r="Z278" s="189"/>
      <c r="AA278" s="189"/>
      <c r="AB278" s="189"/>
      <c r="AC278" s="189"/>
      <c r="AD278" s="189"/>
      <c r="AE278" s="189"/>
      <c r="AF278" s="189"/>
      <c r="AG278" s="189"/>
      <c r="AH278" s="189"/>
      <c r="AI278" s="189"/>
      <c r="AJ278" s="189"/>
      <c r="AK278" s="189"/>
      <c r="AL278" s="713"/>
      <c r="AM278" s="189"/>
      <c r="AN278" s="189"/>
      <c r="AO278" s="189"/>
      <c r="AP278" s="189"/>
      <c r="AQ278" s="521"/>
    </row>
    <row r="279" spans="1:43" s="28" customFormat="1" ht="53.25" customHeight="1" x14ac:dyDescent="0.25">
      <c r="A279" s="20"/>
      <c r="B279" s="19"/>
      <c r="C279" s="761">
        <v>1</v>
      </c>
      <c r="D279" s="764" t="s">
        <v>344</v>
      </c>
      <c r="E279" s="357" t="s">
        <v>30</v>
      </c>
      <c r="F279" s="358">
        <v>15000</v>
      </c>
      <c r="G279" s="100"/>
      <c r="H279" s="775">
        <v>1</v>
      </c>
      <c r="I279" s="774" t="s">
        <v>345</v>
      </c>
      <c r="J279" s="11">
        <v>0</v>
      </c>
      <c r="K279" s="11">
        <v>1</v>
      </c>
      <c r="L279" s="975" t="s">
        <v>346</v>
      </c>
      <c r="M279" s="854" t="s">
        <v>347</v>
      </c>
      <c r="N279" s="849" t="s">
        <v>348</v>
      </c>
      <c r="O279" s="775" t="s">
        <v>38</v>
      </c>
      <c r="P279" s="26">
        <v>0</v>
      </c>
      <c r="Q279" s="26">
        <v>0</v>
      </c>
      <c r="R279" s="26">
        <v>0</v>
      </c>
      <c r="S279" s="26">
        <v>0</v>
      </c>
      <c r="T279" s="26">
        <v>0</v>
      </c>
      <c r="U279" s="26">
        <v>0</v>
      </c>
      <c r="V279" s="26">
        <v>0</v>
      </c>
      <c r="W279" s="26"/>
      <c r="X279" s="26"/>
      <c r="Y279" s="26"/>
      <c r="Z279" s="26">
        <v>0</v>
      </c>
      <c r="AA279" s="26"/>
      <c r="AB279" s="26">
        <v>0</v>
      </c>
      <c r="AC279" s="26">
        <v>0</v>
      </c>
      <c r="AD279" s="26"/>
      <c r="AE279" s="26"/>
      <c r="AF279" s="26"/>
      <c r="AG279" s="26"/>
      <c r="AH279" s="26"/>
      <c r="AI279" s="26"/>
      <c r="AJ279" s="26">
        <v>0</v>
      </c>
      <c r="AK279" s="26">
        <v>0</v>
      </c>
      <c r="AL279" s="714">
        <v>32500000</v>
      </c>
      <c r="AM279" s="359"/>
      <c r="AN279" s="26">
        <v>0</v>
      </c>
      <c r="AO279" s="27">
        <v>0</v>
      </c>
      <c r="AP279" s="27"/>
      <c r="AQ279" s="26">
        <f t="shared" ref="AQ279:AQ284" si="135">P279+Q279+R279+S279+T279+U279+V279+W279+X279+Y279+Z279+AA279+AB279+AC279+AD279+AE279+AF279+AG279+AH279+AI279+AJ279+AK279+AL279+AM279+AN279+AP279+AO279</f>
        <v>32500000</v>
      </c>
    </row>
    <row r="280" spans="1:43" s="28" customFormat="1" ht="55.5" customHeight="1" x14ac:dyDescent="0.25">
      <c r="A280" s="20"/>
      <c r="B280" s="19"/>
      <c r="C280" s="761">
        <v>2</v>
      </c>
      <c r="D280" s="764" t="s">
        <v>349</v>
      </c>
      <c r="E280" s="761" t="s">
        <v>350</v>
      </c>
      <c r="F280" s="761" t="s">
        <v>350</v>
      </c>
      <c r="G280" s="101"/>
      <c r="H280" s="775">
        <v>2</v>
      </c>
      <c r="I280" s="774" t="s">
        <v>351</v>
      </c>
      <c r="J280" s="11">
        <v>3</v>
      </c>
      <c r="K280" s="11">
        <v>4</v>
      </c>
      <c r="L280" s="976"/>
      <c r="M280" s="855"/>
      <c r="N280" s="857"/>
      <c r="O280" s="775" t="s">
        <v>38</v>
      </c>
      <c r="P280" s="26">
        <v>0</v>
      </c>
      <c r="Q280" s="26">
        <v>0</v>
      </c>
      <c r="R280" s="26">
        <v>0</v>
      </c>
      <c r="S280" s="26">
        <v>0</v>
      </c>
      <c r="T280" s="26">
        <v>0</v>
      </c>
      <c r="U280" s="26">
        <v>0</v>
      </c>
      <c r="V280" s="26">
        <v>0</v>
      </c>
      <c r="W280" s="26"/>
      <c r="X280" s="26"/>
      <c r="Y280" s="26"/>
      <c r="Z280" s="26">
        <v>0</v>
      </c>
      <c r="AA280" s="26"/>
      <c r="AB280" s="26">
        <v>0</v>
      </c>
      <c r="AC280" s="26">
        <v>0</v>
      </c>
      <c r="AD280" s="26"/>
      <c r="AE280" s="26"/>
      <c r="AF280" s="26"/>
      <c r="AG280" s="26"/>
      <c r="AH280" s="26"/>
      <c r="AI280" s="26"/>
      <c r="AJ280" s="26">
        <v>0</v>
      </c>
      <c r="AK280" s="26">
        <v>0</v>
      </c>
      <c r="AL280" s="714">
        <v>17500000</v>
      </c>
      <c r="AM280" s="359"/>
      <c r="AN280" s="26">
        <v>0</v>
      </c>
      <c r="AO280" s="27">
        <v>0</v>
      </c>
      <c r="AP280" s="27"/>
      <c r="AQ280" s="26">
        <f t="shared" si="135"/>
        <v>17500000</v>
      </c>
    </row>
    <row r="281" spans="1:43" s="28" customFormat="1" ht="57" x14ac:dyDescent="0.25">
      <c r="A281" s="20"/>
      <c r="B281" s="19"/>
      <c r="C281" s="761"/>
      <c r="D281" s="764"/>
      <c r="E281" s="761"/>
      <c r="F281" s="761"/>
      <c r="G281" s="101"/>
      <c r="H281" s="775">
        <v>3</v>
      </c>
      <c r="I281" s="774" t="s">
        <v>352</v>
      </c>
      <c r="J281" s="11">
        <v>1</v>
      </c>
      <c r="K281" s="11">
        <v>1</v>
      </c>
      <c r="L281" s="976"/>
      <c r="M281" s="855"/>
      <c r="N281" s="857"/>
      <c r="O281" s="775" t="s">
        <v>38</v>
      </c>
      <c r="P281" s="26">
        <v>0</v>
      </c>
      <c r="Q281" s="26">
        <v>0</v>
      </c>
      <c r="R281" s="26">
        <v>0</v>
      </c>
      <c r="S281" s="26">
        <v>0</v>
      </c>
      <c r="T281" s="26">
        <v>0</v>
      </c>
      <c r="U281" s="26">
        <v>0</v>
      </c>
      <c r="V281" s="26">
        <v>0</v>
      </c>
      <c r="W281" s="26"/>
      <c r="X281" s="26"/>
      <c r="Y281" s="26"/>
      <c r="Z281" s="26">
        <v>0</v>
      </c>
      <c r="AA281" s="26"/>
      <c r="AB281" s="26">
        <v>0</v>
      </c>
      <c r="AC281" s="26">
        <v>0</v>
      </c>
      <c r="AD281" s="26"/>
      <c r="AE281" s="26"/>
      <c r="AF281" s="26"/>
      <c r="AG281" s="26"/>
      <c r="AH281" s="26"/>
      <c r="AI281" s="26"/>
      <c r="AJ281" s="26">
        <v>0</v>
      </c>
      <c r="AK281" s="26">
        <v>0</v>
      </c>
      <c r="AL281" s="714">
        <v>11000000</v>
      </c>
      <c r="AM281" s="359"/>
      <c r="AN281" s="26">
        <v>0</v>
      </c>
      <c r="AO281" s="27">
        <v>0</v>
      </c>
      <c r="AP281" s="27"/>
      <c r="AQ281" s="26">
        <f t="shared" si="135"/>
        <v>11000000</v>
      </c>
    </row>
    <row r="282" spans="1:43" s="28" customFormat="1" ht="57" x14ac:dyDescent="0.25">
      <c r="A282" s="20"/>
      <c r="B282" s="19"/>
      <c r="C282" s="761"/>
      <c r="D282" s="764"/>
      <c r="E282" s="761"/>
      <c r="F282" s="761"/>
      <c r="G282" s="101"/>
      <c r="H282" s="775">
        <v>4</v>
      </c>
      <c r="I282" s="774" t="s">
        <v>914</v>
      </c>
      <c r="J282" s="11">
        <v>0</v>
      </c>
      <c r="K282" s="11">
        <v>1</v>
      </c>
      <c r="L282" s="976"/>
      <c r="M282" s="855"/>
      <c r="N282" s="857"/>
      <c r="O282" s="775" t="s">
        <v>38</v>
      </c>
      <c r="P282" s="26"/>
      <c r="Q282" s="26"/>
      <c r="R282" s="26"/>
      <c r="S282" s="26"/>
      <c r="T282" s="26"/>
      <c r="U282" s="26"/>
      <c r="V282" s="26"/>
      <c r="W282" s="26"/>
      <c r="X282" s="26"/>
      <c r="Y282" s="26"/>
      <c r="Z282" s="26"/>
      <c r="AA282" s="26"/>
      <c r="AB282" s="26"/>
      <c r="AC282" s="26"/>
      <c r="AD282" s="26"/>
      <c r="AE282" s="26"/>
      <c r="AF282" s="26"/>
      <c r="AG282" s="26"/>
      <c r="AH282" s="26"/>
      <c r="AI282" s="26"/>
      <c r="AJ282" s="26"/>
      <c r="AK282" s="26"/>
      <c r="AL282" s="714">
        <v>20000000</v>
      </c>
      <c r="AM282" s="359"/>
      <c r="AN282" s="26"/>
      <c r="AO282" s="27"/>
      <c r="AP282" s="27"/>
      <c r="AQ282" s="26">
        <f t="shared" si="135"/>
        <v>20000000</v>
      </c>
    </row>
    <row r="283" spans="1:43" s="28" customFormat="1" ht="81" customHeight="1" x14ac:dyDescent="0.25">
      <c r="A283" s="20"/>
      <c r="B283" s="19"/>
      <c r="C283" s="761">
        <v>3</v>
      </c>
      <c r="D283" s="764" t="s">
        <v>353</v>
      </c>
      <c r="E283" s="761" t="s">
        <v>354</v>
      </c>
      <c r="F283" s="761" t="s">
        <v>141</v>
      </c>
      <c r="G283" s="101"/>
      <c r="H283" s="775">
        <v>5</v>
      </c>
      <c r="I283" s="774" t="s">
        <v>355</v>
      </c>
      <c r="J283" s="11">
        <v>3</v>
      </c>
      <c r="K283" s="11">
        <v>2</v>
      </c>
      <c r="L283" s="976"/>
      <c r="M283" s="855"/>
      <c r="N283" s="857"/>
      <c r="O283" s="775" t="s">
        <v>34</v>
      </c>
      <c r="P283" s="26">
        <v>0</v>
      </c>
      <c r="Q283" s="26">
        <v>0</v>
      </c>
      <c r="R283" s="26">
        <v>0</v>
      </c>
      <c r="S283" s="26">
        <v>0</v>
      </c>
      <c r="T283" s="26">
        <v>0</v>
      </c>
      <c r="U283" s="26">
        <v>0</v>
      </c>
      <c r="V283" s="26">
        <v>0</v>
      </c>
      <c r="W283" s="26"/>
      <c r="X283" s="26"/>
      <c r="Y283" s="26"/>
      <c r="Z283" s="26">
        <v>0</v>
      </c>
      <c r="AA283" s="26"/>
      <c r="AB283" s="26">
        <v>0</v>
      </c>
      <c r="AC283" s="26">
        <v>0</v>
      </c>
      <c r="AD283" s="26"/>
      <c r="AE283" s="26"/>
      <c r="AF283" s="26"/>
      <c r="AG283" s="26"/>
      <c r="AH283" s="26"/>
      <c r="AI283" s="26"/>
      <c r="AJ283" s="26">
        <v>0</v>
      </c>
      <c r="AK283" s="26">
        <v>0</v>
      </c>
      <c r="AL283" s="714">
        <f>7500000+10500000+50000000</f>
        <v>68000000</v>
      </c>
      <c r="AM283" s="359"/>
      <c r="AN283" s="26">
        <v>0</v>
      </c>
      <c r="AO283" s="27">
        <v>0</v>
      </c>
      <c r="AP283" s="27"/>
      <c r="AQ283" s="26">
        <f t="shared" si="135"/>
        <v>68000000</v>
      </c>
    </row>
    <row r="284" spans="1:43" s="351" customFormat="1" ht="71.25" customHeight="1" x14ac:dyDescent="0.25">
      <c r="A284" s="20"/>
      <c r="B284" s="19"/>
      <c r="C284" s="762"/>
      <c r="D284" s="30"/>
      <c r="E284" s="762"/>
      <c r="F284" s="762"/>
      <c r="G284" s="103"/>
      <c r="H284" s="775">
        <v>6</v>
      </c>
      <c r="I284" s="774" t="s">
        <v>356</v>
      </c>
      <c r="J284" s="11">
        <v>3</v>
      </c>
      <c r="K284" s="11">
        <v>12</v>
      </c>
      <c r="L284" s="977"/>
      <c r="M284" s="856"/>
      <c r="N284" s="850"/>
      <c r="O284" s="775" t="s">
        <v>38</v>
      </c>
      <c r="P284" s="26">
        <v>0</v>
      </c>
      <c r="Q284" s="26">
        <v>0</v>
      </c>
      <c r="R284" s="26">
        <v>0</v>
      </c>
      <c r="S284" s="26">
        <v>0</v>
      </c>
      <c r="T284" s="26">
        <v>0</v>
      </c>
      <c r="U284" s="26">
        <v>0</v>
      </c>
      <c r="V284" s="26">
        <v>0</v>
      </c>
      <c r="W284" s="26"/>
      <c r="X284" s="26"/>
      <c r="Y284" s="26"/>
      <c r="Z284" s="26">
        <v>0</v>
      </c>
      <c r="AA284" s="26"/>
      <c r="AB284" s="26">
        <v>0</v>
      </c>
      <c r="AC284" s="26">
        <v>0</v>
      </c>
      <c r="AD284" s="26"/>
      <c r="AE284" s="26"/>
      <c r="AF284" s="26"/>
      <c r="AG284" s="26"/>
      <c r="AH284" s="26"/>
      <c r="AI284" s="26"/>
      <c r="AJ284" s="26">
        <v>0</v>
      </c>
      <c r="AK284" s="26">
        <v>0</v>
      </c>
      <c r="AL284" s="127">
        <f>11250000-250000</f>
        <v>11000000</v>
      </c>
      <c r="AM284" s="360"/>
      <c r="AN284" s="26">
        <v>0</v>
      </c>
      <c r="AO284" s="27">
        <v>0</v>
      </c>
      <c r="AP284" s="27"/>
      <c r="AQ284" s="26">
        <f t="shared" si="135"/>
        <v>11000000</v>
      </c>
    </row>
    <row r="285" spans="1:43" ht="15" x14ac:dyDescent="0.25">
      <c r="A285" s="20"/>
      <c r="B285" s="20"/>
      <c r="C285" s="773"/>
      <c r="D285" s="774"/>
      <c r="E285" s="775"/>
      <c r="F285" s="775"/>
      <c r="G285" s="154"/>
      <c r="H285" s="155"/>
      <c r="I285" s="154"/>
      <c r="J285" s="253"/>
      <c r="K285" s="253"/>
      <c r="L285" s="253"/>
      <c r="M285" s="157"/>
      <c r="N285" s="154"/>
      <c r="O285" s="155"/>
      <c r="P285" s="158">
        <f>SUM(P279:P284)</f>
        <v>0</v>
      </c>
      <c r="Q285" s="158">
        <f t="shared" ref="Q285:AK285" si="136">SUM(Q279:Q284)</f>
        <v>0</v>
      </c>
      <c r="R285" s="158">
        <f t="shared" si="136"/>
        <v>0</v>
      </c>
      <c r="S285" s="158">
        <f t="shared" si="136"/>
        <v>0</v>
      </c>
      <c r="T285" s="158">
        <f t="shared" si="136"/>
        <v>0</v>
      </c>
      <c r="U285" s="158">
        <f t="shared" si="136"/>
        <v>0</v>
      </c>
      <c r="V285" s="158">
        <f t="shared" si="136"/>
        <v>0</v>
      </c>
      <c r="W285" s="158">
        <f t="shared" si="136"/>
        <v>0</v>
      </c>
      <c r="X285" s="158">
        <f t="shared" si="136"/>
        <v>0</v>
      </c>
      <c r="Y285" s="158">
        <f t="shared" si="136"/>
        <v>0</v>
      </c>
      <c r="Z285" s="158">
        <f t="shared" si="136"/>
        <v>0</v>
      </c>
      <c r="AA285" s="158">
        <f t="shared" si="136"/>
        <v>0</v>
      </c>
      <c r="AB285" s="158">
        <f t="shared" si="136"/>
        <v>0</v>
      </c>
      <c r="AC285" s="158">
        <f t="shared" si="136"/>
        <v>0</v>
      </c>
      <c r="AD285" s="158">
        <f t="shared" si="136"/>
        <v>0</v>
      </c>
      <c r="AE285" s="158">
        <f t="shared" si="136"/>
        <v>0</v>
      </c>
      <c r="AF285" s="158">
        <f t="shared" si="136"/>
        <v>0</v>
      </c>
      <c r="AG285" s="158">
        <f t="shared" si="136"/>
        <v>0</v>
      </c>
      <c r="AH285" s="158">
        <f t="shared" si="136"/>
        <v>0</v>
      </c>
      <c r="AI285" s="158">
        <f t="shared" si="136"/>
        <v>0</v>
      </c>
      <c r="AJ285" s="158">
        <f t="shared" si="136"/>
        <v>0</v>
      </c>
      <c r="AK285" s="158">
        <f t="shared" si="136"/>
        <v>0</v>
      </c>
      <c r="AL285" s="715">
        <f t="shared" ref="AL285:AP285" si="137">SUM(AL279:AL284)</f>
        <v>160000000</v>
      </c>
      <c r="AM285" s="158">
        <f t="shared" si="137"/>
        <v>0</v>
      </c>
      <c r="AN285" s="158">
        <f t="shared" si="137"/>
        <v>0</v>
      </c>
      <c r="AO285" s="158">
        <f t="shared" si="137"/>
        <v>0</v>
      </c>
      <c r="AP285" s="158">
        <f t="shared" si="137"/>
        <v>0</v>
      </c>
      <c r="AQ285" s="158">
        <f>SUM(AQ279:AQ284)</f>
        <v>160000000</v>
      </c>
    </row>
    <row r="286" spans="1:43" s="28" customFormat="1" ht="15" x14ac:dyDescent="0.25">
      <c r="A286" s="20"/>
      <c r="B286" s="20"/>
      <c r="C286" s="795"/>
      <c r="D286" s="177"/>
      <c r="E286" s="795"/>
      <c r="F286" s="795"/>
      <c r="G286" s="177"/>
      <c r="H286" s="795"/>
      <c r="I286" s="177"/>
      <c r="J286" s="264"/>
      <c r="K286" s="264"/>
      <c r="L286" s="264"/>
      <c r="M286" s="179"/>
      <c r="N286" s="177"/>
      <c r="O286" s="795"/>
      <c r="P286" s="180"/>
      <c r="Q286" s="180"/>
      <c r="R286" s="180"/>
      <c r="S286" s="180"/>
      <c r="T286" s="180"/>
      <c r="U286" s="180"/>
      <c r="V286" s="180"/>
      <c r="W286" s="180"/>
      <c r="X286" s="180"/>
      <c r="Y286" s="180"/>
      <c r="Z286" s="180"/>
      <c r="AA286" s="180"/>
      <c r="AB286" s="180"/>
      <c r="AC286" s="180"/>
      <c r="AD286" s="181"/>
      <c r="AE286" s="181"/>
      <c r="AF286" s="181"/>
      <c r="AG286" s="181"/>
      <c r="AH286" s="181"/>
      <c r="AI286" s="181"/>
      <c r="AJ286" s="180"/>
      <c r="AK286" s="180"/>
      <c r="AL286" s="716"/>
      <c r="AM286" s="183"/>
      <c r="AN286" s="180"/>
      <c r="AO286" s="180"/>
      <c r="AP286" s="180"/>
      <c r="AQ286" s="26"/>
    </row>
    <row r="287" spans="1:43" ht="15" x14ac:dyDescent="0.25">
      <c r="A287" s="20"/>
      <c r="B287" s="20"/>
      <c r="C287" s="773"/>
      <c r="D287" s="774"/>
      <c r="E287" s="775"/>
      <c r="F287" s="775"/>
      <c r="G287" s="258">
        <v>2</v>
      </c>
      <c r="H287" s="669" t="s">
        <v>138</v>
      </c>
      <c r="I287" s="189"/>
      <c r="J287" s="189"/>
      <c r="K287" s="189"/>
      <c r="L287" s="189"/>
      <c r="M287" s="653"/>
      <c r="N287" s="189"/>
      <c r="O287" s="189"/>
      <c r="P287" s="189"/>
      <c r="Q287" s="189"/>
      <c r="R287" s="189"/>
      <c r="S287" s="189"/>
      <c r="T287" s="189"/>
      <c r="U287" s="189"/>
      <c r="V287" s="189"/>
      <c r="W287" s="189"/>
      <c r="X287" s="189"/>
      <c r="Y287" s="189"/>
      <c r="Z287" s="189"/>
      <c r="AA287" s="189"/>
      <c r="AB287" s="189"/>
      <c r="AC287" s="189"/>
      <c r="AD287" s="189"/>
      <c r="AE287" s="189"/>
      <c r="AF287" s="189"/>
      <c r="AG287" s="189"/>
      <c r="AH287" s="189"/>
      <c r="AI287" s="189"/>
      <c r="AJ287" s="189"/>
      <c r="AK287" s="189"/>
      <c r="AL287" s="713"/>
      <c r="AM287" s="189"/>
      <c r="AN287" s="189"/>
      <c r="AO287" s="189"/>
      <c r="AP287" s="189"/>
      <c r="AQ287" s="521"/>
    </row>
    <row r="288" spans="1:43" s="28" customFormat="1" ht="99.75" customHeight="1" x14ac:dyDescent="0.25">
      <c r="A288" s="20"/>
      <c r="B288" s="20"/>
      <c r="C288" s="773">
        <v>2</v>
      </c>
      <c r="D288" s="774" t="s">
        <v>349</v>
      </c>
      <c r="E288" s="775" t="s">
        <v>350</v>
      </c>
      <c r="F288" s="775" t="s">
        <v>350</v>
      </c>
      <c r="G288" s="23"/>
      <c r="H288" s="775">
        <v>8</v>
      </c>
      <c r="I288" s="774" t="s">
        <v>357</v>
      </c>
      <c r="J288" s="11">
        <v>1</v>
      </c>
      <c r="K288" s="11">
        <v>2</v>
      </c>
      <c r="L288" s="985" t="s">
        <v>358</v>
      </c>
      <c r="M288" s="854" t="s">
        <v>359</v>
      </c>
      <c r="N288" s="849" t="s">
        <v>360</v>
      </c>
      <c r="O288" s="775" t="s">
        <v>34</v>
      </c>
      <c r="P288" s="26">
        <v>0</v>
      </c>
      <c r="Q288" s="26">
        <v>0</v>
      </c>
      <c r="R288" s="26">
        <v>0</v>
      </c>
      <c r="S288" s="26">
        <v>0</v>
      </c>
      <c r="T288" s="26">
        <v>0</v>
      </c>
      <c r="U288" s="26">
        <v>0</v>
      </c>
      <c r="V288" s="26">
        <v>0</v>
      </c>
      <c r="W288" s="26"/>
      <c r="X288" s="26"/>
      <c r="Y288" s="26"/>
      <c r="Z288" s="26">
        <v>0</v>
      </c>
      <c r="AA288" s="26"/>
      <c r="AB288" s="26">
        <v>0</v>
      </c>
      <c r="AC288" s="26">
        <v>0</v>
      </c>
      <c r="AD288" s="26"/>
      <c r="AE288" s="26"/>
      <c r="AF288" s="26"/>
      <c r="AG288" s="26"/>
      <c r="AH288" s="26"/>
      <c r="AI288" s="26"/>
      <c r="AJ288" s="26">
        <v>0</v>
      </c>
      <c r="AK288" s="26">
        <v>0</v>
      </c>
      <c r="AL288" s="127">
        <f>46600000+20000000</f>
        <v>66600000</v>
      </c>
      <c r="AM288" s="38"/>
      <c r="AN288" s="26">
        <v>0</v>
      </c>
      <c r="AO288" s="27">
        <v>0</v>
      </c>
      <c r="AP288" s="27"/>
      <c r="AQ288" s="26">
        <f>P288+Q288+R288+S288+T288+U288+V288+W288+X288+Y288+Z288+AA288+AB288+AC288+AD288+AE288+AF288+AG288+AH288+AI288+AJ288+AK288+AL288+AM288+AN288+AP288+AO288</f>
        <v>66600000</v>
      </c>
    </row>
    <row r="289" spans="1:43" s="28" customFormat="1" ht="66" customHeight="1" x14ac:dyDescent="0.25">
      <c r="A289" s="20"/>
      <c r="B289" s="20"/>
      <c r="C289" s="773">
        <v>2</v>
      </c>
      <c r="D289" s="774" t="s">
        <v>349</v>
      </c>
      <c r="E289" s="775" t="s">
        <v>350</v>
      </c>
      <c r="F289" s="775" t="s">
        <v>350</v>
      </c>
      <c r="G289" s="30"/>
      <c r="H289" s="775">
        <v>7</v>
      </c>
      <c r="I289" s="774" t="s">
        <v>361</v>
      </c>
      <c r="J289" s="11">
        <v>0</v>
      </c>
      <c r="K289" s="11">
        <v>1</v>
      </c>
      <c r="L289" s="986"/>
      <c r="M289" s="856"/>
      <c r="N289" s="850"/>
      <c r="O289" s="775" t="s">
        <v>38</v>
      </c>
      <c r="P289" s="26">
        <v>0</v>
      </c>
      <c r="Q289" s="26">
        <v>0</v>
      </c>
      <c r="R289" s="26">
        <v>0</v>
      </c>
      <c r="S289" s="26">
        <v>0</v>
      </c>
      <c r="T289" s="26">
        <v>0</v>
      </c>
      <c r="U289" s="26">
        <v>0</v>
      </c>
      <c r="V289" s="26">
        <v>0</v>
      </c>
      <c r="W289" s="26"/>
      <c r="X289" s="26"/>
      <c r="Y289" s="26"/>
      <c r="Z289" s="26">
        <v>0</v>
      </c>
      <c r="AA289" s="26"/>
      <c r="AB289" s="26">
        <v>0</v>
      </c>
      <c r="AC289" s="26">
        <v>0</v>
      </c>
      <c r="AD289" s="26"/>
      <c r="AE289" s="26"/>
      <c r="AF289" s="26"/>
      <c r="AG289" s="26"/>
      <c r="AH289" s="26"/>
      <c r="AI289" s="26"/>
      <c r="AJ289" s="26">
        <v>0</v>
      </c>
      <c r="AK289" s="65">
        <v>0</v>
      </c>
      <c r="AL289" s="127">
        <f>12200000+30000000+50000000</f>
        <v>92200000</v>
      </c>
      <c r="AM289" s="38"/>
      <c r="AN289" s="26">
        <v>0</v>
      </c>
      <c r="AO289" s="27"/>
      <c r="AP289" s="27"/>
      <c r="AQ289" s="26">
        <f>P289+Q289+R289+S289+T289+U289+V289+W289+X289+Y289+Z289+AA289+AB289+AC289+AD289+AE289+AF289+AG289+AH289+AI289+AJ289+AK289+AL289+AM289+AN289+AP289+AO289</f>
        <v>92200000</v>
      </c>
    </row>
    <row r="290" spans="1:43" ht="15" x14ac:dyDescent="0.25">
      <c r="A290" s="20"/>
      <c r="B290" s="20"/>
      <c r="C290" s="773"/>
      <c r="D290" s="153"/>
      <c r="E290" s="335"/>
      <c r="F290" s="335"/>
      <c r="G290" s="154"/>
      <c r="H290" s="155"/>
      <c r="I290" s="154"/>
      <c r="J290" s="154"/>
      <c r="K290" s="154"/>
      <c r="L290" s="154"/>
      <c r="M290" s="157"/>
      <c r="N290" s="154"/>
      <c r="O290" s="155"/>
      <c r="P290" s="259">
        <f>SUM(P288:P289)</f>
        <v>0</v>
      </c>
      <c r="Q290" s="259">
        <f t="shared" ref="Q290:AK290" si="138">SUM(Q288:Q289)</f>
        <v>0</v>
      </c>
      <c r="R290" s="259">
        <f t="shared" si="138"/>
        <v>0</v>
      </c>
      <c r="S290" s="259">
        <f t="shared" si="138"/>
        <v>0</v>
      </c>
      <c r="T290" s="259">
        <f t="shared" si="138"/>
        <v>0</v>
      </c>
      <c r="U290" s="259">
        <f t="shared" si="138"/>
        <v>0</v>
      </c>
      <c r="V290" s="259">
        <f t="shared" si="138"/>
        <v>0</v>
      </c>
      <c r="W290" s="259">
        <f t="shared" si="138"/>
        <v>0</v>
      </c>
      <c r="X290" s="259">
        <f t="shared" si="138"/>
        <v>0</v>
      </c>
      <c r="Y290" s="259">
        <f t="shared" si="138"/>
        <v>0</v>
      </c>
      <c r="Z290" s="259">
        <f t="shared" si="138"/>
        <v>0</v>
      </c>
      <c r="AA290" s="259">
        <f t="shared" si="138"/>
        <v>0</v>
      </c>
      <c r="AB290" s="259">
        <f t="shared" si="138"/>
        <v>0</v>
      </c>
      <c r="AC290" s="259">
        <f t="shared" si="138"/>
        <v>0</v>
      </c>
      <c r="AD290" s="259">
        <f t="shared" si="138"/>
        <v>0</v>
      </c>
      <c r="AE290" s="259">
        <f t="shared" si="138"/>
        <v>0</v>
      </c>
      <c r="AF290" s="259">
        <f t="shared" si="138"/>
        <v>0</v>
      </c>
      <c r="AG290" s="259">
        <f t="shared" si="138"/>
        <v>0</v>
      </c>
      <c r="AH290" s="259">
        <f t="shared" si="138"/>
        <v>0</v>
      </c>
      <c r="AI290" s="259">
        <f t="shared" si="138"/>
        <v>0</v>
      </c>
      <c r="AJ290" s="259">
        <f t="shared" si="138"/>
        <v>0</v>
      </c>
      <c r="AK290" s="259">
        <f t="shared" si="138"/>
        <v>0</v>
      </c>
      <c r="AL290" s="717">
        <f t="shared" ref="AL290:AP290" si="139">SUM(AL288:AL289)</f>
        <v>158800000</v>
      </c>
      <c r="AM290" s="259">
        <f t="shared" si="139"/>
        <v>0</v>
      </c>
      <c r="AN290" s="259">
        <f t="shared" si="139"/>
        <v>0</v>
      </c>
      <c r="AO290" s="259">
        <f t="shared" si="139"/>
        <v>0</v>
      </c>
      <c r="AP290" s="259">
        <f t="shared" si="139"/>
        <v>0</v>
      </c>
      <c r="AQ290" s="259">
        <f>SUM(AQ288:AQ289)</f>
        <v>158800000</v>
      </c>
    </row>
    <row r="291" spans="1:43" s="28" customFormat="1" ht="15" x14ac:dyDescent="0.25">
      <c r="A291" s="20"/>
      <c r="B291" s="20"/>
      <c r="C291" s="795"/>
      <c r="D291" s="177"/>
      <c r="E291" s="319"/>
      <c r="F291" s="319"/>
      <c r="G291" s="177"/>
      <c r="H291" s="795"/>
      <c r="I291" s="177"/>
      <c r="J291" s="177"/>
      <c r="K291" s="177"/>
      <c r="L291" s="177"/>
      <c r="M291" s="179"/>
      <c r="N291" s="177"/>
      <c r="O291" s="795"/>
      <c r="P291" s="361"/>
      <c r="Q291" s="361"/>
      <c r="R291" s="361"/>
      <c r="S291" s="361"/>
      <c r="T291" s="361"/>
      <c r="U291" s="361"/>
      <c r="V291" s="361"/>
      <c r="W291" s="361"/>
      <c r="X291" s="361"/>
      <c r="Y291" s="361"/>
      <c r="Z291" s="361"/>
      <c r="AA291" s="361"/>
      <c r="AB291" s="361"/>
      <c r="AC291" s="361"/>
      <c r="AD291" s="362"/>
      <c r="AE291" s="362"/>
      <c r="AF291" s="362"/>
      <c r="AG291" s="362"/>
      <c r="AH291" s="362"/>
      <c r="AI291" s="362"/>
      <c r="AJ291" s="361"/>
      <c r="AK291" s="361"/>
      <c r="AL291" s="718"/>
      <c r="AM291" s="363"/>
      <c r="AN291" s="361"/>
      <c r="AO291" s="361"/>
      <c r="AP291" s="361"/>
      <c r="AQ291" s="684"/>
    </row>
    <row r="292" spans="1:43" ht="15" x14ac:dyDescent="0.25">
      <c r="A292" s="20"/>
      <c r="B292" s="20"/>
      <c r="C292" s="773"/>
      <c r="D292" s="153"/>
      <c r="E292" s="335"/>
      <c r="F292" s="335"/>
      <c r="G292" s="258">
        <v>3</v>
      </c>
      <c r="H292" s="669" t="s">
        <v>362</v>
      </c>
      <c r="I292" s="189"/>
      <c r="J292" s="189"/>
      <c r="K292" s="189"/>
      <c r="L292" s="189"/>
      <c r="M292" s="653"/>
      <c r="N292" s="189"/>
      <c r="O292" s="189"/>
      <c r="P292" s="189"/>
      <c r="Q292" s="189"/>
      <c r="R292" s="189"/>
      <c r="S292" s="189"/>
      <c r="T292" s="189"/>
      <c r="U292" s="189"/>
      <c r="V292" s="189"/>
      <c r="W292" s="189"/>
      <c r="X292" s="189"/>
      <c r="Y292" s="189"/>
      <c r="Z292" s="189"/>
      <c r="AA292" s="189"/>
      <c r="AB292" s="189"/>
      <c r="AC292" s="189"/>
      <c r="AD292" s="189"/>
      <c r="AE292" s="189"/>
      <c r="AF292" s="189"/>
      <c r="AG292" s="189"/>
      <c r="AH292" s="189"/>
      <c r="AI292" s="189"/>
      <c r="AJ292" s="189"/>
      <c r="AK292" s="189"/>
      <c r="AL292" s="713"/>
      <c r="AM292" s="189"/>
      <c r="AN292" s="189"/>
      <c r="AO292" s="189"/>
      <c r="AP292" s="189"/>
      <c r="AQ292" s="521"/>
    </row>
    <row r="293" spans="1:43" s="28" customFormat="1" ht="159" customHeight="1" x14ac:dyDescent="0.25">
      <c r="A293" s="20"/>
      <c r="B293" s="20"/>
      <c r="C293" s="773" t="s">
        <v>363</v>
      </c>
      <c r="D293" s="774" t="s">
        <v>364</v>
      </c>
      <c r="E293" s="775" t="s">
        <v>365</v>
      </c>
      <c r="F293" s="775" t="s">
        <v>366</v>
      </c>
      <c r="G293" s="23"/>
      <c r="H293" s="775">
        <v>14</v>
      </c>
      <c r="I293" s="774" t="s">
        <v>367</v>
      </c>
      <c r="J293" s="11">
        <v>2</v>
      </c>
      <c r="K293" s="11">
        <v>6</v>
      </c>
      <c r="L293" s="11" t="s">
        <v>346</v>
      </c>
      <c r="M293" s="37" t="s">
        <v>368</v>
      </c>
      <c r="N293" s="774" t="s">
        <v>369</v>
      </c>
      <c r="O293" s="775" t="s">
        <v>38</v>
      </c>
      <c r="P293" s="26">
        <v>0</v>
      </c>
      <c r="Q293" s="26">
        <v>0</v>
      </c>
      <c r="R293" s="26">
        <v>0</v>
      </c>
      <c r="S293" s="26">
        <v>0</v>
      </c>
      <c r="T293" s="26">
        <v>0</v>
      </c>
      <c r="U293" s="26">
        <v>0</v>
      </c>
      <c r="V293" s="26">
        <v>0</v>
      </c>
      <c r="W293" s="26"/>
      <c r="X293" s="26"/>
      <c r="Y293" s="26"/>
      <c r="Z293" s="26">
        <v>0</v>
      </c>
      <c r="AA293" s="26"/>
      <c r="AB293" s="26">
        <v>0</v>
      </c>
      <c r="AC293" s="26">
        <v>0</v>
      </c>
      <c r="AD293" s="26"/>
      <c r="AE293" s="26"/>
      <c r="AF293" s="26"/>
      <c r="AG293" s="26"/>
      <c r="AH293" s="26"/>
      <c r="AI293" s="26"/>
      <c r="AJ293" s="26">
        <v>0</v>
      </c>
      <c r="AK293" s="26">
        <v>0</v>
      </c>
      <c r="AL293" s="719">
        <v>691300058</v>
      </c>
      <c r="AM293" s="40"/>
      <c r="AN293" s="26">
        <v>0</v>
      </c>
      <c r="AO293" s="59">
        <v>0</v>
      </c>
      <c r="AP293" s="59"/>
      <c r="AQ293" s="26">
        <f t="shared" ref="AQ293:AQ298" si="140">P293+Q293+R293+S293+T293+U293+V293+W293+X293+Y293+Z293+AA293+AB293+AC293+AD293+AE293+AF293+AG293+AH293+AI293+AJ293+AK293+AL293+AM293+AN293+AP293+AO293</f>
        <v>691300058</v>
      </c>
    </row>
    <row r="294" spans="1:43" s="28" customFormat="1" ht="114" customHeight="1" x14ac:dyDescent="0.25">
      <c r="A294" s="20"/>
      <c r="B294" s="20"/>
      <c r="C294" s="773">
        <v>3</v>
      </c>
      <c r="D294" s="774" t="s">
        <v>353</v>
      </c>
      <c r="E294" s="775" t="s">
        <v>354</v>
      </c>
      <c r="F294" s="775" t="s">
        <v>141</v>
      </c>
      <c r="G294" s="29"/>
      <c r="H294" s="775">
        <v>15</v>
      </c>
      <c r="I294" s="23" t="s">
        <v>370</v>
      </c>
      <c r="J294" s="11">
        <v>0</v>
      </c>
      <c r="K294" s="11">
        <v>2</v>
      </c>
      <c r="L294" s="975" t="s">
        <v>346</v>
      </c>
      <c r="M294" s="855" t="s">
        <v>371</v>
      </c>
      <c r="N294" s="857" t="s">
        <v>372</v>
      </c>
      <c r="O294" s="775" t="s">
        <v>38</v>
      </c>
      <c r="P294" s="26"/>
      <c r="Q294" s="26"/>
      <c r="R294" s="26"/>
      <c r="S294" s="26"/>
      <c r="T294" s="26"/>
      <c r="U294" s="26"/>
      <c r="V294" s="26"/>
      <c r="W294" s="26"/>
      <c r="X294" s="26"/>
      <c r="Y294" s="26"/>
      <c r="Z294" s="26"/>
      <c r="AA294" s="26"/>
      <c r="AB294" s="26"/>
      <c r="AC294" s="26"/>
      <c r="AD294" s="26"/>
      <c r="AE294" s="26"/>
      <c r="AF294" s="26"/>
      <c r="AG294" s="26"/>
      <c r="AH294" s="26"/>
      <c r="AI294" s="26"/>
      <c r="AJ294" s="26"/>
      <c r="AK294" s="26"/>
      <c r="AL294" s="719">
        <f>169400000+148407115</f>
        <v>317807115</v>
      </c>
      <c r="AM294" s="40"/>
      <c r="AN294" s="26"/>
      <c r="AO294" s="27"/>
      <c r="AP294" s="27"/>
      <c r="AQ294" s="26">
        <f t="shared" si="140"/>
        <v>317807115</v>
      </c>
    </row>
    <row r="295" spans="1:43" s="28" customFormat="1" ht="83.25" customHeight="1" x14ac:dyDescent="0.25">
      <c r="A295" s="20"/>
      <c r="B295" s="20"/>
      <c r="C295" s="773"/>
      <c r="D295" s="774"/>
      <c r="E295" s="775"/>
      <c r="F295" s="775"/>
      <c r="G295" s="29"/>
      <c r="H295" s="775">
        <v>16</v>
      </c>
      <c r="I295" s="23" t="s">
        <v>373</v>
      </c>
      <c r="J295" s="11">
        <v>7</v>
      </c>
      <c r="K295" s="11">
        <v>3</v>
      </c>
      <c r="L295" s="976"/>
      <c r="M295" s="855"/>
      <c r="N295" s="857"/>
      <c r="O295" s="775" t="s">
        <v>34</v>
      </c>
      <c r="P295" s="26"/>
      <c r="Q295" s="26"/>
      <c r="R295" s="26"/>
      <c r="S295" s="26"/>
      <c r="T295" s="26"/>
      <c r="U295" s="26"/>
      <c r="V295" s="26"/>
      <c r="W295" s="26"/>
      <c r="X295" s="26"/>
      <c r="Y295" s="26"/>
      <c r="Z295" s="26"/>
      <c r="AA295" s="26"/>
      <c r="AB295" s="26"/>
      <c r="AC295" s="26"/>
      <c r="AD295" s="26"/>
      <c r="AE295" s="26"/>
      <c r="AF295" s="26"/>
      <c r="AG295" s="26"/>
      <c r="AH295" s="26"/>
      <c r="AI295" s="26"/>
      <c r="AJ295" s="26"/>
      <c r="AK295" s="26"/>
      <c r="AL295" s="719">
        <v>6000000</v>
      </c>
      <c r="AM295" s="40"/>
      <c r="AN295" s="26"/>
      <c r="AO295" s="27"/>
      <c r="AP295" s="27"/>
      <c r="AQ295" s="26">
        <f t="shared" si="140"/>
        <v>6000000</v>
      </c>
    </row>
    <row r="296" spans="1:43" s="28" customFormat="1" ht="57" customHeight="1" x14ac:dyDescent="0.25">
      <c r="A296" s="20"/>
      <c r="B296" s="20"/>
      <c r="C296" s="773"/>
      <c r="D296" s="774"/>
      <c r="E296" s="775"/>
      <c r="F296" s="775"/>
      <c r="G296" s="29"/>
      <c r="H296" s="775">
        <v>18</v>
      </c>
      <c r="I296" s="774" t="s">
        <v>374</v>
      </c>
      <c r="J296" s="11">
        <v>0</v>
      </c>
      <c r="K296" s="11">
        <v>7</v>
      </c>
      <c r="L296" s="976"/>
      <c r="M296" s="855"/>
      <c r="N296" s="857"/>
      <c r="O296" s="775" t="s">
        <v>34</v>
      </c>
      <c r="P296" s="26"/>
      <c r="Q296" s="26"/>
      <c r="R296" s="26"/>
      <c r="S296" s="26"/>
      <c r="T296" s="26"/>
      <c r="U296" s="26"/>
      <c r="V296" s="26"/>
      <c r="W296" s="26"/>
      <c r="X296" s="26"/>
      <c r="Y296" s="26"/>
      <c r="Z296" s="26"/>
      <c r="AA296" s="26"/>
      <c r="AB296" s="26"/>
      <c r="AC296" s="26"/>
      <c r="AD296" s="26"/>
      <c r="AE296" s="26"/>
      <c r="AF296" s="26"/>
      <c r="AG296" s="26"/>
      <c r="AH296" s="26"/>
      <c r="AI296" s="26"/>
      <c r="AJ296" s="26"/>
      <c r="AK296" s="26"/>
      <c r="AL296" s="720">
        <f>10000000-1400000+2337233</f>
        <v>10937233</v>
      </c>
      <c r="AM296" s="10"/>
      <c r="AN296" s="26"/>
      <c r="AO296" s="27"/>
      <c r="AP296" s="27"/>
      <c r="AQ296" s="26">
        <f t="shared" si="140"/>
        <v>10937233</v>
      </c>
    </row>
    <row r="297" spans="1:43" s="28" customFormat="1" ht="119.25" customHeight="1" x14ac:dyDescent="0.25">
      <c r="A297" s="20"/>
      <c r="B297" s="20"/>
      <c r="C297" s="773">
        <v>4</v>
      </c>
      <c r="D297" s="774" t="s">
        <v>375</v>
      </c>
      <c r="E297" s="775" t="s">
        <v>376</v>
      </c>
      <c r="F297" s="775" t="s">
        <v>377</v>
      </c>
      <c r="G297" s="29"/>
      <c r="H297" s="775">
        <v>19</v>
      </c>
      <c r="I297" s="774" t="s">
        <v>378</v>
      </c>
      <c r="J297" s="11">
        <v>20</v>
      </c>
      <c r="K297" s="775">
        <v>9</v>
      </c>
      <c r="L297" s="976"/>
      <c r="M297" s="855"/>
      <c r="N297" s="857"/>
      <c r="O297" s="775" t="s">
        <v>34</v>
      </c>
      <c r="P297" s="26">
        <v>0</v>
      </c>
      <c r="Q297" s="26">
        <v>0</v>
      </c>
      <c r="R297" s="26">
        <v>0</v>
      </c>
      <c r="S297" s="26">
        <v>0</v>
      </c>
      <c r="T297" s="26">
        <v>0</v>
      </c>
      <c r="U297" s="26">
        <v>0</v>
      </c>
      <c r="V297" s="26">
        <v>0</v>
      </c>
      <c r="W297" s="26"/>
      <c r="X297" s="26"/>
      <c r="Y297" s="26"/>
      <c r="Z297" s="26">
        <v>0</v>
      </c>
      <c r="AA297" s="26"/>
      <c r="AB297" s="26">
        <v>0</v>
      </c>
      <c r="AC297" s="26">
        <v>0</v>
      </c>
      <c r="AD297" s="26"/>
      <c r="AE297" s="26"/>
      <c r="AF297" s="26"/>
      <c r="AG297" s="26"/>
      <c r="AH297" s="26"/>
      <c r="AI297" s="26"/>
      <c r="AJ297" s="26">
        <v>0</v>
      </c>
      <c r="AK297" s="26">
        <v>0</v>
      </c>
      <c r="AL297" s="720">
        <v>7000000</v>
      </c>
      <c r="AM297" s="10"/>
      <c r="AN297" s="26">
        <v>0</v>
      </c>
      <c r="AO297" s="27">
        <v>0</v>
      </c>
      <c r="AP297" s="27"/>
      <c r="AQ297" s="26">
        <f t="shared" si="140"/>
        <v>7000000</v>
      </c>
    </row>
    <row r="298" spans="1:43" s="28" customFormat="1" ht="83.25" customHeight="1" x14ac:dyDescent="0.25">
      <c r="A298" s="20"/>
      <c r="B298" s="20"/>
      <c r="C298" s="773">
        <v>1</v>
      </c>
      <c r="D298" s="774" t="s">
        <v>344</v>
      </c>
      <c r="E298" s="75" t="s">
        <v>30</v>
      </c>
      <c r="F298" s="76">
        <v>15000</v>
      </c>
      <c r="G298" s="29"/>
      <c r="H298" s="775">
        <v>20</v>
      </c>
      <c r="I298" s="774" t="s">
        <v>379</v>
      </c>
      <c r="J298" s="11" t="s">
        <v>30</v>
      </c>
      <c r="K298" s="775">
        <v>70</v>
      </c>
      <c r="L298" s="977"/>
      <c r="M298" s="856"/>
      <c r="N298" s="850"/>
      <c r="O298" s="775" t="s">
        <v>34</v>
      </c>
      <c r="P298" s="26">
        <v>0</v>
      </c>
      <c r="Q298" s="26">
        <v>0</v>
      </c>
      <c r="R298" s="26">
        <v>0</v>
      </c>
      <c r="S298" s="26">
        <v>0</v>
      </c>
      <c r="T298" s="26">
        <v>0</v>
      </c>
      <c r="U298" s="26">
        <v>0</v>
      </c>
      <c r="V298" s="26">
        <v>0</v>
      </c>
      <c r="W298" s="26"/>
      <c r="X298" s="26"/>
      <c r="Y298" s="26"/>
      <c r="Z298" s="26">
        <v>0</v>
      </c>
      <c r="AA298" s="26"/>
      <c r="AB298" s="26">
        <v>0</v>
      </c>
      <c r="AC298" s="26">
        <v>0</v>
      </c>
      <c r="AD298" s="26"/>
      <c r="AE298" s="26"/>
      <c r="AF298" s="26"/>
      <c r="AG298" s="26"/>
      <c r="AH298" s="26"/>
      <c r="AI298" s="26"/>
      <c r="AJ298" s="26">
        <v>0</v>
      </c>
      <c r="AK298" s="26">
        <v>0</v>
      </c>
      <c r="AL298" s="720">
        <v>7000000</v>
      </c>
      <c r="AM298" s="10"/>
      <c r="AN298" s="26">
        <v>0</v>
      </c>
      <c r="AO298" s="27">
        <v>0</v>
      </c>
      <c r="AP298" s="27"/>
      <c r="AQ298" s="26">
        <f t="shared" si="140"/>
        <v>7000000</v>
      </c>
    </row>
    <row r="299" spans="1:43" ht="20.25" customHeight="1" x14ac:dyDescent="0.25">
      <c r="A299" s="20"/>
      <c r="B299" s="152"/>
      <c r="C299" s="773"/>
      <c r="D299" s="774"/>
      <c r="E299" s="775"/>
      <c r="F299" s="775"/>
      <c r="G299" s="154"/>
      <c r="H299" s="155"/>
      <c r="I299" s="154"/>
      <c r="J299" s="154"/>
      <c r="K299" s="154"/>
      <c r="L299" s="154"/>
      <c r="M299" s="157"/>
      <c r="N299" s="364"/>
      <c r="O299" s="155"/>
      <c r="P299" s="259">
        <f>SUM(P293:P298)</f>
        <v>0</v>
      </c>
      <c r="Q299" s="259">
        <f t="shared" ref="Q299:AK299" si="141">SUM(Q293:Q298)</f>
        <v>0</v>
      </c>
      <c r="R299" s="259">
        <f t="shared" si="141"/>
        <v>0</v>
      </c>
      <c r="S299" s="259">
        <f t="shared" si="141"/>
        <v>0</v>
      </c>
      <c r="T299" s="259">
        <f t="shared" si="141"/>
        <v>0</v>
      </c>
      <c r="U299" s="259">
        <f t="shared" si="141"/>
        <v>0</v>
      </c>
      <c r="V299" s="259">
        <f t="shared" si="141"/>
        <v>0</v>
      </c>
      <c r="W299" s="259">
        <f t="shared" si="141"/>
        <v>0</v>
      </c>
      <c r="X299" s="259">
        <f t="shared" si="141"/>
        <v>0</v>
      </c>
      <c r="Y299" s="259">
        <f t="shared" si="141"/>
        <v>0</v>
      </c>
      <c r="Z299" s="259">
        <f t="shared" si="141"/>
        <v>0</v>
      </c>
      <c r="AA299" s="259">
        <f t="shared" si="141"/>
        <v>0</v>
      </c>
      <c r="AB299" s="259">
        <f t="shared" si="141"/>
        <v>0</v>
      </c>
      <c r="AC299" s="259">
        <f t="shared" si="141"/>
        <v>0</v>
      </c>
      <c r="AD299" s="259">
        <f t="shared" si="141"/>
        <v>0</v>
      </c>
      <c r="AE299" s="259">
        <f t="shared" si="141"/>
        <v>0</v>
      </c>
      <c r="AF299" s="259">
        <f t="shared" si="141"/>
        <v>0</v>
      </c>
      <c r="AG299" s="259">
        <f t="shared" si="141"/>
        <v>0</v>
      </c>
      <c r="AH299" s="259">
        <f t="shared" si="141"/>
        <v>0</v>
      </c>
      <c r="AI299" s="259">
        <f t="shared" si="141"/>
        <v>0</v>
      </c>
      <c r="AJ299" s="259">
        <f t="shared" si="141"/>
        <v>0</v>
      </c>
      <c r="AK299" s="259">
        <f t="shared" si="141"/>
        <v>0</v>
      </c>
      <c r="AL299" s="717">
        <f t="shared" ref="AL299:AP299" si="142">SUM(AL293:AL298)</f>
        <v>1040044406</v>
      </c>
      <c r="AM299" s="259">
        <f t="shared" si="142"/>
        <v>0</v>
      </c>
      <c r="AN299" s="259">
        <f t="shared" si="142"/>
        <v>0</v>
      </c>
      <c r="AO299" s="259">
        <f t="shared" si="142"/>
        <v>0</v>
      </c>
      <c r="AP299" s="259">
        <f t="shared" si="142"/>
        <v>0</v>
      </c>
      <c r="AQ299" s="259">
        <f>SUM(AQ293:AQ298)</f>
        <v>1040044406</v>
      </c>
    </row>
    <row r="300" spans="1:43" ht="24" customHeight="1" x14ac:dyDescent="0.25">
      <c r="A300" s="152"/>
      <c r="B300" s="161"/>
      <c r="C300" s="220"/>
      <c r="D300" s="161"/>
      <c r="E300" s="162"/>
      <c r="F300" s="162"/>
      <c r="G300" s="161"/>
      <c r="H300" s="162"/>
      <c r="I300" s="161"/>
      <c r="J300" s="161"/>
      <c r="K300" s="161"/>
      <c r="L300" s="161"/>
      <c r="M300" s="164"/>
      <c r="N300" s="161"/>
      <c r="O300" s="162"/>
      <c r="P300" s="365">
        <f>P299+P290+P285</f>
        <v>0</v>
      </c>
      <c r="Q300" s="365">
        <f t="shared" ref="Q300:AK300" si="143">Q299+Q290+Q285</f>
        <v>0</v>
      </c>
      <c r="R300" s="365">
        <f t="shared" si="143"/>
        <v>0</v>
      </c>
      <c r="S300" s="365">
        <f t="shared" si="143"/>
        <v>0</v>
      </c>
      <c r="T300" s="365">
        <f t="shared" si="143"/>
        <v>0</v>
      </c>
      <c r="U300" s="365">
        <f t="shared" si="143"/>
        <v>0</v>
      </c>
      <c r="V300" s="365">
        <f t="shared" si="143"/>
        <v>0</v>
      </c>
      <c r="W300" s="365">
        <f t="shared" si="143"/>
        <v>0</v>
      </c>
      <c r="X300" s="365">
        <f t="shared" si="143"/>
        <v>0</v>
      </c>
      <c r="Y300" s="365">
        <f t="shared" si="143"/>
        <v>0</v>
      </c>
      <c r="Z300" s="365">
        <f t="shared" si="143"/>
        <v>0</v>
      </c>
      <c r="AA300" s="365">
        <f t="shared" si="143"/>
        <v>0</v>
      </c>
      <c r="AB300" s="365">
        <f t="shared" si="143"/>
        <v>0</v>
      </c>
      <c r="AC300" s="365">
        <f t="shared" si="143"/>
        <v>0</v>
      </c>
      <c r="AD300" s="365">
        <f t="shared" si="143"/>
        <v>0</v>
      </c>
      <c r="AE300" s="365">
        <f t="shared" si="143"/>
        <v>0</v>
      </c>
      <c r="AF300" s="365">
        <f t="shared" si="143"/>
        <v>0</v>
      </c>
      <c r="AG300" s="365">
        <f t="shared" si="143"/>
        <v>0</v>
      </c>
      <c r="AH300" s="365">
        <f t="shared" si="143"/>
        <v>0</v>
      </c>
      <c r="AI300" s="365">
        <f t="shared" si="143"/>
        <v>0</v>
      </c>
      <c r="AJ300" s="365">
        <f t="shared" si="143"/>
        <v>0</v>
      </c>
      <c r="AK300" s="365">
        <f t="shared" si="143"/>
        <v>0</v>
      </c>
      <c r="AL300" s="721">
        <f t="shared" ref="AL300:AP300" si="144">AL299+AL290+AL285</f>
        <v>1358844406</v>
      </c>
      <c r="AM300" s="365">
        <f t="shared" si="144"/>
        <v>0</v>
      </c>
      <c r="AN300" s="365">
        <f t="shared" si="144"/>
        <v>0</v>
      </c>
      <c r="AO300" s="365">
        <f t="shared" si="144"/>
        <v>0</v>
      </c>
      <c r="AP300" s="365">
        <f t="shared" si="144"/>
        <v>0</v>
      </c>
      <c r="AQ300" s="365">
        <f>AQ299+AQ290+AQ285</f>
        <v>1358844406</v>
      </c>
    </row>
    <row r="301" spans="1:43" s="28" customFormat="1" ht="23.25" customHeight="1" x14ac:dyDescent="0.25">
      <c r="A301" s="807"/>
      <c r="B301" s="807"/>
      <c r="C301" s="366"/>
      <c r="D301" s="367"/>
      <c r="E301" s="367"/>
      <c r="F301" s="367"/>
      <c r="G301" s="367"/>
      <c r="H301" s="366"/>
      <c r="I301" s="367"/>
      <c r="J301" s="367"/>
      <c r="K301" s="367"/>
      <c r="L301" s="367"/>
      <c r="M301" s="169"/>
      <c r="N301" s="367"/>
      <c r="O301" s="367"/>
      <c r="P301" s="367">
        <f>P300</f>
        <v>0</v>
      </c>
      <c r="Q301" s="367">
        <f t="shared" ref="Q301:AK301" si="145">Q300</f>
        <v>0</v>
      </c>
      <c r="R301" s="367">
        <f t="shared" si="145"/>
        <v>0</v>
      </c>
      <c r="S301" s="367">
        <f t="shared" si="145"/>
        <v>0</v>
      </c>
      <c r="T301" s="367">
        <f t="shared" si="145"/>
        <v>0</v>
      </c>
      <c r="U301" s="367">
        <f t="shared" si="145"/>
        <v>0</v>
      </c>
      <c r="V301" s="367">
        <f t="shared" si="145"/>
        <v>0</v>
      </c>
      <c r="W301" s="367">
        <f t="shared" si="145"/>
        <v>0</v>
      </c>
      <c r="X301" s="367">
        <f t="shared" si="145"/>
        <v>0</v>
      </c>
      <c r="Y301" s="367">
        <f t="shared" si="145"/>
        <v>0</v>
      </c>
      <c r="Z301" s="367">
        <f t="shared" si="145"/>
        <v>0</v>
      </c>
      <c r="AA301" s="367">
        <f t="shared" si="145"/>
        <v>0</v>
      </c>
      <c r="AB301" s="367">
        <f t="shared" si="145"/>
        <v>0</v>
      </c>
      <c r="AC301" s="367">
        <f t="shared" si="145"/>
        <v>0</v>
      </c>
      <c r="AD301" s="367">
        <f t="shared" si="145"/>
        <v>0</v>
      </c>
      <c r="AE301" s="367">
        <f t="shared" si="145"/>
        <v>0</v>
      </c>
      <c r="AF301" s="367">
        <f t="shared" si="145"/>
        <v>0</v>
      </c>
      <c r="AG301" s="367">
        <f t="shared" si="145"/>
        <v>0</v>
      </c>
      <c r="AH301" s="367">
        <f t="shared" si="145"/>
        <v>0</v>
      </c>
      <c r="AI301" s="367">
        <f t="shared" si="145"/>
        <v>0</v>
      </c>
      <c r="AJ301" s="367">
        <f t="shared" si="145"/>
        <v>0</v>
      </c>
      <c r="AK301" s="367">
        <f t="shared" si="145"/>
        <v>0</v>
      </c>
      <c r="AL301" s="722">
        <f t="shared" ref="AL301:AP301" si="146">AL300</f>
        <v>1358844406</v>
      </c>
      <c r="AM301" s="367">
        <f t="shared" si="146"/>
        <v>0</v>
      </c>
      <c r="AN301" s="367">
        <f t="shared" si="146"/>
        <v>0</v>
      </c>
      <c r="AO301" s="367">
        <f t="shared" si="146"/>
        <v>0</v>
      </c>
      <c r="AP301" s="367">
        <f t="shared" si="146"/>
        <v>0</v>
      </c>
      <c r="AQ301" s="685">
        <f>AQ300</f>
        <v>1358844406</v>
      </c>
    </row>
    <row r="302" spans="1:43" s="28" customFormat="1" ht="15" x14ac:dyDescent="0.25">
      <c r="A302" s="177"/>
      <c r="B302" s="177"/>
      <c r="C302" s="795"/>
      <c r="D302" s="177"/>
      <c r="E302" s="795"/>
      <c r="F302" s="795"/>
      <c r="G302" s="177"/>
      <c r="H302" s="795"/>
      <c r="I302" s="177"/>
      <c r="J302" s="177"/>
      <c r="K302" s="177"/>
      <c r="L302" s="177"/>
      <c r="M302" s="179"/>
      <c r="N302" s="177"/>
      <c r="O302" s="795"/>
      <c r="P302" s="361"/>
      <c r="Q302" s="361"/>
      <c r="R302" s="361"/>
      <c r="S302" s="361"/>
      <c r="T302" s="361"/>
      <c r="U302" s="361"/>
      <c r="V302" s="361"/>
      <c r="W302" s="361"/>
      <c r="X302" s="361"/>
      <c r="Y302" s="361"/>
      <c r="Z302" s="361"/>
      <c r="AA302" s="361"/>
      <c r="AB302" s="361"/>
      <c r="AC302" s="361"/>
      <c r="AD302" s="362"/>
      <c r="AE302" s="362"/>
      <c r="AF302" s="362"/>
      <c r="AG302" s="362"/>
      <c r="AH302" s="362"/>
      <c r="AI302" s="362"/>
      <c r="AJ302" s="361"/>
      <c r="AK302" s="361"/>
      <c r="AL302" s="718"/>
      <c r="AM302" s="361"/>
      <c r="AN302" s="361"/>
      <c r="AO302" s="361"/>
      <c r="AP302" s="361"/>
      <c r="AQ302" s="684"/>
    </row>
    <row r="303" spans="1:43" ht="15" x14ac:dyDescent="0.25">
      <c r="A303" s="139">
        <v>2</v>
      </c>
      <c r="B303" s="140" t="s">
        <v>113</v>
      </c>
      <c r="C303" s="141"/>
      <c r="D303" s="140"/>
      <c r="E303" s="140"/>
      <c r="F303" s="140"/>
      <c r="G303" s="140"/>
      <c r="H303" s="141"/>
      <c r="I303" s="140"/>
      <c r="J303" s="140"/>
      <c r="K303" s="140"/>
      <c r="L303" s="140"/>
      <c r="M303" s="651"/>
      <c r="N303" s="140"/>
      <c r="O303" s="140"/>
      <c r="P303" s="140"/>
      <c r="Q303" s="140"/>
      <c r="R303" s="140"/>
      <c r="S303" s="140"/>
      <c r="T303" s="140"/>
      <c r="U303" s="140"/>
      <c r="V303" s="140"/>
      <c r="W303" s="140"/>
      <c r="X303" s="140"/>
      <c r="Y303" s="140"/>
      <c r="Z303" s="140"/>
      <c r="AA303" s="140"/>
      <c r="AB303" s="140"/>
      <c r="AC303" s="140"/>
      <c r="AD303" s="140"/>
      <c r="AE303" s="140"/>
      <c r="AF303" s="140"/>
      <c r="AG303" s="140"/>
      <c r="AH303" s="140"/>
      <c r="AI303" s="140"/>
      <c r="AJ303" s="140"/>
      <c r="AK303" s="140"/>
      <c r="AL303" s="723"/>
      <c r="AM303" s="140"/>
      <c r="AN303" s="140"/>
      <c r="AO303" s="140"/>
      <c r="AP303" s="140"/>
      <c r="AQ303" s="538"/>
    </row>
    <row r="304" spans="1:43" ht="15" x14ac:dyDescent="0.25">
      <c r="A304" s="185"/>
      <c r="B304" s="243">
        <v>2</v>
      </c>
      <c r="C304" s="145" t="s">
        <v>289</v>
      </c>
      <c r="D304" s="146"/>
      <c r="E304" s="146"/>
      <c r="F304" s="146"/>
      <c r="G304" s="146"/>
      <c r="H304" s="147"/>
      <c r="I304" s="146"/>
      <c r="J304" s="146"/>
      <c r="K304" s="146"/>
      <c r="L304" s="146"/>
      <c r="M304" s="652"/>
      <c r="N304" s="146"/>
      <c r="O304" s="146"/>
      <c r="P304" s="146"/>
      <c r="Q304" s="146"/>
      <c r="R304" s="146"/>
      <c r="S304" s="146"/>
      <c r="T304" s="146"/>
      <c r="U304" s="146"/>
      <c r="V304" s="146"/>
      <c r="W304" s="146"/>
      <c r="X304" s="146"/>
      <c r="Y304" s="146"/>
      <c r="Z304" s="146"/>
      <c r="AA304" s="146"/>
      <c r="AB304" s="146"/>
      <c r="AC304" s="146"/>
      <c r="AD304" s="146"/>
      <c r="AE304" s="146"/>
      <c r="AF304" s="146"/>
      <c r="AG304" s="146"/>
      <c r="AH304" s="146"/>
      <c r="AI304" s="146"/>
      <c r="AJ304" s="146"/>
      <c r="AK304" s="146"/>
      <c r="AL304" s="724"/>
      <c r="AM304" s="146"/>
      <c r="AN304" s="146"/>
      <c r="AO304" s="146"/>
      <c r="AP304" s="146"/>
      <c r="AQ304" s="524"/>
    </row>
    <row r="305" spans="1:43" ht="23.25" customHeight="1" x14ac:dyDescent="0.25">
      <c r="A305" s="20"/>
      <c r="B305" s="185"/>
      <c r="C305" s="795"/>
      <c r="D305" s="177"/>
      <c r="E305" s="795"/>
      <c r="F305" s="773"/>
      <c r="G305" s="344">
        <v>4</v>
      </c>
      <c r="H305" s="768" t="s">
        <v>380</v>
      </c>
      <c r="I305" s="189"/>
      <c r="J305" s="189"/>
      <c r="K305" s="189"/>
      <c r="L305" s="189"/>
      <c r="M305" s="653"/>
      <c r="N305" s="189"/>
      <c r="O305" s="189"/>
      <c r="P305" s="189"/>
      <c r="Q305" s="189"/>
      <c r="R305" s="189"/>
      <c r="S305" s="189"/>
      <c r="T305" s="189"/>
      <c r="U305" s="189"/>
      <c r="V305" s="189"/>
      <c r="W305" s="189"/>
      <c r="X305" s="189"/>
      <c r="Y305" s="189"/>
      <c r="Z305" s="189"/>
      <c r="AA305" s="189"/>
      <c r="AB305" s="189"/>
      <c r="AC305" s="189"/>
      <c r="AD305" s="189"/>
      <c r="AE305" s="189"/>
      <c r="AF305" s="189"/>
      <c r="AG305" s="189"/>
      <c r="AH305" s="189"/>
      <c r="AI305" s="189"/>
      <c r="AJ305" s="189"/>
      <c r="AK305" s="189"/>
      <c r="AL305" s="713"/>
      <c r="AM305" s="189"/>
      <c r="AN305" s="189"/>
      <c r="AO305" s="189"/>
      <c r="AP305" s="189"/>
      <c r="AQ305" s="521"/>
    </row>
    <row r="306" spans="1:43" s="28" customFormat="1" ht="144.75" customHeight="1" x14ac:dyDescent="0.25">
      <c r="A306" s="20"/>
      <c r="B306" s="20"/>
      <c r="C306" s="773" t="s">
        <v>381</v>
      </c>
      <c r="D306" s="774" t="s">
        <v>382</v>
      </c>
      <c r="E306" s="775" t="s">
        <v>383</v>
      </c>
      <c r="F306" s="775" t="s">
        <v>384</v>
      </c>
      <c r="G306" s="774"/>
      <c r="H306" s="775">
        <v>21</v>
      </c>
      <c r="I306" s="774" t="s">
        <v>385</v>
      </c>
      <c r="J306" s="11">
        <v>20</v>
      </c>
      <c r="K306" s="775">
        <v>100</v>
      </c>
      <c r="L306" s="975" t="s">
        <v>84</v>
      </c>
      <c r="M306" s="854" t="s">
        <v>386</v>
      </c>
      <c r="N306" s="858" t="s">
        <v>387</v>
      </c>
      <c r="O306" s="775" t="s">
        <v>34</v>
      </c>
      <c r="P306" s="26">
        <v>0</v>
      </c>
      <c r="Q306" s="26">
        <v>0</v>
      </c>
      <c r="R306" s="26">
        <v>0</v>
      </c>
      <c r="S306" s="26">
        <v>0</v>
      </c>
      <c r="T306" s="26">
        <v>0</v>
      </c>
      <c r="U306" s="26">
        <v>0</v>
      </c>
      <c r="V306" s="26">
        <v>0</v>
      </c>
      <c r="W306" s="26"/>
      <c r="X306" s="26"/>
      <c r="Y306" s="26"/>
      <c r="Z306" s="26">
        <v>0</v>
      </c>
      <c r="AA306" s="26"/>
      <c r="AB306" s="26">
        <v>0</v>
      </c>
      <c r="AC306" s="26">
        <v>0</v>
      </c>
      <c r="AD306" s="26"/>
      <c r="AE306" s="26"/>
      <c r="AF306" s="26"/>
      <c r="AG306" s="26"/>
      <c r="AH306" s="26"/>
      <c r="AI306" s="26"/>
      <c r="AJ306" s="26">
        <v>0</v>
      </c>
      <c r="AK306" s="26">
        <v>0</v>
      </c>
      <c r="AL306" s="720">
        <f>50000000+50000000</f>
        <v>100000000</v>
      </c>
      <c r="AM306" s="10"/>
      <c r="AN306" s="26">
        <v>0</v>
      </c>
      <c r="AO306" s="27">
        <v>0</v>
      </c>
      <c r="AP306" s="27"/>
      <c r="AQ306" s="26">
        <f>P306+Q306+R306+S306+T306+U306+V306+W306+X306+Y306+Z306+AA306+AB306+AC306+AD306+AE306+AF306+AG306+AH306+AI306+AJ306+AK306+AL306+AM306+AN306+AP306+AO306</f>
        <v>100000000</v>
      </c>
    </row>
    <row r="307" spans="1:43" s="28" customFormat="1" ht="145.5" customHeight="1" x14ac:dyDescent="0.25">
      <c r="A307" s="20"/>
      <c r="B307" s="20"/>
      <c r="C307" s="773" t="s">
        <v>381</v>
      </c>
      <c r="D307" s="774" t="s">
        <v>382</v>
      </c>
      <c r="E307" s="775" t="s">
        <v>383</v>
      </c>
      <c r="F307" s="775" t="s">
        <v>384</v>
      </c>
      <c r="G307" s="774"/>
      <c r="H307" s="773">
        <v>22</v>
      </c>
      <c r="I307" s="774" t="s">
        <v>388</v>
      </c>
      <c r="J307" s="11">
        <v>0</v>
      </c>
      <c r="K307" s="11">
        <v>1</v>
      </c>
      <c r="L307" s="976"/>
      <c r="M307" s="855"/>
      <c r="N307" s="860"/>
      <c r="O307" s="775" t="s">
        <v>34</v>
      </c>
      <c r="P307" s="26"/>
      <c r="Q307" s="26"/>
      <c r="R307" s="26"/>
      <c r="S307" s="26"/>
      <c r="T307" s="26"/>
      <c r="U307" s="26"/>
      <c r="V307" s="26"/>
      <c r="W307" s="26"/>
      <c r="X307" s="26"/>
      <c r="Y307" s="26"/>
      <c r="Z307" s="26"/>
      <c r="AA307" s="26"/>
      <c r="AB307" s="26"/>
      <c r="AC307" s="26"/>
      <c r="AD307" s="26"/>
      <c r="AE307" s="26"/>
      <c r="AF307" s="26"/>
      <c r="AG307" s="26"/>
      <c r="AH307" s="26"/>
      <c r="AI307" s="26"/>
      <c r="AJ307" s="26"/>
      <c r="AK307" s="26"/>
      <c r="AL307" s="720">
        <v>50000000</v>
      </c>
      <c r="AM307" s="10"/>
      <c r="AN307" s="26"/>
      <c r="AO307" s="27"/>
      <c r="AP307" s="27"/>
      <c r="AQ307" s="26">
        <f>P307+Q307+R307+S307+T307+U307+V307+W307+X307+Y307+Z307+AA307+AB307+AC307+AD307+AE307+AF307+AG307+AH307+AI307+AJ307+AK307+AL307+AM307+AN307+AP307+AO307</f>
        <v>50000000</v>
      </c>
    </row>
    <row r="308" spans="1:43" s="28" customFormat="1" ht="138.75" customHeight="1" x14ac:dyDescent="0.25">
      <c r="A308" s="20"/>
      <c r="B308" s="20"/>
      <c r="C308" s="773" t="s">
        <v>381</v>
      </c>
      <c r="D308" s="774" t="s">
        <v>382</v>
      </c>
      <c r="E308" s="775" t="s">
        <v>383</v>
      </c>
      <c r="F308" s="775" t="s">
        <v>384</v>
      </c>
      <c r="G308" s="774"/>
      <c r="H308" s="773">
        <v>23</v>
      </c>
      <c r="I308" s="774" t="s">
        <v>389</v>
      </c>
      <c r="J308" s="11">
        <v>0</v>
      </c>
      <c r="K308" s="11">
        <v>1</v>
      </c>
      <c r="L308" s="976"/>
      <c r="M308" s="855"/>
      <c r="N308" s="860"/>
      <c r="O308" s="775" t="s">
        <v>38</v>
      </c>
      <c r="P308" s="26"/>
      <c r="Q308" s="26"/>
      <c r="R308" s="26"/>
      <c r="S308" s="26"/>
      <c r="T308" s="26"/>
      <c r="U308" s="26"/>
      <c r="V308" s="26"/>
      <c r="W308" s="26"/>
      <c r="X308" s="26"/>
      <c r="Y308" s="26"/>
      <c r="Z308" s="26"/>
      <c r="AA308" s="26"/>
      <c r="AB308" s="26"/>
      <c r="AC308" s="26"/>
      <c r="AD308" s="26"/>
      <c r="AE308" s="26"/>
      <c r="AF308" s="26"/>
      <c r="AG308" s="26"/>
      <c r="AH308" s="26"/>
      <c r="AI308" s="26"/>
      <c r="AJ308" s="26"/>
      <c r="AK308" s="26"/>
      <c r="AL308" s="720">
        <f>200000000-50000000</f>
        <v>150000000</v>
      </c>
      <c r="AM308" s="10"/>
      <c r="AN308" s="26"/>
      <c r="AO308" s="27"/>
      <c r="AP308" s="27"/>
      <c r="AQ308" s="26">
        <f>P308+Q308+R308+S308+T308+U308+V308+W308+X308+Y308+Z308+AA308+AB308+AC308+AD308+AE308+AF308+AG308+AH308+AI308+AJ308+AK308+AL308+AM308+AN308+AP308+AO308</f>
        <v>150000000</v>
      </c>
    </row>
    <row r="309" spans="1:43" s="28" customFormat="1" ht="183.75" customHeight="1" x14ac:dyDescent="0.25">
      <c r="A309" s="20"/>
      <c r="B309" s="20"/>
      <c r="C309" s="773" t="s">
        <v>381</v>
      </c>
      <c r="D309" s="774" t="s">
        <v>382</v>
      </c>
      <c r="E309" s="775" t="s">
        <v>383</v>
      </c>
      <c r="F309" s="775" t="s">
        <v>384</v>
      </c>
      <c r="G309" s="774"/>
      <c r="H309" s="773">
        <v>24</v>
      </c>
      <c r="I309" s="774" t="s">
        <v>390</v>
      </c>
      <c r="J309" s="11">
        <v>0</v>
      </c>
      <c r="K309" s="11">
        <v>1</v>
      </c>
      <c r="L309" s="977"/>
      <c r="M309" s="856"/>
      <c r="N309" s="859"/>
      <c r="O309" s="775" t="s">
        <v>34</v>
      </c>
      <c r="P309" s="26"/>
      <c r="Q309" s="26"/>
      <c r="R309" s="26"/>
      <c r="S309" s="26"/>
      <c r="T309" s="26"/>
      <c r="U309" s="26"/>
      <c r="V309" s="26"/>
      <c r="W309" s="26"/>
      <c r="X309" s="26"/>
      <c r="Y309" s="26"/>
      <c r="Z309" s="26"/>
      <c r="AA309" s="26"/>
      <c r="AB309" s="26"/>
      <c r="AC309" s="26"/>
      <c r="AD309" s="26"/>
      <c r="AE309" s="26"/>
      <c r="AF309" s="26"/>
      <c r="AG309" s="26"/>
      <c r="AH309" s="26"/>
      <c r="AI309" s="26"/>
      <c r="AJ309" s="26"/>
      <c r="AK309" s="26"/>
      <c r="AL309" s="720">
        <v>50000000</v>
      </c>
      <c r="AM309" s="10"/>
      <c r="AN309" s="26"/>
      <c r="AO309" s="27"/>
      <c r="AP309" s="27"/>
      <c r="AQ309" s="26">
        <f>P309+Q309+R309+S309+T309+U309+V309+W309+X309+Y309+Z309+AA309+AB309+AC309+AD309+AE309+AF309+AG309+AH309+AI309+AJ309+AK309+AL309+AM309+AN309+AP309+AO309</f>
        <v>50000000</v>
      </c>
    </row>
    <row r="310" spans="1:43" s="28" customFormat="1" ht="21" customHeight="1" x14ac:dyDescent="0.25">
      <c r="A310" s="20"/>
      <c r="B310" s="20"/>
      <c r="C310" s="773"/>
      <c r="D310" s="774"/>
      <c r="E310" s="775"/>
      <c r="F310" s="775"/>
      <c r="G310" s="119"/>
      <c r="H310" s="120"/>
      <c r="I310" s="12"/>
      <c r="J310" s="13"/>
      <c r="K310" s="13"/>
      <c r="L310" s="105"/>
      <c r="M310" s="121"/>
      <c r="N310" s="122"/>
      <c r="O310" s="123"/>
      <c r="P310" s="124">
        <f>SUM(P306:P309)</f>
        <v>0</v>
      </c>
      <c r="Q310" s="124">
        <f t="shared" ref="Q310:AK310" si="147">SUM(Q306:Q309)</f>
        <v>0</v>
      </c>
      <c r="R310" s="124">
        <f t="shared" si="147"/>
        <v>0</v>
      </c>
      <c r="S310" s="124">
        <f t="shared" si="147"/>
        <v>0</v>
      </c>
      <c r="T310" s="124">
        <f t="shared" si="147"/>
        <v>0</v>
      </c>
      <c r="U310" s="124">
        <f t="shared" si="147"/>
        <v>0</v>
      </c>
      <c r="V310" s="124">
        <f t="shared" si="147"/>
        <v>0</v>
      </c>
      <c r="W310" s="124">
        <f t="shared" si="147"/>
        <v>0</v>
      </c>
      <c r="X310" s="124">
        <f t="shared" si="147"/>
        <v>0</v>
      </c>
      <c r="Y310" s="124">
        <f t="shared" si="147"/>
        <v>0</v>
      </c>
      <c r="Z310" s="124">
        <f t="shared" si="147"/>
        <v>0</v>
      </c>
      <c r="AA310" s="124">
        <f t="shared" si="147"/>
        <v>0</v>
      </c>
      <c r="AB310" s="124">
        <f t="shared" si="147"/>
        <v>0</v>
      </c>
      <c r="AC310" s="124">
        <f t="shared" si="147"/>
        <v>0</v>
      </c>
      <c r="AD310" s="124">
        <f t="shared" si="147"/>
        <v>0</v>
      </c>
      <c r="AE310" s="124">
        <f t="shared" si="147"/>
        <v>0</v>
      </c>
      <c r="AF310" s="124">
        <f t="shared" si="147"/>
        <v>0</v>
      </c>
      <c r="AG310" s="124">
        <f t="shared" si="147"/>
        <v>0</v>
      </c>
      <c r="AH310" s="124">
        <f t="shared" si="147"/>
        <v>0</v>
      </c>
      <c r="AI310" s="124">
        <f t="shared" si="147"/>
        <v>0</v>
      </c>
      <c r="AJ310" s="124">
        <f t="shared" si="147"/>
        <v>0</v>
      </c>
      <c r="AK310" s="124">
        <f t="shared" si="147"/>
        <v>0</v>
      </c>
      <c r="AL310" s="725">
        <f t="shared" ref="AL310:AQ310" si="148">SUM(AL306:AL309)</f>
        <v>350000000</v>
      </c>
      <c r="AM310" s="124">
        <f t="shared" si="148"/>
        <v>0</v>
      </c>
      <c r="AN310" s="124">
        <f t="shared" si="148"/>
        <v>0</v>
      </c>
      <c r="AO310" s="124">
        <f t="shared" si="148"/>
        <v>0</v>
      </c>
      <c r="AP310" s="124">
        <f t="shared" si="148"/>
        <v>0</v>
      </c>
      <c r="AQ310" s="124">
        <f t="shared" si="148"/>
        <v>350000000</v>
      </c>
    </row>
    <row r="311" spans="1:43" s="28" customFormat="1" ht="21" customHeight="1" x14ac:dyDescent="0.25">
      <c r="A311" s="20"/>
      <c r="B311" s="20"/>
      <c r="C311" s="773"/>
      <c r="D311" s="774"/>
      <c r="E311" s="775"/>
      <c r="F311" s="775"/>
      <c r="G311" s="765"/>
      <c r="H311" s="777"/>
      <c r="I311" s="774"/>
      <c r="J311" s="11"/>
      <c r="K311" s="11"/>
      <c r="L311" s="771"/>
      <c r="M311" s="797"/>
      <c r="N311" s="762"/>
      <c r="O311" s="775"/>
      <c r="P311" s="26"/>
      <c r="Q311" s="26"/>
      <c r="R311" s="26"/>
      <c r="S311" s="26"/>
      <c r="T311" s="26"/>
      <c r="U311" s="26"/>
      <c r="V311" s="26"/>
      <c r="W311" s="26"/>
      <c r="X311" s="26"/>
      <c r="Y311" s="26"/>
      <c r="Z311" s="26"/>
      <c r="AA311" s="26"/>
      <c r="AB311" s="26"/>
      <c r="AC311" s="26"/>
      <c r="AD311" s="26"/>
      <c r="AE311" s="26"/>
      <c r="AF311" s="26"/>
      <c r="AG311" s="26"/>
      <c r="AH311" s="26"/>
      <c r="AI311" s="26"/>
      <c r="AJ311" s="26"/>
      <c r="AK311" s="26"/>
      <c r="AL311" s="720"/>
      <c r="AM311" s="10"/>
      <c r="AN311" s="27"/>
      <c r="AO311" s="27"/>
      <c r="AP311" s="27"/>
      <c r="AQ311" s="26"/>
    </row>
    <row r="312" spans="1:43" s="28" customFormat="1" ht="28.5" customHeight="1" x14ac:dyDescent="0.25">
      <c r="A312" s="20"/>
      <c r="B312" s="20"/>
      <c r="C312" s="773"/>
      <c r="D312" s="774"/>
      <c r="E312" s="775"/>
      <c r="F312" s="775"/>
      <c r="G312" s="125">
        <v>5</v>
      </c>
      <c r="H312" s="126" t="s">
        <v>391</v>
      </c>
      <c r="I312" s="12"/>
      <c r="J312" s="13"/>
      <c r="K312" s="13"/>
      <c r="L312" s="13"/>
      <c r="M312" s="368"/>
      <c r="N312" s="123"/>
      <c r="O312" s="123"/>
      <c r="P312" s="124"/>
      <c r="Q312" s="124"/>
      <c r="R312" s="124"/>
      <c r="S312" s="124"/>
      <c r="T312" s="124"/>
      <c r="U312" s="124"/>
      <c r="V312" s="124"/>
      <c r="W312" s="124"/>
      <c r="X312" s="124"/>
      <c r="Y312" s="124"/>
      <c r="Z312" s="124"/>
      <c r="AA312" s="124"/>
      <c r="AB312" s="124"/>
      <c r="AC312" s="124"/>
      <c r="AD312" s="124"/>
      <c r="AE312" s="124"/>
      <c r="AF312" s="124"/>
      <c r="AG312" s="124"/>
      <c r="AH312" s="124"/>
      <c r="AI312" s="124"/>
      <c r="AJ312" s="124"/>
      <c r="AK312" s="124"/>
      <c r="AL312" s="726"/>
      <c r="AM312" s="369"/>
      <c r="AN312" s="369">
        <f>SUM(AN306:AN309)</f>
        <v>0</v>
      </c>
      <c r="AO312" s="369">
        <f>SUM(AO306:AO309)</f>
        <v>0</v>
      </c>
      <c r="AP312" s="369">
        <f>SUM(AP306:AP309)</f>
        <v>0</v>
      </c>
      <c r="AQ312" s="686"/>
    </row>
    <row r="313" spans="1:43" s="28" customFormat="1" ht="124.5" customHeight="1" x14ac:dyDescent="0.25">
      <c r="A313" s="20"/>
      <c r="B313" s="20"/>
      <c r="C313" s="773" t="s">
        <v>381</v>
      </c>
      <c r="D313" s="774" t="s">
        <v>382</v>
      </c>
      <c r="E313" s="775" t="s">
        <v>383</v>
      </c>
      <c r="F313" s="775" t="s">
        <v>384</v>
      </c>
      <c r="G313" s="77"/>
      <c r="H313" s="775">
        <v>25</v>
      </c>
      <c r="I313" s="774" t="s">
        <v>392</v>
      </c>
      <c r="J313" s="11" t="s">
        <v>30</v>
      </c>
      <c r="K313" s="775">
        <v>2</v>
      </c>
      <c r="L313" s="975" t="s">
        <v>84</v>
      </c>
      <c r="M313" s="854" t="s">
        <v>393</v>
      </c>
      <c r="N313" s="858" t="s">
        <v>394</v>
      </c>
      <c r="O313" s="775" t="s">
        <v>34</v>
      </c>
      <c r="P313" s="26"/>
      <c r="Q313" s="26"/>
      <c r="R313" s="26"/>
      <c r="S313" s="26"/>
      <c r="T313" s="26"/>
      <c r="U313" s="26"/>
      <c r="V313" s="26"/>
      <c r="W313" s="26"/>
      <c r="X313" s="26"/>
      <c r="Y313" s="26"/>
      <c r="Z313" s="26"/>
      <c r="AA313" s="26"/>
      <c r="AB313" s="26"/>
      <c r="AC313" s="26"/>
      <c r="AD313" s="26"/>
      <c r="AE313" s="26"/>
      <c r="AF313" s="26"/>
      <c r="AG313" s="26"/>
      <c r="AH313" s="26"/>
      <c r="AI313" s="26"/>
      <c r="AJ313" s="26"/>
      <c r="AK313" s="26"/>
      <c r="AL313" s="720">
        <f>300000000+60000000</f>
        <v>360000000</v>
      </c>
      <c r="AM313" s="10"/>
      <c r="AN313" s="26"/>
      <c r="AO313" s="27"/>
      <c r="AP313" s="27"/>
      <c r="AQ313" s="26">
        <f t="shared" ref="AQ313:AQ318" si="149">P313+Q313+R313+S313+T313+U313+V313+W313+X313+Y313+Z313+AA313+AB313+AC313+AD313+AE313+AF313+AG313+AH313+AI313+AJ313+AK313+AL313+AM313+AN313+AP313+AO313</f>
        <v>360000000</v>
      </c>
    </row>
    <row r="314" spans="1:43" s="28" customFormat="1" ht="132.75" customHeight="1" x14ac:dyDescent="0.25">
      <c r="A314" s="20"/>
      <c r="B314" s="20"/>
      <c r="C314" s="773" t="s">
        <v>381</v>
      </c>
      <c r="D314" s="774" t="s">
        <v>382</v>
      </c>
      <c r="E314" s="775" t="s">
        <v>383</v>
      </c>
      <c r="F314" s="775" t="s">
        <v>384</v>
      </c>
      <c r="G314" s="77"/>
      <c r="H314" s="775">
        <v>26</v>
      </c>
      <c r="I314" s="774" t="s">
        <v>395</v>
      </c>
      <c r="J314" s="11" t="s">
        <v>30</v>
      </c>
      <c r="K314" s="775">
        <v>1</v>
      </c>
      <c r="L314" s="976"/>
      <c r="M314" s="855"/>
      <c r="N314" s="860"/>
      <c r="O314" s="775" t="s">
        <v>34</v>
      </c>
      <c r="P314" s="26"/>
      <c r="Q314" s="26"/>
      <c r="R314" s="26"/>
      <c r="S314" s="26"/>
      <c r="T314" s="26"/>
      <c r="U314" s="26"/>
      <c r="V314" s="26"/>
      <c r="W314" s="26"/>
      <c r="X314" s="26"/>
      <c r="Y314" s="26"/>
      <c r="Z314" s="26"/>
      <c r="AA314" s="26"/>
      <c r="AB314" s="26"/>
      <c r="AC314" s="26"/>
      <c r="AD314" s="26"/>
      <c r="AE314" s="26"/>
      <c r="AF314" s="26"/>
      <c r="AG314" s="26"/>
      <c r="AH314" s="26"/>
      <c r="AI314" s="26"/>
      <c r="AJ314" s="26"/>
      <c r="AK314" s="26"/>
      <c r="AL314" s="720">
        <v>50000000</v>
      </c>
      <c r="AM314" s="10"/>
      <c r="AN314" s="26"/>
      <c r="AO314" s="27"/>
      <c r="AP314" s="27"/>
      <c r="AQ314" s="26">
        <f t="shared" si="149"/>
        <v>50000000</v>
      </c>
    </row>
    <row r="315" spans="1:43" s="28" customFormat="1" ht="131.25" customHeight="1" x14ac:dyDescent="0.25">
      <c r="A315" s="20"/>
      <c r="B315" s="20"/>
      <c r="C315" s="773" t="s">
        <v>381</v>
      </c>
      <c r="D315" s="774" t="s">
        <v>382</v>
      </c>
      <c r="E315" s="775" t="s">
        <v>383</v>
      </c>
      <c r="F315" s="775" t="s">
        <v>384</v>
      </c>
      <c r="G315" s="77"/>
      <c r="H315" s="775">
        <v>27</v>
      </c>
      <c r="I315" s="774" t="s">
        <v>396</v>
      </c>
      <c r="J315" s="11">
        <v>0</v>
      </c>
      <c r="K315" s="775">
        <v>2</v>
      </c>
      <c r="L315" s="976"/>
      <c r="M315" s="855"/>
      <c r="N315" s="860"/>
      <c r="O315" s="775" t="s">
        <v>34</v>
      </c>
      <c r="P315" s="26"/>
      <c r="Q315" s="26"/>
      <c r="R315" s="26"/>
      <c r="S315" s="26"/>
      <c r="T315" s="26"/>
      <c r="U315" s="26"/>
      <c r="V315" s="26"/>
      <c r="W315" s="26"/>
      <c r="X315" s="26"/>
      <c r="Y315" s="26"/>
      <c r="Z315" s="26"/>
      <c r="AA315" s="26"/>
      <c r="AB315" s="26"/>
      <c r="AC315" s="26"/>
      <c r="AD315" s="26"/>
      <c r="AE315" s="26"/>
      <c r="AF315" s="26"/>
      <c r="AG315" s="26"/>
      <c r="AH315" s="26"/>
      <c r="AI315" s="26"/>
      <c r="AJ315" s="26"/>
      <c r="AK315" s="26"/>
      <c r="AL315" s="720"/>
      <c r="AM315" s="10"/>
      <c r="AN315" s="26"/>
      <c r="AO315" s="27"/>
      <c r="AP315" s="27"/>
      <c r="AQ315" s="26">
        <f t="shared" si="149"/>
        <v>0</v>
      </c>
    </row>
    <row r="316" spans="1:43" s="28" customFormat="1" ht="141" customHeight="1" x14ac:dyDescent="0.25">
      <c r="A316" s="20"/>
      <c r="B316" s="20"/>
      <c r="C316" s="773" t="s">
        <v>381</v>
      </c>
      <c r="D316" s="774" t="s">
        <v>382</v>
      </c>
      <c r="E316" s="775" t="s">
        <v>383</v>
      </c>
      <c r="F316" s="775" t="s">
        <v>384</v>
      </c>
      <c r="G316" s="77"/>
      <c r="H316" s="775">
        <v>28</v>
      </c>
      <c r="I316" s="774" t="s">
        <v>397</v>
      </c>
      <c r="J316" s="11" t="s">
        <v>30</v>
      </c>
      <c r="K316" s="775">
        <v>2</v>
      </c>
      <c r="L316" s="976"/>
      <c r="M316" s="856"/>
      <c r="N316" s="859"/>
      <c r="O316" s="775" t="s">
        <v>34</v>
      </c>
      <c r="P316" s="26"/>
      <c r="Q316" s="26"/>
      <c r="R316" s="26"/>
      <c r="S316" s="26"/>
      <c r="T316" s="26"/>
      <c r="U316" s="26"/>
      <c r="V316" s="26"/>
      <c r="W316" s="26"/>
      <c r="X316" s="26"/>
      <c r="Y316" s="26"/>
      <c r="Z316" s="26"/>
      <c r="AA316" s="26"/>
      <c r="AB316" s="26"/>
      <c r="AC316" s="26"/>
      <c r="AD316" s="26"/>
      <c r="AE316" s="26"/>
      <c r="AF316" s="26"/>
      <c r="AG316" s="26"/>
      <c r="AH316" s="26"/>
      <c r="AI316" s="26"/>
      <c r="AJ316" s="26"/>
      <c r="AK316" s="26"/>
      <c r="AL316" s="720"/>
      <c r="AM316" s="10"/>
      <c r="AN316" s="26"/>
      <c r="AO316" s="27"/>
      <c r="AP316" s="27"/>
      <c r="AQ316" s="26">
        <f t="shared" si="149"/>
        <v>0</v>
      </c>
    </row>
    <row r="317" spans="1:43" s="28" customFormat="1" ht="147" customHeight="1" x14ac:dyDescent="0.25">
      <c r="A317" s="20"/>
      <c r="B317" s="20"/>
      <c r="C317" s="773" t="s">
        <v>381</v>
      </c>
      <c r="D317" s="774" t="s">
        <v>382</v>
      </c>
      <c r="E317" s="775" t="s">
        <v>383</v>
      </c>
      <c r="F317" s="775" t="s">
        <v>384</v>
      </c>
      <c r="G317" s="77"/>
      <c r="H317" s="775">
        <v>29</v>
      </c>
      <c r="I317" s="774" t="s">
        <v>398</v>
      </c>
      <c r="J317" s="11">
        <v>0</v>
      </c>
      <c r="K317" s="775">
        <v>1</v>
      </c>
      <c r="L317" s="976"/>
      <c r="M317" s="797" t="s">
        <v>882</v>
      </c>
      <c r="N317" s="762" t="s">
        <v>399</v>
      </c>
      <c r="O317" s="775" t="s">
        <v>38</v>
      </c>
      <c r="P317" s="26"/>
      <c r="Q317" s="26"/>
      <c r="R317" s="26"/>
      <c r="S317" s="26"/>
      <c r="T317" s="26"/>
      <c r="U317" s="26"/>
      <c r="V317" s="26"/>
      <c r="W317" s="26"/>
      <c r="X317" s="26"/>
      <c r="Y317" s="26"/>
      <c r="Z317" s="26"/>
      <c r="AA317" s="26"/>
      <c r="AB317" s="26"/>
      <c r="AC317" s="26"/>
      <c r="AD317" s="26"/>
      <c r="AE317" s="26"/>
      <c r="AF317" s="26"/>
      <c r="AG317" s="26"/>
      <c r="AH317" s="26"/>
      <c r="AI317" s="26"/>
      <c r="AJ317" s="26"/>
      <c r="AK317" s="26"/>
      <c r="AL317" s="720">
        <v>25000000</v>
      </c>
      <c r="AM317" s="10"/>
      <c r="AN317" s="26"/>
      <c r="AO317" s="27"/>
      <c r="AP317" s="27"/>
      <c r="AQ317" s="26">
        <f t="shared" si="149"/>
        <v>25000000</v>
      </c>
    </row>
    <row r="318" spans="1:43" s="28" customFormat="1" ht="138" customHeight="1" x14ac:dyDescent="0.25">
      <c r="A318" s="20"/>
      <c r="B318" s="20"/>
      <c r="C318" s="773" t="s">
        <v>381</v>
      </c>
      <c r="D318" s="774" t="s">
        <v>382</v>
      </c>
      <c r="E318" s="775" t="s">
        <v>383</v>
      </c>
      <c r="F318" s="775" t="s">
        <v>384</v>
      </c>
      <c r="G318" s="78"/>
      <c r="H318" s="775">
        <v>30</v>
      </c>
      <c r="I318" s="774" t="s">
        <v>400</v>
      </c>
      <c r="J318" s="11">
        <v>1</v>
      </c>
      <c r="K318" s="775">
        <v>1</v>
      </c>
      <c r="L318" s="977"/>
      <c r="M318" s="813" t="s">
        <v>401</v>
      </c>
      <c r="N318" s="774" t="s">
        <v>402</v>
      </c>
      <c r="O318" s="775" t="s">
        <v>38</v>
      </c>
      <c r="P318" s="26"/>
      <c r="Q318" s="26"/>
      <c r="R318" s="26"/>
      <c r="S318" s="26"/>
      <c r="T318" s="26"/>
      <c r="U318" s="26"/>
      <c r="V318" s="26"/>
      <c r="W318" s="26"/>
      <c r="X318" s="26"/>
      <c r="Y318" s="26"/>
      <c r="Z318" s="26"/>
      <c r="AA318" s="26"/>
      <c r="AB318" s="26"/>
      <c r="AC318" s="26"/>
      <c r="AD318" s="26"/>
      <c r="AE318" s="26"/>
      <c r="AF318" s="26"/>
      <c r="AG318" s="26"/>
      <c r="AH318" s="26"/>
      <c r="AI318" s="26"/>
      <c r="AJ318" s="26"/>
      <c r="AK318" s="26"/>
      <c r="AL318" s="720">
        <f>25000000+20000000</f>
        <v>45000000</v>
      </c>
      <c r="AM318" s="10"/>
      <c r="AN318" s="26"/>
      <c r="AO318" s="26"/>
      <c r="AP318" s="26"/>
      <c r="AQ318" s="26">
        <f t="shared" si="149"/>
        <v>45000000</v>
      </c>
    </row>
    <row r="319" spans="1:43" ht="24.75" customHeight="1" x14ac:dyDescent="0.25">
      <c r="A319" s="20"/>
      <c r="B319" s="20"/>
      <c r="C319" s="795"/>
      <c r="D319" s="177"/>
      <c r="E319" s="795"/>
      <c r="F319" s="795"/>
      <c r="G319" s="188"/>
      <c r="H319" s="370"/>
      <c r="I319" s="371"/>
      <c r="J319" s="372"/>
      <c r="K319" s="372"/>
      <c r="L319" s="372"/>
      <c r="M319" s="373"/>
      <c r="N319" s="371"/>
      <c r="O319" s="374"/>
      <c r="P319" s="375">
        <f>SUM(P313:P318)</f>
        <v>0</v>
      </c>
      <c r="Q319" s="375">
        <f t="shared" ref="Q319:AK319" si="150">SUM(Q313:Q318)</f>
        <v>0</v>
      </c>
      <c r="R319" s="375">
        <f t="shared" si="150"/>
        <v>0</v>
      </c>
      <c r="S319" s="375">
        <f t="shared" si="150"/>
        <v>0</v>
      </c>
      <c r="T319" s="375">
        <f t="shared" si="150"/>
        <v>0</v>
      </c>
      <c r="U319" s="375">
        <f t="shared" si="150"/>
        <v>0</v>
      </c>
      <c r="V319" s="375">
        <f t="shared" si="150"/>
        <v>0</v>
      </c>
      <c r="W319" s="375">
        <f t="shared" si="150"/>
        <v>0</v>
      </c>
      <c r="X319" s="375">
        <f t="shared" si="150"/>
        <v>0</v>
      </c>
      <c r="Y319" s="375">
        <f t="shared" si="150"/>
        <v>0</v>
      </c>
      <c r="Z319" s="375">
        <f t="shared" si="150"/>
        <v>0</v>
      </c>
      <c r="AA319" s="375">
        <f t="shared" si="150"/>
        <v>0</v>
      </c>
      <c r="AB319" s="375">
        <f t="shared" si="150"/>
        <v>0</v>
      </c>
      <c r="AC319" s="375">
        <f t="shared" si="150"/>
        <v>0</v>
      </c>
      <c r="AD319" s="375">
        <f t="shared" si="150"/>
        <v>0</v>
      </c>
      <c r="AE319" s="375">
        <f t="shared" si="150"/>
        <v>0</v>
      </c>
      <c r="AF319" s="375">
        <f t="shared" si="150"/>
        <v>0</v>
      </c>
      <c r="AG319" s="375">
        <f t="shared" si="150"/>
        <v>0</v>
      </c>
      <c r="AH319" s="375">
        <f t="shared" si="150"/>
        <v>0</v>
      </c>
      <c r="AI319" s="375">
        <f t="shared" si="150"/>
        <v>0</v>
      </c>
      <c r="AJ319" s="375">
        <f t="shared" si="150"/>
        <v>0</v>
      </c>
      <c r="AK319" s="375">
        <f t="shared" si="150"/>
        <v>0</v>
      </c>
      <c r="AL319" s="727">
        <f t="shared" ref="AL319:AP319" si="151">SUM(AL313:AL318)</f>
        <v>480000000</v>
      </c>
      <c r="AM319" s="375">
        <f t="shared" si="151"/>
        <v>0</v>
      </c>
      <c r="AN319" s="375">
        <f t="shared" si="151"/>
        <v>0</v>
      </c>
      <c r="AO319" s="375">
        <f t="shared" si="151"/>
        <v>0</v>
      </c>
      <c r="AP319" s="375">
        <f t="shared" si="151"/>
        <v>0</v>
      </c>
      <c r="AQ319" s="158">
        <f>SUM(AQ313:AQ318)</f>
        <v>480000000</v>
      </c>
    </row>
    <row r="320" spans="1:43" s="28" customFormat="1" ht="15" x14ac:dyDescent="0.25">
      <c r="A320" s="20"/>
      <c r="B320" s="20"/>
      <c r="C320" s="795"/>
      <c r="D320" s="177"/>
      <c r="E320" s="795"/>
      <c r="F320" s="795"/>
      <c r="G320" s="376"/>
      <c r="H320" s="244"/>
      <c r="I320" s="177"/>
      <c r="J320" s="264"/>
      <c r="K320" s="264"/>
      <c r="L320" s="264"/>
      <c r="M320" s="179"/>
      <c r="N320" s="177"/>
      <c r="O320" s="795"/>
      <c r="P320" s="180"/>
      <c r="Q320" s="180"/>
      <c r="R320" s="180"/>
      <c r="S320" s="180"/>
      <c r="T320" s="180"/>
      <c r="U320" s="180"/>
      <c r="V320" s="180"/>
      <c r="W320" s="180"/>
      <c r="X320" s="180"/>
      <c r="Y320" s="180"/>
      <c r="Z320" s="180"/>
      <c r="AA320" s="180"/>
      <c r="AB320" s="180"/>
      <c r="AC320" s="180"/>
      <c r="AD320" s="180"/>
      <c r="AE320" s="180"/>
      <c r="AF320" s="180"/>
      <c r="AG320" s="180"/>
      <c r="AH320" s="180"/>
      <c r="AI320" s="180"/>
      <c r="AJ320" s="180"/>
      <c r="AK320" s="180"/>
      <c r="AL320" s="716"/>
      <c r="AM320" s="180"/>
      <c r="AN320" s="180"/>
      <c r="AO320" s="180"/>
      <c r="AP320" s="180"/>
      <c r="AQ320" s="26"/>
    </row>
    <row r="321" spans="1:43" ht="26.25" customHeight="1" thickBot="1" x14ac:dyDescent="0.3">
      <c r="A321" s="20"/>
      <c r="B321" s="20"/>
      <c r="C321" s="773"/>
      <c r="D321" s="774"/>
      <c r="E321" s="775"/>
      <c r="F321" s="775"/>
      <c r="G321" s="258">
        <v>6</v>
      </c>
      <c r="H321" s="669" t="s">
        <v>403</v>
      </c>
      <c r="I321" s="189"/>
      <c r="J321" s="189"/>
      <c r="K321" s="189"/>
      <c r="L321" s="189"/>
      <c r="M321" s="653"/>
      <c r="N321" s="189"/>
      <c r="O321" s="189"/>
      <c r="P321" s="189"/>
      <c r="Q321" s="189"/>
      <c r="R321" s="189"/>
      <c r="S321" s="189"/>
      <c r="T321" s="189"/>
      <c r="U321" s="189"/>
      <c r="V321" s="189"/>
      <c r="W321" s="189"/>
      <c r="X321" s="189"/>
      <c r="Y321" s="189"/>
      <c r="Z321" s="189"/>
      <c r="AA321" s="189"/>
      <c r="AB321" s="189"/>
      <c r="AC321" s="189"/>
      <c r="AD321" s="189"/>
      <c r="AE321" s="189"/>
      <c r="AF321" s="189"/>
      <c r="AG321" s="189"/>
      <c r="AH321" s="189"/>
      <c r="AI321" s="189"/>
      <c r="AJ321" s="189"/>
      <c r="AK321" s="189"/>
      <c r="AL321" s="713"/>
      <c r="AM321" s="189"/>
      <c r="AN321" s="189"/>
      <c r="AO321" s="189"/>
      <c r="AP321" s="189"/>
      <c r="AQ321" s="521"/>
    </row>
    <row r="322" spans="1:43" ht="66" customHeight="1" x14ac:dyDescent="0.25">
      <c r="A322" s="20"/>
      <c r="B322" s="20"/>
      <c r="C322" s="772">
        <v>5</v>
      </c>
      <c r="D322" s="763" t="s">
        <v>404</v>
      </c>
      <c r="E322" s="760">
        <v>12.9</v>
      </c>
      <c r="F322" s="760">
        <v>8.9</v>
      </c>
      <c r="G322" s="377"/>
      <c r="H322" s="9">
        <v>31</v>
      </c>
      <c r="I322" s="153" t="s">
        <v>405</v>
      </c>
      <c r="J322" s="11" t="s">
        <v>30</v>
      </c>
      <c r="K322" s="644">
        <v>4</v>
      </c>
      <c r="L322" s="978" t="s">
        <v>84</v>
      </c>
      <c r="M322" s="854" t="s">
        <v>406</v>
      </c>
      <c r="N322" s="849" t="s">
        <v>407</v>
      </c>
      <c r="O322" s="775" t="s">
        <v>38</v>
      </c>
      <c r="P322" s="26"/>
      <c r="Q322" s="26"/>
      <c r="R322" s="26"/>
      <c r="S322" s="26"/>
      <c r="T322" s="26"/>
      <c r="U322" s="26"/>
      <c r="V322" s="26"/>
      <c r="W322" s="26"/>
      <c r="X322" s="26"/>
      <c r="Y322" s="26"/>
      <c r="Z322" s="26"/>
      <c r="AA322" s="26"/>
      <c r="AB322" s="26"/>
      <c r="AC322" s="26"/>
      <c r="AD322" s="254"/>
      <c r="AE322" s="254"/>
      <c r="AF322" s="254"/>
      <c r="AG322" s="254"/>
      <c r="AH322" s="254"/>
      <c r="AI322" s="254"/>
      <c r="AJ322" s="26"/>
      <c r="AK322" s="26"/>
      <c r="AL322" s="728">
        <f>95900000+10000000</f>
        <v>105900000</v>
      </c>
      <c r="AM322" s="4"/>
      <c r="AN322" s="26"/>
      <c r="AO322" s="293"/>
      <c r="AP322" s="293"/>
      <c r="AQ322" s="26">
        <f>P322+Q322+R322+S322+T322+U322+V322+W322+X322+Y322+Z322+AA322+AB322+AC322+AD322+AE322+AF322+AG322+AH322+AI322+AJ322+AK322+AL322+AM322+AN322+AP322+AO322</f>
        <v>105900000</v>
      </c>
    </row>
    <row r="323" spans="1:43" ht="57" customHeight="1" x14ac:dyDescent="0.25">
      <c r="A323" s="20"/>
      <c r="B323" s="20"/>
      <c r="C323" s="766">
        <v>6</v>
      </c>
      <c r="D323" s="764" t="s">
        <v>408</v>
      </c>
      <c r="E323" s="761">
        <v>3.4</v>
      </c>
      <c r="F323" s="761">
        <v>4.5999999999999996</v>
      </c>
      <c r="G323" s="377"/>
      <c r="H323" s="9">
        <v>32</v>
      </c>
      <c r="I323" s="774" t="s">
        <v>409</v>
      </c>
      <c r="J323" s="11" t="s">
        <v>30</v>
      </c>
      <c r="K323" s="775">
        <v>30</v>
      </c>
      <c r="L323" s="979"/>
      <c r="M323" s="855"/>
      <c r="N323" s="857"/>
      <c r="O323" s="775" t="s">
        <v>34</v>
      </c>
      <c r="P323" s="26">
        <v>0</v>
      </c>
      <c r="Q323" s="26">
        <v>0</v>
      </c>
      <c r="R323" s="26">
        <v>0</v>
      </c>
      <c r="S323" s="26">
        <v>0</v>
      </c>
      <c r="T323" s="26">
        <v>0</v>
      </c>
      <c r="U323" s="26">
        <v>0</v>
      </c>
      <c r="V323" s="26">
        <v>0</v>
      </c>
      <c r="W323" s="26"/>
      <c r="X323" s="26"/>
      <c r="Y323" s="26"/>
      <c r="Z323" s="26">
        <v>0</v>
      </c>
      <c r="AA323" s="26"/>
      <c r="AB323" s="26">
        <v>0</v>
      </c>
      <c r="AC323" s="26">
        <v>0</v>
      </c>
      <c r="AD323" s="254"/>
      <c r="AE323" s="254"/>
      <c r="AF323" s="254"/>
      <c r="AG323" s="254"/>
      <c r="AH323" s="254"/>
      <c r="AI323" s="254"/>
      <c r="AJ323" s="26">
        <v>0</v>
      </c>
      <c r="AK323" s="26">
        <v>0</v>
      </c>
      <c r="AL323" s="127">
        <f>86900000+100000000+15000000</f>
        <v>201900000</v>
      </c>
      <c r="AM323" s="4"/>
      <c r="AN323" s="26">
        <v>0</v>
      </c>
      <c r="AO323" s="293">
        <v>0</v>
      </c>
      <c r="AP323" s="293"/>
      <c r="AQ323" s="26">
        <f>P323+Q323+R323+S323+T323+U323+V323+W323+X323+Y323+Z323+AA323+AB323+AC323+AD323+AE323+AF323+AG323+AH323+AI323+AJ323+AK323+AL323+AM323+AN323+AP323+AO323</f>
        <v>201900000</v>
      </c>
    </row>
    <row r="324" spans="1:43" ht="60.75" customHeight="1" x14ac:dyDescent="0.25">
      <c r="A324" s="20"/>
      <c r="B324" s="20"/>
      <c r="C324" s="767">
        <v>7</v>
      </c>
      <c r="D324" s="765" t="s">
        <v>410</v>
      </c>
      <c r="E324" s="762">
        <v>31.7</v>
      </c>
      <c r="F324" s="762">
        <v>27</v>
      </c>
      <c r="G324" s="377"/>
      <c r="H324" s="9">
        <v>33</v>
      </c>
      <c r="I324" s="153" t="s">
        <v>411</v>
      </c>
      <c r="J324" s="11" t="s">
        <v>30</v>
      </c>
      <c r="K324" s="775">
        <v>400</v>
      </c>
      <c r="L324" s="979"/>
      <c r="M324" s="855"/>
      <c r="N324" s="857"/>
      <c r="O324" s="775" t="s">
        <v>34</v>
      </c>
      <c r="P324" s="378">
        <v>0</v>
      </c>
      <c r="Q324" s="26">
        <v>0</v>
      </c>
      <c r="R324" s="26">
        <v>0</v>
      </c>
      <c r="S324" s="26">
        <v>0</v>
      </c>
      <c r="T324" s="26">
        <v>0</v>
      </c>
      <c r="U324" s="26">
        <v>0</v>
      </c>
      <c r="V324" s="26">
        <v>0</v>
      </c>
      <c r="W324" s="26"/>
      <c r="X324" s="26"/>
      <c r="Y324" s="26"/>
      <c r="Z324" s="26">
        <v>0</v>
      </c>
      <c r="AA324" s="26"/>
      <c r="AB324" s="26">
        <v>0</v>
      </c>
      <c r="AC324" s="26">
        <v>0</v>
      </c>
      <c r="AD324" s="254"/>
      <c r="AE324" s="254"/>
      <c r="AF324" s="254"/>
      <c r="AG324" s="254"/>
      <c r="AH324" s="254"/>
      <c r="AI324" s="254"/>
      <c r="AJ324" s="26">
        <v>0</v>
      </c>
      <c r="AK324" s="26">
        <v>0</v>
      </c>
      <c r="AL324" s="728">
        <f>8600000+20000000</f>
        <v>28600000</v>
      </c>
      <c r="AM324" s="4"/>
      <c r="AN324" s="26">
        <v>0</v>
      </c>
      <c r="AO324" s="293">
        <v>0</v>
      </c>
      <c r="AP324" s="293"/>
      <c r="AQ324" s="26">
        <f>P324+Q324+R324+S324+T324+U324+V324+W324+X324+Y324+Z324+AA324+AB324+AC324+AD324+AE324+AF324+AG324+AH324+AI324+AJ324+AK324+AL324+AM324+AN324+AP324+AO324</f>
        <v>28600000</v>
      </c>
    </row>
    <row r="325" spans="1:43" ht="118.5" customHeight="1" thickBot="1" x14ac:dyDescent="0.3">
      <c r="A325" s="20"/>
      <c r="B325" s="20"/>
      <c r="C325" s="773"/>
      <c r="D325" s="6"/>
      <c r="E325" s="775"/>
      <c r="F325" s="775"/>
      <c r="G325" s="379"/>
      <c r="H325" s="9">
        <v>34</v>
      </c>
      <c r="I325" s="153" t="s">
        <v>412</v>
      </c>
      <c r="J325" s="11" t="s">
        <v>30</v>
      </c>
      <c r="K325" s="645">
        <v>800</v>
      </c>
      <c r="L325" s="980"/>
      <c r="M325" s="856"/>
      <c r="N325" s="850"/>
      <c r="O325" s="775" t="s">
        <v>34</v>
      </c>
      <c r="P325" s="26">
        <v>0</v>
      </c>
      <c r="Q325" s="26">
        <v>0</v>
      </c>
      <c r="R325" s="26">
        <v>0</v>
      </c>
      <c r="S325" s="26">
        <v>0</v>
      </c>
      <c r="T325" s="26">
        <v>0</v>
      </c>
      <c r="U325" s="26">
        <v>0</v>
      </c>
      <c r="V325" s="26">
        <v>0</v>
      </c>
      <c r="W325" s="26"/>
      <c r="X325" s="26"/>
      <c r="Y325" s="26"/>
      <c r="Z325" s="26">
        <v>0</v>
      </c>
      <c r="AA325" s="26"/>
      <c r="AB325" s="26">
        <v>0</v>
      </c>
      <c r="AC325" s="26">
        <v>0</v>
      </c>
      <c r="AD325" s="254"/>
      <c r="AE325" s="254"/>
      <c r="AF325" s="254"/>
      <c r="AG325" s="254"/>
      <c r="AH325" s="254"/>
      <c r="AI325" s="254"/>
      <c r="AJ325" s="26">
        <v>0</v>
      </c>
      <c r="AK325" s="26">
        <v>0</v>
      </c>
      <c r="AL325" s="728">
        <f>8600000+20000000</f>
        <v>28600000</v>
      </c>
      <c r="AM325" s="4"/>
      <c r="AN325" s="26">
        <v>0</v>
      </c>
      <c r="AO325" s="293">
        <v>0</v>
      </c>
      <c r="AP325" s="293"/>
      <c r="AQ325" s="26">
        <f>P325+Q325+R325+S325+T325+U325+V325+W325+X325+Y325+Z325+AA325+AB325+AC325+AD325+AE325+AF325+AG325+AH325+AI325+AJ325+AK325+AL325+AM325+AN325+AP325+AO325</f>
        <v>28600000</v>
      </c>
    </row>
    <row r="326" spans="1:43" s="28" customFormat="1" ht="26.25" customHeight="1" x14ac:dyDescent="0.25">
      <c r="A326" s="20"/>
      <c r="B326" s="20"/>
      <c r="C326" s="981"/>
      <c r="D326" s="981"/>
      <c r="E326" s="981"/>
      <c r="F326" s="982"/>
      <c r="G326" s="303"/>
      <c r="H326" s="316"/>
      <c r="I326" s="303"/>
      <c r="J326" s="303"/>
      <c r="K326" s="303"/>
      <c r="L326" s="303"/>
      <c r="M326" s="380"/>
      <c r="N326" s="303"/>
      <c r="O326" s="316"/>
      <c r="P326" s="381">
        <f>SUM(P322:P325)</f>
        <v>0</v>
      </c>
      <c r="Q326" s="381">
        <f t="shared" ref="Q326:AK326" si="152">SUM(Q322:Q325)</f>
        <v>0</v>
      </c>
      <c r="R326" s="381">
        <f t="shared" si="152"/>
        <v>0</v>
      </c>
      <c r="S326" s="381">
        <f t="shared" si="152"/>
        <v>0</v>
      </c>
      <c r="T326" s="381">
        <f t="shared" si="152"/>
        <v>0</v>
      </c>
      <c r="U326" s="381">
        <f t="shared" si="152"/>
        <v>0</v>
      </c>
      <c r="V326" s="381">
        <f t="shared" si="152"/>
        <v>0</v>
      </c>
      <c r="W326" s="381">
        <f t="shared" si="152"/>
        <v>0</v>
      </c>
      <c r="X326" s="381">
        <f t="shared" si="152"/>
        <v>0</v>
      </c>
      <c r="Y326" s="381">
        <f t="shared" si="152"/>
        <v>0</v>
      </c>
      <c r="Z326" s="381">
        <f t="shared" si="152"/>
        <v>0</v>
      </c>
      <c r="AA326" s="381">
        <f t="shared" si="152"/>
        <v>0</v>
      </c>
      <c r="AB326" s="381">
        <f t="shared" si="152"/>
        <v>0</v>
      </c>
      <c r="AC326" s="381">
        <f t="shared" si="152"/>
        <v>0</v>
      </c>
      <c r="AD326" s="381">
        <f t="shared" si="152"/>
        <v>0</v>
      </c>
      <c r="AE326" s="381">
        <f t="shared" si="152"/>
        <v>0</v>
      </c>
      <c r="AF326" s="381">
        <f t="shared" si="152"/>
        <v>0</v>
      </c>
      <c r="AG326" s="381">
        <f t="shared" si="152"/>
        <v>0</v>
      </c>
      <c r="AH326" s="381">
        <f t="shared" si="152"/>
        <v>0</v>
      </c>
      <c r="AI326" s="381">
        <f t="shared" si="152"/>
        <v>0</v>
      </c>
      <c r="AJ326" s="381">
        <f t="shared" si="152"/>
        <v>0</v>
      </c>
      <c r="AK326" s="381">
        <f t="shared" si="152"/>
        <v>0</v>
      </c>
      <c r="AL326" s="729">
        <f t="shared" ref="AL326:AP326" si="153">SUM(AL322:AL325)</f>
        <v>365000000</v>
      </c>
      <c r="AM326" s="381">
        <f t="shared" si="153"/>
        <v>0</v>
      </c>
      <c r="AN326" s="381">
        <f t="shared" si="153"/>
        <v>0</v>
      </c>
      <c r="AO326" s="381">
        <f t="shared" si="153"/>
        <v>0</v>
      </c>
      <c r="AP326" s="381">
        <f t="shared" si="153"/>
        <v>0</v>
      </c>
      <c r="AQ326" s="381">
        <f>SUM(AQ322:AQ325)</f>
        <v>365000000</v>
      </c>
    </row>
    <row r="327" spans="1:43" s="28" customFormat="1" ht="15" x14ac:dyDescent="0.25">
      <c r="A327" s="20"/>
      <c r="B327" s="20"/>
      <c r="C327" s="795"/>
      <c r="D327" s="795"/>
      <c r="E327" s="795"/>
      <c r="F327" s="795"/>
      <c r="G327" s="304"/>
      <c r="H327" s="319"/>
      <c r="I327" s="304"/>
      <c r="J327" s="304"/>
      <c r="K327" s="304"/>
      <c r="L327" s="304"/>
      <c r="M327" s="382"/>
      <c r="N327" s="304"/>
      <c r="O327" s="319"/>
      <c r="P327" s="383"/>
      <c r="Q327" s="383"/>
      <c r="R327" s="383"/>
      <c r="S327" s="383"/>
      <c r="T327" s="383"/>
      <c r="U327" s="383"/>
      <c r="V327" s="383"/>
      <c r="W327" s="383"/>
      <c r="X327" s="383"/>
      <c r="Y327" s="383"/>
      <c r="Z327" s="383"/>
      <c r="AA327" s="383"/>
      <c r="AB327" s="383"/>
      <c r="AC327" s="383"/>
      <c r="AD327" s="383"/>
      <c r="AE327" s="383"/>
      <c r="AF327" s="383"/>
      <c r="AG327" s="383"/>
      <c r="AH327" s="383"/>
      <c r="AI327" s="383"/>
      <c r="AJ327" s="383"/>
      <c r="AK327" s="383"/>
      <c r="AL327" s="716"/>
      <c r="AM327" s="384"/>
      <c r="AN327" s="383"/>
      <c r="AO327" s="383"/>
      <c r="AP327" s="383"/>
      <c r="AQ327" s="687"/>
    </row>
    <row r="328" spans="1:43" s="28" customFormat="1" ht="24.75" customHeight="1" x14ac:dyDescent="0.25">
      <c r="A328" s="20"/>
      <c r="B328" s="20"/>
      <c r="C328" s="795"/>
      <c r="D328" s="795"/>
      <c r="E328" s="795"/>
      <c r="F328" s="773"/>
      <c r="G328" s="385">
        <v>7</v>
      </c>
      <c r="H328" s="669" t="s">
        <v>413</v>
      </c>
      <c r="I328" s="189"/>
      <c r="J328" s="189"/>
      <c r="K328" s="189"/>
      <c r="L328" s="189"/>
      <c r="M328" s="653"/>
      <c r="N328" s="189"/>
      <c r="O328" s="189"/>
      <c r="P328" s="189"/>
      <c r="Q328" s="189"/>
      <c r="R328" s="189"/>
      <c r="S328" s="189"/>
      <c r="T328" s="189"/>
      <c r="U328" s="189"/>
      <c r="V328" s="189"/>
      <c r="W328" s="189"/>
      <c r="X328" s="189"/>
      <c r="Y328" s="189"/>
      <c r="Z328" s="189"/>
      <c r="AA328" s="189"/>
      <c r="AB328" s="189"/>
      <c r="AC328" s="189"/>
      <c r="AD328" s="189"/>
      <c r="AE328" s="189"/>
      <c r="AF328" s="189"/>
      <c r="AG328" s="189"/>
      <c r="AH328" s="189"/>
      <c r="AI328" s="189"/>
      <c r="AJ328" s="189"/>
      <c r="AK328" s="189"/>
      <c r="AL328" s="713"/>
      <c r="AM328" s="189"/>
      <c r="AN328" s="189"/>
      <c r="AO328" s="189"/>
      <c r="AP328" s="189"/>
      <c r="AQ328" s="521"/>
    </row>
    <row r="329" spans="1:43" ht="138.75" customHeight="1" x14ac:dyDescent="0.25">
      <c r="A329" s="20"/>
      <c r="B329" s="20"/>
      <c r="C329" s="773" t="s">
        <v>381</v>
      </c>
      <c r="D329" s="774" t="s">
        <v>382</v>
      </c>
      <c r="E329" s="775" t="s">
        <v>383</v>
      </c>
      <c r="F329" s="775" t="s">
        <v>912</v>
      </c>
      <c r="G329" s="29"/>
      <c r="H329" s="5">
        <v>35</v>
      </c>
      <c r="I329" s="153" t="s">
        <v>414</v>
      </c>
      <c r="J329" s="11">
        <v>0</v>
      </c>
      <c r="K329" s="762">
        <v>5</v>
      </c>
      <c r="L329" s="983" t="s">
        <v>84</v>
      </c>
      <c r="M329" s="854" t="s">
        <v>415</v>
      </c>
      <c r="N329" s="849" t="s">
        <v>416</v>
      </c>
      <c r="O329" s="775" t="s">
        <v>38</v>
      </c>
      <c r="P329" s="26"/>
      <c r="Q329" s="26"/>
      <c r="R329" s="26"/>
      <c r="S329" s="26"/>
      <c r="T329" s="26"/>
      <c r="U329" s="26"/>
      <c r="V329" s="26"/>
      <c r="W329" s="26"/>
      <c r="X329" s="26"/>
      <c r="Y329" s="26"/>
      <c r="Z329" s="26"/>
      <c r="AA329" s="26"/>
      <c r="AB329" s="26"/>
      <c r="AC329" s="26"/>
      <c r="AD329" s="254"/>
      <c r="AE329" s="254"/>
      <c r="AF329" s="254"/>
      <c r="AG329" s="254"/>
      <c r="AH329" s="254"/>
      <c r="AI329" s="254"/>
      <c r="AJ329" s="26"/>
      <c r="AK329" s="26"/>
      <c r="AL329" s="127">
        <f>90000000-30000000</f>
        <v>60000000</v>
      </c>
      <c r="AM329" s="14"/>
      <c r="AN329" s="26"/>
      <c r="AO329" s="293"/>
      <c r="AP329" s="293"/>
      <c r="AQ329" s="26">
        <f>P329+Q329+R329+S329+T329+U329+V329+W329+X329+Y329+Z329+AA329+AB329+AC329+AD329+AE329+AF329+AG329+AH329+AI329+AJ329+AK329+AL329+AM329+AN329+AP329+AO329</f>
        <v>60000000</v>
      </c>
    </row>
    <row r="330" spans="1:43" ht="130.5" customHeight="1" x14ac:dyDescent="0.25">
      <c r="A330" s="20"/>
      <c r="B330" s="20"/>
      <c r="C330" s="773" t="s">
        <v>381</v>
      </c>
      <c r="D330" s="774" t="s">
        <v>382</v>
      </c>
      <c r="E330" s="775" t="s">
        <v>383</v>
      </c>
      <c r="F330" s="775" t="s">
        <v>912</v>
      </c>
      <c r="G330" s="30"/>
      <c r="H330" s="5">
        <v>36</v>
      </c>
      <c r="I330" s="774" t="s">
        <v>417</v>
      </c>
      <c r="J330" s="11">
        <v>0</v>
      </c>
      <c r="K330" s="775">
        <v>1</v>
      </c>
      <c r="L330" s="984"/>
      <c r="M330" s="855"/>
      <c r="N330" s="857"/>
      <c r="O330" s="775" t="s">
        <v>34</v>
      </c>
      <c r="P330" s="26">
        <v>0</v>
      </c>
      <c r="Q330" s="26">
        <v>0</v>
      </c>
      <c r="R330" s="26">
        <v>0</v>
      </c>
      <c r="S330" s="26">
        <v>0</v>
      </c>
      <c r="T330" s="26">
        <v>0</v>
      </c>
      <c r="U330" s="26">
        <v>0</v>
      </c>
      <c r="V330" s="26">
        <v>0</v>
      </c>
      <c r="W330" s="26"/>
      <c r="X330" s="26"/>
      <c r="Y330" s="26"/>
      <c r="Z330" s="26">
        <v>0</v>
      </c>
      <c r="AA330" s="26"/>
      <c r="AB330" s="26">
        <v>0</v>
      </c>
      <c r="AC330" s="26">
        <v>0</v>
      </c>
      <c r="AD330" s="254"/>
      <c r="AE330" s="254"/>
      <c r="AF330" s="254"/>
      <c r="AG330" s="254"/>
      <c r="AH330" s="254"/>
      <c r="AI330" s="254"/>
      <c r="AJ330" s="26">
        <v>0</v>
      </c>
      <c r="AK330" s="26">
        <v>0</v>
      </c>
      <c r="AL330" s="127">
        <f>3500000+30000000</f>
        <v>33500000</v>
      </c>
      <c r="AM330" s="14"/>
      <c r="AN330" s="26">
        <v>0</v>
      </c>
      <c r="AO330" s="293">
        <v>0</v>
      </c>
      <c r="AP330" s="293"/>
      <c r="AQ330" s="26">
        <f>P330+Q330+R330+S330+T330+U330+V330+W330+X330+Y330+Z330+AA330+AB330+AC330+AD330+AE330+AF330+AG330+AH330+AI330+AJ330+AK330+AL330+AM330+AN330+AP330+AO330</f>
        <v>33500000</v>
      </c>
    </row>
    <row r="331" spans="1:43" ht="129" customHeight="1" x14ac:dyDescent="0.25">
      <c r="A331" s="20"/>
      <c r="B331" s="20"/>
      <c r="C331" s="773" t="s">
        <v>381</v>
      </c>
      <c r="D331" s="774" t="s">
        <v>382</v>
      </c>
      <c r="E331" s="775" t="s">
        <v>383</v>
      </c>
      <c r="F331" s="775" t="s">
        <v>912</v>
      </c>
      <c r="G331" s="30"/>
      <c r="H331" s="5">
        <v>37</v>
      </c>
      <c r="I331" s="6" t="s">
        <v>418</v>
      </c>
      <c r="J331" s="345">
        <v>0</v>
      </c>
      <c r="K331" s="775">
        <v>1</v>
      </c>
      <c r="L331" s="386"/>
      <c r="M331" s="856"/>
      <c r="N331" s="850"/>
      <c r="O331" s="775" t="s">
        <v>38</v>
      </c>
      <c r="P331" s="26"/>
      <c r="Q331" s="26"/>
      <c r="R331" s="26"/>
      <c r="S331" s="26"/>
      <c r="T331" s="26"/>
      <c r="U331" s="26"/>
      <c r="V331" s="26"/>
      <c r="W331" s="26"/>
      <c r="X331" s="26"/>
      <c r="Y331" s="26"/>
      <c r="Z331" s="26"/>
      <c r="AA331" s="26"/>
      <c r="AB331" s="26"/>
      <c r="AC331" s="26"/>
      <c r="AD331" s="254"/>
      <c r="AE331" s="254"/>
      <c r="AF331" s="254"/>
      <c r="AG331" s="254"/>
      <c r="AH331" s="254"/>
      <c r="AI331" s="254"/>
      <c r="AJ331" s="26"/>
      <c r="AK331" s="26"/>
      <c r="AL331" s="730">
        <f>6500000+20000000+30000000</f>
        <v>56500000</v>
      </c>
      <c r="AM331" s="26"/>
      <c r="AN331" s="26"/>
      <c r="AO331" s="293"/>
      <c r="AP331" s="293"/>
      <c r="AQ331" s="26">
        <f>P331+Q331+R331+S331+T331+U331+V331+W331+X331+Y331+Z331+AA331+AB331+AC331+AD331+AE331+AF331+AG331+AH331+AI331+AJ331+AK331+AL331+AM331+AN331+AP331+AO331</f>
        <v>56500000</v>
      </c>
    </row>
    <row r="332" spans="1:43" s="28" customFormat="1" ht="26.25" customHeight="1" x14ac:dyDescent="0.25">
      <c r="A332" s="20"/>
      <c r="B332" s="152"/>
      <c r="C332" s="773"/>
      <c r="D332" s="774"/>
      <c r="E332" s="775"/>
      <c r="F332" s="775"/>
      <c r="G332" s="154"/>
      <c r="H332" s="155"/>
      <c r="I332" s="154"/>
      <c r="J332" s="253"/>
      <c r="K332" s="253"/>
      <c r="L332" s="253"/>
      <c r="M332" s="157"/>
      <c r="N332" s="154"/>
      <c r="O332" s="155"/>
      <c r="P332" s="158">
        <f>SUM(P329:P331)</f>
        <v>0</v>
      </c>
      <c r="Q332" s="158">
        <f t="shared" ref="Q332:AK332" si="154">SUM(Q329:Q331)</f>
        <v>0</v>
      </c>
      <c r="R332" s="158">
        <f t="shared" si="154"/>
        <v>0</v>
      </c>
      <c r="S332" s="158">
        <f t="shared" si="154"/>
        <v>0</v>
      </c>
      <c r="T332" s="158">
        <f t="shared" si="154"/>
        <v>0</v>
      </c>
      <c r="U332" s="158">
        <f t="shared" si="154"/>
        <v>0</v>
      </c>
      <c r="V332" s="158">
        <f t="shared" si="154"/>
        <v>0</v>
      </c>
      <c r="W332" s="158">
        <f t="shared" si="154"/>
        <v>0</v>
      </c>
      <c r="X332" s="158">
        <f t="shared" si="154"/>
        <v>0</v>
      </c>
      <c r="Y332" s="158">
        <f t="shared" si="154"/>
        <v>0</v>
      </c>
      <c r="Z332" s="158">
        <f t="shared" si="154"/>
        <v>0</v>
      </c>
      <c r="AA332" s="158">
        <f t="shared" si="154"/>
        <v>0</v>
      </c>
      <c r="AB332" s="158">
        <f t="shared" si="154"/>
        <v>0</v>
      </c>
      <c r="AC332" s="158">
        <f t="shared" si="154"/>
        <v>0</v>
      </c>
      <c r="AD332" s="158">
        <f t="shared" si="154"/>
        <v>0</v>
      </c>
      <c r="AE332" s="158">
        <f t="shared" si="154"/>
        <v>0</v>
      </c>
      <c r="AF332" s="158">
        <f t="shared" si="154"/>
        <v>0</v>
      </c>
      <c r="AG332" s="158">
        <f t="shared" si="154"/>
        <v>0</v>
      </c>
      <c r="AH332" s="158">
        <f t="shared" si="154"/>
        <v>0</v>
      </c>
      <c r="AI332" s="158">
        <f t="shared" si="154"/>
        <v>0</v>
      </c>
      <c r="AJ332" s="158">
        <f t="shared" si="154"/>
        <v>0</v>
      </c>
      <c r="AK332" s="158">
        <f t="shared" si="154"/>
        <v>0</v>
      </c>
      <c r="AL332" s="715">
        <f t="shared" ref="AL332:AP332" si="155">SUM(AL329:AL331)</f>
        <v>150000000</v>
      </c>
      <c r="AM332" s="158">
        <f t="shared" si="155"/>
        <v>0</v>
      </c>
      <c r="AN332" s="158">
        <f t="shared" si="155"/>
        <v>0</v>
      </c>
      <c r="AO332" s="158">
        <f t="shared" si="155"/>
        <v>0</v>
      </c>
      <c r="AP332" s="158">
        <f t="shared" si="155"/>
        <v>0</v>
      </c>
      <c r="AQ332" s="158">
        <f>SUM(AQ329:AQ331)</f>
        <v>150000000</v>
      </c>
    </row>
    <row r="333" spans="1:43" ht="24" customHeight="1" x14ac:dyDescent="0.25">
      <c r="A333" s="152"/>
      <c r="B333" s="218"/>
      <c r="C333" s="162"/>
      <c r="D333" s="161"/>
      <c r="E333" s="162"/>
      <c r="F333" s="162" t="s">
        <v>419</v>
      </c>
      <c r="G333" s="161"/>
      <c r="H333" s="162"/>
      <c r="I333" s="161"/>
      <c r="J333" s="261"/>
      <c r="K333" s="261"/>
      <c r="L333" s="261"/>
      <c r="M333" s="164"/>
      <c r="N333" s="161"/>
      <c r="O333" s="162"/>
      <c r="P333" s="165">
        <f>P332+P326+P319+P310</f>
        <v>0</v>
      </c>
      <c r="Q333" s="165">
        <f t="shared" ref="Q333:AK333" si="156">Q332+Q326+Q319+Q310</f>
        <v>0</v>
      </c>
      <c r="R333" s="165">
        <f t="shared" si="156"/>
        <v>0</v>
      </c>
      <c r="S333" s="165">
        <f t="shared" si="156"/>
        <v>0</v>
      </c>
      <c r="T333" s="165">
        <f t="shared" si="156"/>
        <v>0</v>
      </c>
      <c r="U333" s="165">
        <f t="shared" si="156"/>
        <v>0</v>
      </c>
      <c r="V333" s="165">
        <f t="shared" si="156"/>
        <v>0</v>
      </c>
      <c r="W333" s="165">
        <f t="shared" si="156"/>
        <v>0</v>
      </c>
      <c r="X333" s="165">
        <f t="shared" si="156"/>
        <v>0</v>
      </c>
      <c r="Y333" s="165">
        <f t="shared" si="156"/>
        <v>0</v>
      </c>
      <c r="Z333" s="165">
        <f t="shared" si="156"/>
        <v>0</v>
      </c>
      <c r="AA333" s="165">
        <f t="shared" si="156"/>
        <v>0</v>
      </c>
      <c r="AB333" s="165">
        <f t="shared" si="156"/>
        <v>0</v>
      </c>
      <c r="AC333" s="165">
        <f t="shared" si="156"/>
        <v>0</v>
      </c>
      <c r="AD333" s="165">
        <f t="shared" si="156"/>
        <v>0</v>
      </c>
      <c r="AE333" s="165">
        <f t="shared" si="156"/>
        <v>0</v>
      </c>
      <c r="AF333" s="165">
        <f t="shared" si="156"/>
        <v>0</v>
      </c>
      <c r="AG333" s="165">
        <f t="shared" si="156"/>
        <v>0</v>
      </c>
      <c r="AH333" s="165">
        <f t="shared" si="156"/>
        <v>0</v>
      </c>
      <c r="AI333" s="165">
        <f t="shared" si="156"/>
        <v>0</v>
      </c>
      <c r="AJ333" s="165">
        <f t="shared" si="156"/>
        <v>0</v>
      </c>
      <c r="AK333" s="165">
        <f t="shared" si="156"/>
        <v>0</v>
      </c>
      <c r="AL333" s="731">
        <f t="shared" ref="AL333:AP333" si="157">AL332+AL326+AL319+AL310</f>
        <v>1345000000</v>
      </c>
      <c r="AM333" s="165">
        <f t="shared" si="157"/>
        <v>0</v>
      </c>
      <c r="AN333" s="165">
        <f t="shared" si="157"/>
        <v>0</v>
      </c>
      <c r="AO333" s="165">
        <f t="shared" si="157"/>
        <v>0</v>
      </c>
      <c r="AP333" s="165">
        <f t="shared" si="157"/>
        <v>0</v>
      </c>
      <c r="AQ333" s="165">
        <f>AQ332+AQ326+AQ319+AQ310</f>
        <v>1345000000</v>
      </c>
    </row>
    <row r="334" spans="1:43" s="47" customFormat="1" ht="29.25" customHeight="1" x14ac:dyDescent="0.25">
      <c r="A334" s="262"/>
      <c r="B334" s="166"/>
      <c r="C334" s="167"/>
      <c r="D334" s="166"/>
      <c r="E334" s="167"/>
      <c r="F334" s="167"/>
      <c r="G334" s="166"/>
      <c r="H334" s="167"/>
      <c r="I334" s="166"/>
      <c r="J334" s="263"/>
      <c r="K334" s="263"/>
      <c r="L334" s="263"/>
      <c r="M334" s="169"/>
      <c r="N334" s="166"/>
      <c r="O334" s="167"/>
      <c r="P334" s="170">
        <f>P333</f>
        <v>0</v>
      </c>
      <c r="Q334" s="170">
        <f t="shared" ref="Q334:AK334" si="158">Q333</f>
        <v>0</v>
      </c>
      <c r="R334" s="170">
        <f t="shared" si="158"/>
        <v>0</v>
      </c>
      <c r="S334" s="170">
        <f t="shared" si="158"/>
        <v>0</v>
      </c>
      <c r="T334" s="170">
        <f t="shared" si="158"/>
        <v>0</v>
      </c>
      <c r="U334" s="170">
        <f t="shared" si="158"/>
        <v>0</v>
      </c>
      <c r="V334" s="170">
        <f t="shared" si="158"/>
        <v>0</v>
      </c>
      <c r="W334" s="170">
        <f t="shared" si="158"/>
        <v>0</v>
      </c>
      <c r="X334" s="170">
        <f t="shared" si="158"/>
        <v>0</v>
      </c>
      <c r="Y334" s="170">
        <f t="shared" si="158"/>
        <v>0</v>
      </c>
      <c r="Z334" s="170">
        <f t="shared" si="158"/>
        <v>0</v>
      </c>
      <c r="AA334" s="170">
        <f t="shared" si="158"/>
        <v>0</v>
      </c>
      <c r="AB334" s="170">
        <f t="shared" si="158"/>
        <v>0</v>
      </c>
      <c r="AC334" s="170">
        <f t="shared" si="158"/>
        <v>0</v>
      </c>
      <c r="AD334" s="170">
        <f t="shared" si="158"/>
        <v>0</v>
      </c>
      <c r="AE334" s="170">
        <f t="shared" si="158"/>
        <v>0</v>
      </c>
      <c r="AF334" s="170">
        <f t="shared" si="158"/>
        <v>0</v>
      </c>
      <c r="AG334" s="170">
        <f t="shared" si="158"/>
        <v>0</v>
      </c>
      <c r="AH334" s="170">
        <f t="shared" si="158"/>
        <v>0</v>
      </c>
      <c r="AI334" s="170">
        <f t="shared" si="158"/>
        <v>0</v>
      </c>
      <c r="AJ334" s="170">
        <f t="shared" si="158"/>
        <v>0</v>
      </c>
      <c r="AK334" s="170">
        <f t="shared" si="158"/>
        <v>0</v>
      </c>
      <c r="AL334" s="732">
        <f t="shared" ref="AL334:AP334" si="159">AL333</f>
        <v>1345000000</v>
      </c>
      <c r="AM334" s="170">
        <f t="shared" si="159"/>
        <v>0</v>
      </c>
      <c r="AN334" s="170">
        <f t="shared" si="159"/>
        <v>0</v>
      </c>
      <c r="AO334" s="170">
        <f t="shared" si="159"/>
        <v>0</v>
      </c>
      <c r="AP334" s="170">
        <f t="shared" si="159"/>
        <v>0</v>
      </c>
      <c r="AQ334" s="170">
        <f>AQ333</f>
        <v>1345000000</v>
      </c>
    </row>
    <row r="335" spans="1:43" s="47" customFormat="1" ht="20.25" x14ac:dyDescent="0.25">
      <c r="A335" s="177"/>
      <c r="B335" s="177"/>
      <c r="C335" s="795"/>
      <c r="D335" s="177"/>
      <c r="E335" s="795"/>
      <c r="F335" s="795"/>
      <c r="G335" s="177"/>
      <c r="H335" s="795"/>
      <c r="I335" s="177"/>
      <c r="J335" s="264"/>
      <c r="K335" s="264"/>
      <c r="L335" s="264"/>
      <c r="M335" s="234"/>
      <c r="N335" s="223"/>
      <c r="O335" s="795"/>
      <c r="P335" s="180"/>
      <c r="Q335" s="180"/>
      <c r="R335" s="180"/>
      <c r="S335" s="180"/>
      <c r="T335" s="180"/>
      <c r="U335" s="180"/>
      <c r="V335" s="180"/>
      <c r="W335" s="180"/>
      <c r="X335" s="180"/>
      <c r="Y335" s="180"/>
      <c r="Z335" s="180"/>
      <c r="AA335" s="180"/>
      <c r="AB335" s="180"/>
      <c r="AC335" s="180"/>
      <c r="AD335" s="180"/>
      <c r="AE335" s="180"/>
      <c r="AF335" s="180"/>
      <c r="AG335" s="180"/>
      <c r="AH335" s="180"/>
      <c r="AI335" s="180"/>
      <c r="AJ335" s="180"/>
      <c r="AK335" s="180"/>
      <c r="AL335" s="716"/>
      <c r="AM335" s="180"/>
      <c r="AN335" s="180"/>
      <c r="AO335" s="180"/>
      <c r="AP335" s="180"/>
      <c r="AQ335" s="26"/>
    </row>
    <row r="336" spans="1:43" s="47" customFormat="1" ht="20.25" x14ac:dyDescent="0.25">
      <c r="A336" s="139">
        <v>3</v>
      </c>
      <c r="B336" s="140" t="s">
        <v>420</v>
      </c>
      <c r="C336" s="141"/>
      <c r="D336" s="140"/>
      <c r="E336" s="140"/>
      <c r="F336" s="140"/>
      <c r="G336" s="140"/>
      <c r="H336" s="141"/>
      <c r="I336" s="140"/>
      <c r="J336" s="140"/>
      <c r="K336" s="140"/>
      <c r="L336" s="140"/>
      <c r="M336" s="651"/>
      <c r="N336" s="140"/>
      <c r="O336" s="140"/>
      <c r="P336" s="140"/>
      <c r="Q336" s="140"/>
      <c r="R336" s="140"/>
      <c r="S336" s="140"/>
      <c r="T336" s="140"/>
      <c r="U336" s="140"/>
      <c r="V336" s="140"/>
      <c r="W336" s="140"/>
      <c r="X336" s="140"/>
      <c r="Y336" s="140"/>
      <c r="Z336" s="140"/>
      <c r="AA336" s="140"/>
      <c r="AB336" s="140"/>
      <c r="AC336" s="140"/>
      <c r="AD336" s="140"/>
      <c r="AE336" s="140"/>
      <c r="AF336" s="140"/>
      <c r="AG336" s="140"/>
      <c r="AH336" s="140"/>
      <c r="AI336" s="140"/>
      <c r="AJ336" s="140"/>
      <c r="AK336" s="140"/>
      <c r="AL336" s="723"/>
      <c r="AM336" s="140"/>
      <c r="AN336" s="140"/>
      <c r="AO336" s="140"/>
      <c r="AP336" s="140"/>
      <c r="AQ336" s="538"/>
    </row>
    <row r="337" spans="1:43" s="47" customFormat="1" ht="20.25" x14ac:dyDescent="0.25">
      <c r="A337" s="185"/>
      <c r="B337" s="243">
        <v>11</v>
      </c>
      <c r="C337" s="147" t="s">
        <v>421</v>
      </c>
      <c r="D337" s="146"/>
      <c r="E337" s="146"/>
      <c r="F337" s="146"/>
      <c r="G337" s="146"/>
      <c r="H337" s="147"/>
      <c r="I337" s="146"/>
      <c r="J337" s="146"/>
      <c r="K337" s="146"/>
      <c r="L337" s="146"/>
      <c r="M337" s="652"/>
      <c r="N337" s="146"/>
      <c r="O337" s="146"/>
      <c r="P337" s="146"/>
      <c r="Q337" s="146"/>
      <c r="R337" s="146"/>
      <c r="S337" s="146"/>
      <c r="T337" s="146"/>
      <c r="U337" s="146"/>
      <c r="V337" s="146"/>
      <c r="W337" s="146"/>
      <c r="X337" s="146"/>
      <c r="Y337" s="146"/>
      <c r="Z337" s="146"/>
      <c r="AA337" s="146"/>
      <c r="AB337" s="146"/>
      <c r="AC337" s="146"/>
      <c r="AD337" s="146"/>
      <c r="AE337" s="146"/>
      <c r="AF337" s="146"/>
      <c r="AG337" s="146"/>
      <c r="AH337" s="146"/>
      <c r="AI337" s="146"/>
      <c r="AJ337" s="146"/>
      <c r="AK337" s="146"/>
      <c r="AL337" s="724"/>
      <c r="AM337" s="146"/>
      <c r="AN337" s="146"/>
      <c r="AO337" s="146"/>
      <c r="AP337" s="146"/>
      <c r="AQ337" s="524"/>
    </row>
    <row r="338" spans="1:43" s="47" customFormat="1" ht="20.25" x14ac:dyDescent="0.25">
      <c r="A338" s="20"/>
      <c r="B338" s="329"/>
      <c r="C338" s="795"/>
      <c r="D338" s="177"/>
      <c r="E338" s="795"/>
      <c r="F338" s="773"/>
      <c r="G338" s="344">
        <v>34</v>
      </c>
      <c r="H338" s="768" t="s">
        <v>422</v>
      </c>
      <c r="I338" s="189"/>
      <c r="J338" s="189"/>
      <c r="K338" s="189"/>
      <c r="L338" s="189"/>
      <c r="M338" s="653"/>
      <c r="N338" s="189"/>
      <c r="O338" s="189"/>
      <c r="P338" s="189"/>
      <c r="Q338" s="189"/>
      <c r="R338" s="189"/>
      <c r="S338" s="189"/>
      <c r="T338" s="189"/>
      <c r="U338" s="189"/>
      <c r="V338" s="189"/>
      <c r="W338" s="189"/>
      <c r="X338" s="189"/>
      <c r="Y338" s="189"/>
      <c r="Z338" s="189"/>
      <c r="AA338" s="189"/>
      <c r="AB338" s="189"/>
      <c r="AC338" s="189"/>
      <c r="AD338" s="189"/>
      <c r="AE338" s="189"/>
      <c r="AF338" s="189"/>
      <c r="AG338" s="189"/>
      <c r="AH338" s="189"/>
      <c r="AI338" s="189"/>
      <c r="AJ338" s="189"/>
      <c r="AK338" s="189"/>
      <c r="AL338" s="713"/>
      <c r="AM338" s="189"/>
      <c r="AN338" s="189"/>
      <c r="AO338" s="189"/>
      <c r="AP338" s="189"/>
      <c r="AQ338" s="521"/>
    </row>
    <row r="339" spans="1:43" s="28" customFormat="1" ht="97.5" customHeight="1" x14ac:dyDescent="0.25">
      <c r="A339" s="20"/>
      <c r="B339" s="19"/>
      <c r="C339" s="775">
        <v>23</v>
      </c>
      <c r="D339" s="774" t="s">
        <v>423</v>
      </c>
      <c r="E339" s="80">
        <v>0.92</v>
      </c>
      <c r="F339" s="80">
        <v>0.85</v>
      </c>
      <c r="G339" s="23"/>
      <c r="H339" s="775">
        <v>122</v>
      </c>
      <c r="I339" s="774" t="s">
        <v>424</v>
      </c>
      <c r="J339" s="11">
        <v>0</v>
      </c>
      <c r="K339" s="11">
        <v>1</v>
      </c>
      <c r="L339" s="975" t="s">
        <v>425</v>
      </c>
      <c r="M339" s="854" t="s">
        <v>426</v>
      </c>
      <c r="N339" s="849" t="s">
        <v>427</v>
      </c>
      <c r="O339" s="15" t="s">
        <v>38</v>
      </c>
      <c r="P339" s="26">
        <v>0</v>
      </c>
      <c r="Q339" s="26">
        <v>0</v>
      </c>
      <c r="R339" s="26">
        <v>0</v>
      </c>
      <c r="S339" s="26">
        <v>0</v>
      </c>
      <c r="T339" s="26">
        <v>0</v>
      </c>
      <c r="U339" s="26">
        <v>0</v>
      </c>
      <c r="V339" s="26">
        <v>0</v>
      </c>
      <c r="W339" s="26"/>
      <c r="X339" s="26"/>
      <c r="Y339" s="26"/>
      <c r="Z339" s="26">
        <v>0</v>
      </c>
      <c r="AA339" s="26"/>
      <c r="AB339" s="26">
        <v>0</v>
      </c>
      <c r="AC339" s="26">
        <v>0</v>
      </c>
      <c r="AD339" s="26"/>
      <c r="AE339" s="26"/>
      <c r="AF339" s="26"/>
      <c r="AG339" s="26"/>
      <c r="AH339" s="26"/>
      <c r="AI339" s="26"/>
      <c r="AJ339" s="26">
        <v>0</v>
      </c>
      <c r="AK339" s="26">
        <v>0</v>
      </c>
      <c r="AL339" s="127">
        <f>10000000+20000000+25000000</f>
        <v>55000000</v>
      </c>
      <c r="AM339" s="14"/>
      <c r="AN339" s="26">
        <v>0</v>
      </c>
      <c r="AO339" s="27">
        <v>0</v>
      </c>
      <c r="AP339" s="27"/>
      <c r="AQ339" s="26">
        <f>P339+Q339+R339+S339+T339+U339+V339+W339+X339+Y339+Z339+AA339+AB339+AC339+AD339+AE339+AF339+AG339+AH339+AI339+AJ339+AK339+AL339+AM339+AN339+AP339+AO339</f>
        <v>55000000</v>
      </c>
    </row>
    <row r="340" spans="1:43" s="28" customFormat="1" ht="71.25" x14ac:dyDescent="0.25">
      <c r="A340" s="20"/>
      <c r="B340" s="19"/>
      <c r="C340" s="775"/>
      <c r="D340" s="774"/>
      <c r="E340" s="80"/>
      <c r="F340" s="80"/>
      <c r="G340" s="29"/>
      <c r="H340" s="775">
        <v>123</v>
      </c>
      <c r="I340" s="774" t="s">
        <v>428</v>
      </c>
      <c r="J340" s="11" t="s">
        <v>30</v>
      </c>
      <c r="K340" s="11">
        <v>4</v>
      </c>
      <c r="L340" s="976"/>
      <c r="M340" s="855"/>
      <c r="N340" s="857"/>
      <c r="O340" s="15" t="s">
        <v>38</v>
      </c>
      <c r="P340" s="81"/>
      <c r="Q340" s="81"/>
      <c r="R340" s="81"/>
      <c r="S340" s="81"/>
      <c r="T340" s="81"/>
      <c r="U340" s="81"/>
      <c r="V340" s="81"/>
      <c r="W340" s="81"/>
      <c r="X340" s="81"/>
      <c r="Y340" s="81"/>
      <c r="Z340" s="81"/>
      <c r="AA340" s="81"/>
      <c r="AB340" s="81"/>
      <c r="AC340" s="81"/>
      <c r="AD340" s="81"/>
      <c r="AE340" s="81"/>
      <c r="AF340" s="81"/>
      <c r="AG340" s="81"/>
      <c r="AH340" s="81"/>
      <c r="AI340" s="81"/>
      <c r="AJ340" s="81"/>
      <c r="AK340" s="81"/>
      <c r="AL340" s="720">
        <f>20000000+60000000-10000000</f>
        <v>70000000</v>
      </c>
      <c r="AM340" s="79"/>
      <c r="AN340" s="81"/>
      <c r="AO340" s="82"/>
      <c r="AP340" s="82"/>
      <c r="AQ340" s="26">
        <f>P340+Q340+R340+S340+T340+U340+V340+W340+X340+Y340+Z340+AA340+AB340+AC340+AD340+AE340+AF340+AG340+AH340+AI340+AJ340+AK340+AL340+AM340+AN340+AP340+AO340</f>
        <v>70000000</v>
      </c>
    </row>
    <row r="341" spans="1:43" s="28" customFormat="1" ht="57" x14ac:dyDescent="0.25">
      <c r="A341" s="20"/>
      <c r="B341" s="19"/>
      <c r="C341" s="775"/>
      <c r="D341" s="774"/>
      <c r="E341" s="80"/>
      <c r="F341" s="80"/>
      <c r="G341" s="29"/>
      <c r="H341" s="775">
        <v>124</v>
      </c>
      <c r="I341" s="774" t="s">
        <v>429</v>
      </c>
      <c r="J341" s="11">
        <v>40</v>
      </c>
      <c r="K341" s="11">
        <v>150</v>
      </c>
      <c r="L341" s="976"/>
      <c r="M341" s="855"/>
      <c r="N341" s="857"/>
      <c r="O341" s="15" t="s">
        <v>34</v>
      </c>
      <c r="P341" s="81"/>
      <c r="Q341" s="81"/>
      <c r="R341" s="81"/>
      <c r="S341" s="81"/>
      <c r="T341" s="81"/>
      <c r="U341" s="81"/>
      <c r="V341" s="81"/>
      <c r="W341" s="81"/>
      <c r="X341" s="81"/>
      <c r="Y341" s="81"/>
      <c r="Z341" s="81"/>
      <c r="AA341" s="81"/>
      <c r="AB341" s="81"/>
      <c r="AC341" s="81"/>
      <c r="AD341" s="81"/>
      <c r="AE341" s="81"/>
      <c r="AF341" s="81"/>
      <c r="AG341" s="81"/>
      <c r="AH341" s="81"/>
      <c r="AI341" s="81"/>
      <c r="AJ341" s="81"/>
      <c r="AK341" s="81"/>
      <c r="AL341" s="720">
        <f>20000000+35000000-19000000+50000000</f>
        <v>86000000</v>
      </c>
      <c r="AM341" s="79"/>
      <c r="AN341" s="81"/>
      <c r="AO341" s="82"/>
      <c r="AP341" s="82"/>
      <c r="AQ341" s="26">
        <f>P341+Q341+R341+S341+T341+U341+V341+W341+X341+Y341+Z341+AA341+AB341+AC341+AD341+AE341+AF341+AG341+AH341+AI341+AJ341+AK341+AL341+AM341+AN341+AP341+AO341</f>
        <v>86000000</v>
      </c>
    </row>
    <row r="342" spans="1:43" s="28" customFormat="1" ht="108" customHeight="1" x14ac:dyDescent="0.25">
      <c r="A342" s="20"/>
      <c r="B342" s="19"/>
      <c r="C342" s="775"/>
      <c r="D342" s="774"/>
      <c r="E342" s="80"/>
      <c r="F342" s="80"/>
      <c r="G342" s="29"/>
      <c r="H342" s="775">
        <v>126</v>
      </c>
      <c r="I342" s="774" t="s">
        <v>430</v>
      </c>
      <c r="J342" s="11" t="s">
        <v>30</v>
      </c>
      <c r="K342" s="11" t="s">
        <v>920</v>
      </c>
      <c r="L342" s="976"/>
      <c r="M342" s="855"/>
      <c r="N342" s="857"/>
      <c r="O342" s="15" t="s">
        <v>38</v>
      </c>
      <c r="P342" s="81"/>
      <c r="Q342" s="81"/>
      <c r="R342" s="81"/>
      <c r="S342" s="81"/>
      <c r="T342" s="81"/>
      <c r="U342" s="81"/>
      <c r="V342" s="81"/>
      <c r="W342" s="81"/>
      <c r="X342" s="81"/>
      <c r="Y342" s="81"/>
      <c r="Z342" s="81"/>
      <c r="AA342" s="81"/>
      <c r="AB342" s="81"/>
      <c r="AC342" s="81"/>
      <c r="AD342" s="81"/>
      <c r="AE342" s="81"/>
      <c r="AF342" s="81"/>
      <c r="AG342" s="81"/>
      <c r="AH342" s="81"/>
      <c r="AI342" s="81"/>
      <c r="AJ342" s="81"/>
      <c r="AK342" s="81"/>
      <c r="AL342" s="720">
        <f>10000000+15000000+19000000</f>
        <v>44000000</v>
      </c>
      <c r="AM342" s="79"/>
      <c r="AN342" s="81"/>
      <c r="AO342" s="82"/>
      <c r="AP342" s="82"/>
      <c r="AQ342" s="26">
        <f>P342+Q342+R342+S342+T342+U342+V342+W342+X342+Y342+Z342+AA342+AB342+AC342+AD342+AE342+AF342+AG342+AH342+AI342+AJ342+AK342+AL342+AM342+AN342+AP342+AO342</f>
        <v>44000000</v>
      </c>
    </row>
    <row r="343" spans="1:43" s="28" customFormat="1" ht="65.25" customHeight="1" x14ac:dyDescent="0.25">
      <c r="A343" s="20"/>
      <c r="B343" s="19"/>
      <c r="C343" s="775">
        <v>23</v>
      </c>
      <c r="D343" s="774" t="s">
        <v>423</v>
      </c>
      <c r="E343" s="80">
        <v>0.92</v>
      </c>
      <c r="F343" s="80">
        <v>0.85</v>
      </c>
      <c r="G343" s="30"/>
      <c r="H343" s="775">
        <v>125</v>
      </c>
      <c r="I343" s="774" t="s">
        <v>431</v>
      </c>
      <c r="J343" s="24">
        <v>1200</v>
      </c>
      <c r="K343" s="24">
        <v>750</v>
      </c>
      <c r="L343" s="977"/>
      <c r="M343" s="856"/>
      <c r="N343" s="850"/>
      <c r="O343" s="760" t="s">
        <v>34</v>
      </c>
      <c r="P343" s="81"/>
      <c r="Q343" s="81"/>
      <c r="R343" s="81"/>
      <c r="S343" s="81"/>
      <c r="T343" s="81"/>
      <c r="U343" s="81"/>
      <c r="V343" s="81"/>
      <c r="W343" s="81"/>
      <c r="X343" s="81"/>
      <c r="Y343" s="81"/>
      <c r="Z343" s="81"/>
      <c r="AA343" s="81"/>
      <c r="AB343" s="81"/>
      <c r="AC343" s="81"/>
      <c r="AD343" s="81"/>
      <c r="AE343" s="81"/>
      <c r="AF343" s="81"/>
      <c r="AG343" s="81"/>
      <c r="AH343" s="81"/>
      <c r="AI343" s="81"/>
      <c r="AJ343" s="81"/>
      <c r="AK343" s="81"/>
      <c r="AL343" s="733">
        <f>20000000+20000000+15000000-15000000</f>
        <v>40000000</v>
      </c>
      <c r="AM343" s="83"/>
      <c r="AN343" s="81"/>
      <c r="AO343" s="82"/>
      <c r="AP343" s="82"/>
      <c r="AQ343" s="26">
        <f>P343+Q343+R343+S343+T343+U343+V343+W343+X343+Y343+Z343+AA343+AB343+AC343+AD343+AE343+AF343+AG343+AH343+AI343+AJ343+AK343+AL343+AM343+AN343+AP343+AO343</f>
        <v>40000000</v>
      </c>
    </row>
    <row r="344" spans="1:43" ht="15" x14ac:dyDescent="0.25">
      <c r="A344" s="20"/>
      <c r="B344" s="336"/>
      <c r="C344" s="760"/>
      <c r="D344" s="763"/>
      <c r="E344" s="760"/>
      <c r="F344" s="760"/>
      <c r="G344" s="216"/>
      <c r="H344" s="217"/>
      <c r="I344" s="216"/>
      <c r="J344" s="387"/>
      <c r="K344" s="387"/>
      <c r="L344" s="387"/>
      <c r="M344" s="299"/>
      <c r="N344" s="216"/>
      <c r="O344" s="217"/>
      <c r="P344" s="300">
        <f>SUM(P339:P343)</f>
        <v>0</v>
      </c>
      <c r="Q344" s="300">
        <f t="shared" ref="Q344:AK344" si="160">SUM(Q339:Q343)</f>
        <v>0</v>
      </c>
      <c r="R344" s="300">
        <f t="shared" si="160"/>
        <v>0</v>
      </c>
      <c r="S344" s="300">
        <f t="shared" si="160"/>
        <v>0</v>
      </c>
      <c r="T344" s="300">
        <f t="shared" si="160"/>
        <v>0</v>
      </c>
      <c r="U344" s="300">
        <f t="shared" si="160"/>
        <v>0</v>
      </c>
      <c r="V344" s="300">
        <f t="shared" si="160"/>
        <v>0</v>
      </c>
      <c r="W344" s="300">
        <f t="shared" si="160"/>
        <v>0</v>
      </c>
      <c r="X344" s="300">
        <f t="shared" si="160"/>
        <v>0</v>
      </c>
      <c r="Y344" s="300">
        <f t="shared" si="160"/>
        <v>0</v>
      </c>
      <c r="Z344" s="300">
        <f t="shared" si="160"/>
        <v>0</v>
      </c>
      <c r="AA344" s="300">
        <f t="shared" si="160"/>
        <v>0</v>
      </c>
      <c r="AB344" s="300">
        <f t="shared" si="160"/>
        <v>0</v>
      </c>
      <c r="AC344" s="300">
        <f t="shared" si="160"/>
        <v>0</v>
      </c>
      <c r="AD344" s="300">
        <f t="shared" si="160"/>
        <v>0</v>
      </c>
      <c r="AE344" s="300">
        <f t="shared" si="160"/>
        <v>0</v>
      </c>
      <c r="AF344" s="300">
        <f t="shared" si="160"/>
        <v>0</v>
      </c>
      <c r="AG344" s="300">
        <f t="shared" si="160"/>
        <v>0</v>
      </c>
      <c r="AH344" s="300">
        <f t="shared" si="160"/>
        <v>0</v>
      </c>
      <c r="AI344" s="300">
        <f t="shared" si="160"/>
        <v>0</v>
      </c>
      <c r="AJ344" s="300">
        <f t="shared" si="160"/>
        <v>0</v>
      </c>
      <c r="AK344" s="300">
        <f t="shared" si="160"/>
        <v>0</v>
      </c>
      <c r="AL344" s="300">
        <f t="shared" ref="AL344:AQ344" si="161">SUM(AL339:AL343)</f>
        <v>295000000</v>
      </c>
      <c r="AM344" s="300">
        <f t="shared" si="161"/>
        <v>0</v>
      </c>
      <c r="AN344" s="300">
        <f t="shared" si="161"/>
        <v>0</v>
      </c>
      <c r="AO344" s="300">
        <f t="shared" si="161"/>
        <v>0</v>
      </c>
      <c r="AP344" s="300">
        <f t="shared" si="161"/>
        <v>0</v>
      </c>
      <c r="AQ344" s="300">
        <f t="shared" si="161"/>
        <v>295000000</v>
      </c>
    </row>
    <row r="345" spans="1:43" ht="15" x14ac:dyDescent="0.25">
      <c r="A345" s="152"/>
      <c r="B345" s="388"/>
      <c r="C345" s="222"/>
      <c r="D345" s="221"/>
      <c r="E345" s="222"/>
      <c r="F345" s="222"/>
      <c r="G345" s="221"/>
      <c r="H345" s="222"/>
      <c r="I345" s="221"/>
      <c r="J345" s="389"/>
      <c r="K345" s="389"/>
      <c r="L345" s="389"/>
      <c r="M345" s="390"/>
      <c r="N345" s="221"/>
      <c r="O345" s="222"/>
      <c r="P345" s="391">
        <f>P344</f>
        <v>0</v>
      </c>
      <c r="Q345" s="391">
        <f t="shared" ref="Q345:AK346" si="162">Q344</f>
        <v>0</v>
      </c>
      <c r="R345" s="391">
        <f t="shared" si="162"/>
        <v>0</v>
      </c>
      <c r="S345" s="391">
        <f t="shared" si="162"/>
        <v>0</v>
      </c>
      <c r="T345" s="391">
        <f t="shared" si="162"/>
        <v>0</v>
      </c>
      <c r="U345" s="391">
        <f t="shared" si="162"/>
        <v>0</v>
      </c>
      <c r="V345" s="391">
        <f t="shared" si="162"/>
        <v>0</v>
      </c>
      <c r="W345" s="391">
        <f t="shared" si="162"/>
        <v>0</v>
      </c>
      <c r="X345" s="391">
        <f t="shared" si="162"/>
        <v>0</v>
      </c>
      <c r="Y345" s="391">
        <f t="shared" si="162"/>
        <v>0</v>
      </c>
      <c r="Z345" s="391">
        <f t="shared" si="162"/>
        <v>0</v>
      </c>
      <c r="AA345" s="391">
        <f t="shared" si="162"/>
        <v>0</v>
      </c>
      <c r="AB345" s="391">
        <f t="shared" si="162"/>
        <v>0</v>
      </c>
      <c r="AC345" s="391">
        <f t="shared" si="162"/>
        <v>0</v>
      </c>
      <c r="AD345" s="391">
        <f t="shared" si="162"/>
        <v>0</v>
      </c>
      <c r="AE345" s="391">
        <f t="shared" si="162"/>
        <v>0</v>
      </c>
      <c r="AF345" s="391">
        <f t="shared" si="162"/>
        <v>0</v>
      </c>
      <c r="AG345" s="391">
        <f t="shared" si="162"/>
        <v>0</v>
      </c>
      <c r="AH345" s="391">
        <f t="shared" si="162"/>
        <v>0</v>
      </c>
      <c r="AI345" s="391">
        <f t="shared" si="162"/>
        <v>0</v>
      </c>
      <c r="AJ345" s="391">
        <f t="shared" si="162"/>
        <v>0</v>
      </c>
      <c r="AK345" s="391">
        <f t="shared" si="162"/>
        <v>0</v>
      </c>
      <c r="AL345" s="391">
        <f t="shared" ref="AL345:AQ346" si="163">AL344</f>
        <v>295000000</v>
      </c>
      <c r="AM345" s="391">
        <f t="shared" si="163"/>
        <v>0</v>
      </c>
      <c r="AN345" s="391">
        <f t="shared" si="163"/>
        <v>0</v>
      </c>
      <c r="AO345" s="391">
        <f t="shared" si="163"/>
        <v>0</v>
      </c>
      <c r="AP345" s="391">
        <f t="shared" si="163"/>
        <v>0</v>
      </c>
      <c r="AQ345" s="391">
        <f t="shared" si="163"/>
        <v>295000000</v>
      </c>
    </row>
    <row r="346" spans="1:43" ht="15" x14ac:dyDescent="0.25">
      <c r="A346" s="392"/>
      <c r="B346" s="294"/>
      <c r="C346" s="295"/>
      <c r="D346" s="294"/>
      <c r="E346" s="295"/>
      <c r="F346" s="295"/>
      <c r="G346" s="294"/>
      <c r="H346" s="295"/>
      <c r="I346" s="294"/>
      <c r="J346" s="393"/>
      <c r="K346" s="393"/>
      <c r="L346" s="393"/>
      <c r="M346" s="394"/>
      <c r="N346" s="294"/>
      <c r="O346" s="295"/>
      <c r="P346" s="395">
        <f>P345</f>
        <v>0</v>
      </c>
      <c r="Q346" s="395">
        <f t="shared" si="162"/>
        <v>0</v>
      </c>
      <c r="R346" s="395">
        <f t="shared" si="162"/>
        <v>0</v>
      </c>
      <c r="S346" s="395">
        <f t="shared" si="162"/>
        <v>0</v>
      </c>
      <c r="T346" s="395">
        <f t="shared" si="162"/>
        <v>0</v>
      </c>
      <c r="U346" s="395">
        <f t="shared" si="162"/>
        <v>0</v>
      </c>
      <c r="V346" s="395">
        <f t="shared" si="162"/>
        <v>0</v>
      </c>
      <c r="W346" s="395">
        <f t="shared" si="162"/>
        <v>0</v>
      </c>
      <c r="X346" s="395">
        <f t="shared" si="162"/>
        <v>0</v>
      </c>
      <c r="Y346" s="395">
        <f t="shared" si="162"/>
        <v>0</v>
      </c>
      <c r="Z346" s="395">
        <f t="shared" si="162"/>
        <v>0</v>
      </c>
      <c r="AA346" s="395">
        <f t="shared" si="162"/>
        <v>0</v>
      </c>
      <c r="AB346" s="395">
        <f t="shared" si="162"/>
        <v>0</v>
      </c>
      <c r="AC346" s="395">
        <f t="shared" si="162"/>
        <v>0</v>
      </c>
      <c r="AD346" s="395">
        <f t="shared" si="162"/>
        <v>0</v>
      </c>
      <c r="AE346" s="395">
        <f t="shared" si="162"/>
        <v>0</v>
      </c>
      <c r="AF346" s="395">
        <f t="shared" si="162"/>
        <v>0</v>
      </c>
      <c r="AG346" s="395">
        <f t="shared" si="162"/>
        <v>0</v>
      </c>
      <c r="AH346" s="395">
        <f t="shared" si="162"/>
        <v>0</v>
      </c>
      <c r="AI346" s="395">
        <f t="shared" si="162"/>
        <v>0</v>
      </c>
      <c r="AJ346" s="395">
        <f t="shared" si="162"/>
        <v>0</v>
      </c>
      <c r="AK346" s="395">
        <f t="shared" si="162"/>
        <v>0</v>
      </c>
      <c r="AL346" s="395">
        <f t="shared" si="163"/>
        <v>295000000</v>
      </c>
      <c r="AM346" s="395">
        <f t="shared" si="163"/>
        <v>0</v>
      </c>
      <c r="AN346" s="395">
        <f t="shared" si="163"/>
        <v>0</v>
      </c>
      <c r="AO346" s="395">
        <f t="shared" si="163"/>
        <v>0</v>
      </c>
      <c r="AP346" s="395">
        <f t="shared" si="163"/>
        <v>0</v>
      </c>
      <c r="AQ346" s="395">
        <f t="shared" si="163"/>
        <v>295000000</v>
      </c>
    </row>
    <row r="347" spans="1:43" ht="15" x14ac:dyDescent="0.25">
      <c r="A347" s="171"/>
      <c r="B347" s="171"/>
      <c r="C347" s="172"/>
      <c r="D347" s="171"/>
      <c r="E347" s="172"/>
      <c r="F347" s="172"/>
      <c r="G347" s="171"/>
      <c r="H347" s="172"/>
      <c r="I347" s="171"/>
      <c r="J347" s="173"/>
      <c r="K347" s="173"/>
      <c r="L347" s="173"/>
      <c r="M347" s="174"/>
      <c r="N347" s="171"/>
      <c r="O347" s="172"/>
      <c r="P347" s="175">
        <f>+P346+P334+P301</f>
        <v>0</v>
      </c>
      <c r="Q347" s="175">
        <f t="shared" ref="Q347:AK347" si="164">+Q346+Q334+Q301</f>
        <v>0</v>
      </c>
      <c r="R347" s="175">
        <f t="shared" si="164"/>
        <v>0</v>
      </c>
      <c r="S347" s="175">
        <f t="shared" si="164"/>
        <v>0</v>
      </c>
      <c r="T347" s="175">
        <f t="shared" si="164"/>
        <v>0</v>
      </c>
      <c r="U347" s="175">
        <f t="shared" si="164"/>
        <v>0</v>
      </c>
      <c r="V347" s="175">
        <f t="shared" si="164"/>
        <v>0</v>
      </c>
      <c r="W347" s="175">
        <f t="shared" si="164"/>
        <v>0</v>
      </c>
      <c r="X347" s="175">
        <f t="shared" si="164"/>
        <v>0</v>
      </c>
      <c r="Y347" s="175">
        <f t="shared" si="164"/>
        <v>0</v>
      </c>
      <c r="Z347" s="175">
        <f t="shared" si="164"/>
        <v>0</v>
      </c>
      <c r="AA347" s="175">
        <f t="shared" si="164"/>
        <v>0</v>
      </c>
      <c r="AB347" s="175">
        <f t="shared" si="164"/>
        <v>0</v>
      </c>
      <c r="AC347" s="175">
        <f t="shared" si="164"/>
        <v>0</v>
      </c>
      <c r="AD347" s="175">
        <f t="shared" si="164"/>
        <v>0</v>
      </c>
      <c r="AE347" s="175">
        <f t="shared" si="164"/>
        <v>0</v>
      </c>
      <c r="AF347" s="175">
        <f t="shared" si="164"/>
        <v>0</v>
      </c>
      <c r="AG347" s="175">
        <f t="shared" si="164"/>
        <v>0</v>
      </c>
      <c r="AH347" s="175">
        <f t="shared" si="164"/>
        <v>0</v>
      </c>
      <c r="AI347" s="175">
        <f t="shared" si="164"/>
        <v>0</v>
      </c>
      <c r="AJ347" s="175">
        <f t="shared" si="164"/>
        <v>0</v>
      </c>
      <c r="AK347" s="175">
        <f t="shared" si="164"/>
        <v>0</v>
      </c>
      <c r="AL347" s="711">
        <f t="shared" ref="AL347:AQ347" si="165">+AL346+AL334+AL301</f>
        <v>2998844406</v>
      </c>
      <c r="AM347" s="175">
        <f t="shared" si="165"/>
        <v>0</v>
      </c>
      <c r="AN347" s="175">
        <f t="shared" si="165"/>
        <v>0</v>
      </c>
      <c r="AO347" s="175">
        <f t="shared" si="165"/>
        <v>0</v>
      </c>
      <c r="AP347" s="175">
        <f t="shared" si="165"/>
        <v>0</v>
      </c>
      <c r="AQ347" s="712">
        <f t="shared" si="165"/>
        <v>2998844406</v>
      </c>
    </row>
    <row r="348" spans="1:43" s="28" customFormat="1" ht="15" x14ac:dyDescent="0.25">
      <c r="A348" s="176"/>
      <c r="B348" s="177"/>
      <c r="C348" s="795"/>
      <c r="D348" s="177"/>
      <c r="E348" s="795"/>
      <c r="F348" s="795"/>
      <c r="G348" s="177"/>
      <c r="H348" s="795"/>
      <c r="I348" s="177"/>
      <c r="J348" s="178"/>
      <c r="K348" s="178"/>
      <c r="L348" s="178"/>
      <c r="M348" s="179"/>
      <c r="N348" s="177"/>
      <c r="O348" s="795"/>
      <c r="P348" s="180"/>
      <c r="Q348" s="180"/>
      <c r="R348" s="180"/>
      <c r="S348" s="180"/>
      <c r="T348" s="180"/>
      <c r="U348" s="180"/>
      <c r="V348" s="180"/>
      <c r="W348" s="180"/>
      <c r="X348" s="180"/>
      <c r="Y348" s="180"/>
      <c r="Z348" s="180"/>
      <c r="AA348" s="180"/>
      <c r="AB348" s="180"/>
      <c r="AC348" s="180"/>
      <c r="AD348" s="180"/>
      <c r="AE348" s="180"/>
      <c r="AF348" s="180"/>
      <c r="AG348" s="180"/>
      <c r="AH348" s="180"/>
      <c r="AI348" s="180"/>
      <c r="AJ348" s="180"/>
      <c r="AK348" s="180"/>
      <c r="AL348" s="182"/>
      <c r="AM348" s="180"/>
      <c r="AN348" s="180"/>
      <c r="AO348" s="180"/>
      <c r="AP348" s="180"/>
      <c r="AQ348" s="86"/>
    </row>
    <row r="349" spans="1:43" ht="20.25" x14ac:dyDescent="0.25">
      <c r="A349" s="134" t="s">
        <v>432</v>
      </c>
      <c r="B349" s="135"/>
      <c r="C349" s="136"/>
      <c r="D349" s="135"/>
      <c r="E349" s="135"/>
      <c r="F349" s="135"/>
      <c r="G349" s="135"/>
      <c r="H349" s="136"/>
      <c r="I349" s="135"/>
      <c r="J349" s="135"/>
      <c r="K349" s="135"/>
      <c r="L349" s="135"/>
      <c r="M349" s="650"/>
      <c r="N349" s="135"/>
      <c r="O349" s="136"/>
      <c r="P349" s="135"/>
      <c r="Q349" s="135"/>
      <c r="R349" s="135"/>
      <c r="S349" s="135"/>
      <c r="T349" s="135"/>
      <c r="U349" s="135"/>
      <c r="V349" s="135"/>
      <c r="W349" s="135"/>
      <c r="X349" s="135"/>
      <c r="Y349" s="135"/>
      <c r="Z349" s="135"/>
      <c r="AA349" s="135"/>
      <c r="AB349" s="135"/>
      <c r="AC349" s="135"/>
      <c r="AD349" s="135"/>
      <c r="AE349" s="135"/>
      <c r="AF349" s="135"/>
      <c r="AG349" s="135"/>
      <c r="AH349" s="135"/>
      <c r="AI349" s="135"/>
      <c r="AJ349" s="135"/>
      <c r="AK349" s="135"/>
      <c r="AL349" s="137"/>
      <c r="AM349" s="138"/>
      <c r="AN349" s="135"/>
      <c r="AO349" s="135"/>
      <c r="AP349" s="135"/>
      <c r="AQ349" s="564" t="s">
        <v>0</v>
      </c>
    </row>
    <row r="350" spans="1:43" ht="15" x14ac:dyDescent="0.25">
      <c r="A350" s="139">
        <v>5</v>
      </c>
      <c r="B350" s="140" t="s">
        <v>26</v>
      </c>
      <c r="C350" s="141"/>
      <c r="D350" s="140"/>
      <c r="E350" s="140"/>
      <c r="F350" s="140"/>
      <c r="G350" s="140"/>
      <c r="H350" s="141"/>
      <c r="I350" s="140"/>
      <c r="J350" s="140"/>
      <c r="K350" s="140"/>
      <c r="L350" s="140"/>
      <c r="M350" s="651"/>
      <c r="N350" s="140"/>
      <c r="O350" s="140"/>
      <c r="P350" s="140"/>
      <c r="Q350" s="140"/>
      <c r="R350" s="140"/>
      <c r="S350" s="140"/>
      <c r="T350" s="140"/>
      <c r="U350" s="140"/>
      <c r="V350" s="140"/>
      <c r="W350" s="140"/>
      <c r="X350" s="140"/>
      <c r="Y350" s="140"/>
      <c r="Z350" s="140"/>
      <c r="AA350" s="140"/>
      <c r="AB350" s="140"/>
      <c r="AC350" s="140"/>
      <c r="AD350" s="140"/>
      <c r="AE350" s="140"/>
      <c r="AF350" s="140"/>
      <c r="AG350" s="140"/>
      <c r="AH350" s="140"/>
      <c r="AI350" s="140"/>
      <c r="AJ350" s="140"/>
      <c r="AK350" s="140"/>
      <c r="AL350" s="142"/>
      <c r="AM350" s="140"/>
      <c r="AN350" s="140"/>
      <c r="AO350" s="140"/>
      <c r="AP350" s="140"/>
      <c r="AQ350" s="538"/>
    </row>
    <row r="351" spans="1:43" s="47" customFormat="1" ht="20.25" x14ac:dyDescent="0.25">
      <c r="A351" s="185"/>
      <c r="B351" s="243">
        <v>26</v>
      </c>
      <c r="C351" s="147" t="s">
        <v>52</v>
      </c>
      <c r="D351" s="146"/>
      <c r="E351" s="146"/>
      <c r="F351" s="146"/>
      <c r="G351" s="146"/>
      <c r="H351" s="147"/>
      <c r="I351" s="146"/>
      <c r="J351" s="146"/>
      <c r="K351" s="146"/>
      <c r="L351" s="146"/>
      <c r="M351" s="652"/>
      <c r="N351" s="146"/>
      <c r="O351" s="146"/>
      <c r="P351" s="146"/>
      <c r="Q351" s="146"/>
      <c r="R351" s="146"/>
      <c r="S351" s="146"/>
      <c r="T351" s="146"/>
      <c r="U351" s="146"/>
      <c r="V351" s="146"/>
      <c r="W351" s="146"/>
      <c r="X351" s="146"/>
      <c r="Y351" s="146"/>
      <c r="Z351" s="146"/>
      <c r="AA351" s="146"/>
      <c r="AB351" s="146"/>
      <c r="AC351" s="146"/>
      <c r="AD351" s="146"/>
      <c r="AE351" s="146"/>
      <c r="AF351" s="146"/>
      <c r="AG351" s="146"/>
      <c r="AH351" s="146"/>
      <c r="AI351" s="146"/>
      <c r="AJ351" s="146"/>
      <c r="AK351" s="146"/>
      <c r="AL351" s="148"/>
      <c r="AM351" s="146"/>
      <c r="AN351" s="146"/>
      <c r="AO351" s="146"/>
      <c r="AP351" s="146"/>
      <c r="AQ351" s="524"/>
    </row>
    <row r="352" spans="1:43" s="47" customFormat="1" ht="20.25" x14ac:dyDescent="0.25">
      <c r="A352" s="20"/>
      <c r="B352" s="185"/>
      <c r="C352" s="795"/>
      <c r="D352" s="177"/>
      <c r="E352" s="795"/>
      <c r="F352" s="773"/>
      <c r="G352" s="344">
        <v>83</v>
      </c>
      <c r="H352" s="902" t="s">
        <v>53</v>
      </c>
      <c r="I352" s="902"/>
      <c r="J352" s="902"/>
      <c r="K352" s="902"/>
      <c r="L352" s="902"/>
      <c r="M352" s="902"/>
      <c r="N352" s="902"/>
      <c r="O352" s="189"/>
      <c r="P352" s="189"/>
      <c r="Q352" s="189"/>
      <c r="R352" s="189"/>
      <c r="S352" s="189"/>
      <c r="T352" s="189"/>
      <c r="U352" s="189"/>
      <c r="V352" s="189"/>
      <c r="W352" s="189"/>
      <c r="X352" s="189"/>
      <c r="Y352" s="189"/>
      <c r="Z352" s="189"/>
      <c r="AA352" s="189"/>
      <c r="AB352" s="189"/>
      <c r="AC352" s="189"/>
      <c r="AD352" s="189"/>
      <c r="AE352" s="189"/>
      <c r="AF352" s="189"/>
      <c r="AG352" s="189"/>
      <c r="AH352" s="189"/>
      <c r="AI352" s="189"/>
      <c r="AJ352" s="189"/>
      <c r="AK352" s="189"/>
      <c r="AL352" s="190"/>
      <c r="AM352" s="189"/>
      <c r="AN352" s="189"/>
      <c r="AO352" s="189"/>
      <c r="AP352" s="189"/>
      <c r="AQ352" s="521"/>
    </row>
    <row r="353" spans="1:43" s="28" customFormat="1" ht="78.75" customHeight="1" x14ac:dyDescent="0.25">
      <c r="A353" s="20"/>
      <c r="B353" s="20"/>
      <c r="C353" s="773">
        <v>37</v>
      </c>
      <c r="D353" s="774" t="s">
        <v>433</v>
      </c>
      <c r="E353" s="775" t="s">
        <v>55</v>
      </c>
      <c r="F353" s="775">
        <v>60</v>
      </c>
      <c r="G353" s="23"/>
      <c r="H353" s="775">
        <v>244</v>
      </c>
      <c r="I353" s="774" t="s">
        <v>434</v>
      </c>
      <c r="J353" s="24" t="s">
        <v>30</v>
      </c>
      <c r="K353" s="24">
        <v>12</v>
      </c>
      <c r="L353" s="25" t="s">
        <v>435</v>
      </c>
      <c r="M353" s="37" t="s">
        <v>436</v>
      </c>
      <c r="N353" s="774" t="s">
        <v>437</v>
      </c>
      <c r="O353" s="775" t="s">
        <v>34</v>
      </c>
      <c r="P353" s="26">
        <v>0</v>
      </c>
      <c r="Q353" s="26">
        <v>0</v>
      </c>
      <c r="R353" s="26">
        <v>0</v>
      </c>
      <c r="S353" s="26">
        <v>0</v>
      </c>
      <c r="T353" s="26">
        <v>0</v>
      </c>
      <c r="U353" s="26">
        <v>0</v>
      </c>
      <c r="V353" s="26">
        <v>0</v>
      </c>
      <c r="W353" s="26"/>
      <c r="X353" s="26"/>
      <c r="Y353" s="26"/>
      <c r="Z353" s="26">
        <v>0</v>
      </c>
      <c r="AA353" s="26"/>
      <c r="AB353" s="26">
        <v>0</v>
      </c>
      <c r="AC353" s="26">
        <v>0</v>
      </c>
      <c r="AD353" s="26"/>
      <c r="AE353" s="26"/>
      <c r="AF353" s="26"/>
      <c r="AG353" s="26"/>
      <c r="AH353" s="26"/>
      <c r="AI353" s="26"/>
      <c r="AJ353" s="26">
        <v>0</v>
      </c>
      <c r="AK353" s="26">
        <v>0</v>
      </c>
      <c r="AL353" s="112">
        <f>40000000+249534666+500000000+400000000-35000000</f>
        <v>1154534666</v>
      </c>
      <c r="AM353" s="10"/>
      <c r="AN353" s="26">
        <v>0</v>
      </c>
      <c r="AO353" s="27">
        <v>0</v>
      </c>
      <c r="AP353" s="27"/>
      <c r="AQ353" s="26">
        <f>P353+Q353+R353+S353+T353+U353+V353+W353+X353+Y353+Z353+AA353+AB353+AC353+AD353+AE353+AF353+AG353+AH353+AI353+AJ353+AK353+AL353+AM353+AN353+AP353+AO353</f>
        <v>1154534666</v>
      </c>
    </row>
    <row r="354" spans="1:43" s="28" customFormat="1" ht="66" customHeight="1" x14ac:dyDescent="0.25">
      <c r="A354" s="20"/>
      <c r="B354" s="20"/>
      <c r="C354" s="773">
        <v>37</v>
      </c>
      <c r="D354" s="774" t="s">
        <v>438</v>
      </c>
      <c r="E354" s="775" t="s">
        <v>55</v>
      </c>
      <c r="F354" s="775">
        <v>60</v>
      </c>
      <c r="G354" s="30"/>
      <c r="H354" s="775">
        <v>245</v>
      </c>
      <c r="I354" s="774" t="s">
        <v>439</v>
      </c>
      <c r="J354" s="24" t="s">
        <v>30</v>
      </c>
      <c r="K354" s="24">
        <v>1</v>
      </c>
      <c r="L354" s="25" t="s">
        <v>435</v>
      </c>
      <c r="M354" s="37" t="s">
        <v>440</v>
      </c>
      <c r="N354" s="774" t="s">
        <v>441</v>
      </c>
      <c r="O354" s="775" t="s">
        <v>38</v>
      </c>
      <c r="P354" s="26">
        <v>0</v>
      </c>
      <c r="Q354" s="26">
        <v>0</v>
      </c>
      <c r="R354" s="26">
        <v>0</v>
      </c>
      <c r="S354" s="26">
        <v>0</v>
      </c>
      <c r="T354" s="26">
        <v>0</v>
      </c>
      <c r="U354" s="26">
        <v>0</v>
      </c>
      <c r="V354" s="26">
        <v>0</v>
      </c>
      <c r="W354" s="26"/>
      <c r="X354" s="26"/>
      <c r="Y354" s="26"/>
      <c r="Z354" s="26">
        <v>0</v>
      </c>
      <c r="AA354" s="26"/>
      <c r="AB354" s="26">
        <v>0</v>
      </c>
      <c r="AC354" s="26">
        <v>0</v>
      </c>
      <c r="AD354" s="26"/>
      <c r="AE354" s="26"/>
      <c r="AF354" s="26"/>
      <c r="AG354" s="26"/>
      <c r="AH354" s="26"/>
      <c r="AI354" s="26"/>
      <c r="AJ354" s="26">
        <v>0</v>
      </c>
      <c r="AK354" s="26">
        <v>0</v>
      </c>
      <c r="AL354" s="112">
        <f>180000000+35000000</f>
        <v>215000000</v>
      </c>
      <c r="AM354" s="10"/>
      <c r="AN354" s="26">
        <v>0</v>
      </c>
      <c r="AO354" s="27">
        <v>0</v>
      </c>
      <c r="AP354" s="27"/>
      <c r="AQ354" s="26">
        <f>P354+Q354+R354+S354+T354+U354+V354+W354+X354+Y354+Z354+AA354+AB354+AC354+AD354+AE354+AF354+AG354+AH354+AI354+AJ354+AK354+AL354+AM354+AN354+AP354+AO354</f>
        <v>215000000</v>
      </c>
    </row>
    <row r="355" spans="1:43" ht="15" x14ac:dyDescent="0.25">
      <c r="A355" s="20"/>
      <c r="B355" s="152"/>
      <c r="C355" s="773"/>
      <c r="D355" s="153"/>
      <c r="E355" s="579"/>
      <c r="F355" s="579"/>
      <c r="G355" s="154"/>
      <c r="H355" s="155"/>
      <c r="I355" s="154"/>
      <c r="J355" s="156"/>
      <c r="K355" s="156"/>
      <c r="L355" s="156"/>
      <c r="M355" s="157"/>
      <c r="N355" s="154"/>
      <c r="O355" s="155"/>
      <c r="P355" s="158">
        <f>SUM(P353:P354)</f>
        <v>0</v>
      </c>
      <c r="Q355" s="158">
        <f t="shared" ref="Q355:AK355" si="166">SUM(Q353:Q354)</f>
        <v>0</v>
      </c>
      <c r="R355" s="158">
        <f t="shared" si="166"/>
        <v>0</v>
      </c>
      <c r="S355" s="158">
        <f t="shared" si="166"/>
        <v>0</v>
      </c>
      <c r="T355" s="158">
        <f t="shared" si="166"/>
        <v>0</v>
      </c>
      <c r="U355" s="158">
        <f t="shared" si="166"/>
        <v>0</v>
      </c>
      <c r="V355" s="158">
        <f t="shared" si="166"/>
        <v>0</v>
      </c>
      <c r="W355" s="158">
        <f t="shared" si="166"/>
        <v>0</v>
      </c>
      <c r="X355" s="158">
        <f t="shared" si="166"/>
        <v>0</v>
      </c>
      <c r="Y355" s="158">
        <f t="shared" si="166"/>
        <v>0</v>
      </c>
      <c r="Z355" s="158">
        <f t="shared" si="166"/>
        <v>0</v>
      </c>
      <c r="AA355" s="158">
        <f t="shared" si="166"/>
        <v>0</v>
      </c>
      <c r="AB355" s="158">
        <f t="shared" si="166"/>
        <v>0</v>
      </c>
      <c r="AC355" s="158">
        <f t="shared" si="166"/>
        <v>0</v>
      </c>
      <c r="AD355" s="158">
        <f t="shared" si="166"/>
        <v>0</v>
      </c>
      <c r="AE355" s="158">
        <f t="shared" si="166"/>
        <v>0</v>
      </c>
      <c r="AF355" s="158">
        <f t="shared" si="166"/>
        <v>0</v>
      </c>
      <c r="AG355" s="158">
        <f t="shared" si="166"/>
        <v>0</v>
      </c>
      <c r="AH355" s="158">
        <f t="shared" si="166"/>
        <v>0</v>
      </c>
      <c r="AI355" s="158">
        <f t="shared" si="166"/>
        <v>0</v>
      </c>
      <c r="AJ355" s="158">
        <f t="shared" si="166"/>
        <v>0</v>
      </c>
      <c r="AK355" s="158">
        <f t="shared" si="166"/>
        <v>0</v>
      </c>
      <c r="AL355" s="158">
        <f t="shared" ref="AL355:AP355" si="167">SUM(AL353:AL354)</f>
        <v>1369534666</v>
      </c>
      <c r="AM355" s="158">
        <f t="shared" si="167"/>
        <v>0</v>
      </c>
      <c r="AN355" s="158">
        <f t="shared" si="167"/>
        <v>0</v>
      </c>
      <c r="AO355" s="158">
        <f t="shared" si="167"/>
        <v>0</v>
      </c>
      <c r="AP355" s="158">
        <f t="shared" si="167"/>
        <v>0</v>
      </c>
      <c r="AQ355" s="396">
        <f>SUM(AQ353:AQ354)</f>
        <v>1369534666</v>
      </c>
    </row>
    <row r="356" spans="1:43" ht="15" x14ac:dyDescent="0.25">
      <c r="A356" s="20"/>
      <c r="B356" s="218"/>
      <c r="C356" s="162"/>
      <c r="D356" s="161"/>
      <c r="E356" s="162"/>
      <c r="F356" s="162"/>
      <c r="G356" s="161"/>
      <c r="H356" s="162"/>
      <c r="I356" s="161"/>
      <c r="J356" s="163"/>
      <c r="K356" s="163"/>
      <c r="L356" s="163"/>
      <c r="M356" s="164"/>
      <c r="N356" s="161"/>
      <c r="O356" s="162"/>
      <c r="P356" s="165">
        <f>P355</f>
        <v>0</v>
      </c>
      <c r="Q356" s="165">
        <f t="shared" ref="Q356:AK356" si="168">Q355</f>
        <v>0</v>
      </c>
      <c r="R356" s="165">
        <f t="shared" si="168"/>
        <v>0</v>
      </c>
      <c r="S356" s="165">
        <f t="shared" si="168"/>
        <v>0</v>
      </c>
      <c r="T356" s="165">
        <f t="shared" si="168"/>
        <v>0</v>
      </c>
      <c r="U356" s="165">
        <f t="shared" si="168"/>
        <v>0</v>
      </c>
      <c r="V356" s="165">
        <f t="shared" si="168"/>
        <v>0</v>
      </c>
      <c r="W356" s="165">
        <f t="shared" si="168"/>
        <v>0</v>
      </c>
      <c r="X356" s="165">
        <f t="shared" si="168"/>
        <v>0</v>
      </c>
      <c r="Y356" s="165">
        <f t="shared" si="168"/>
        <v>0</v>
      </c>
      <c r="Z356" s="165">
        <f t="shared" si="168"/>
        <v>0</v>
      </c>
      <c r="AA356" s="165">
        <f t="shared" si="168"/>
        <v>0</v>
      </c>
      <c r="AB356" s="165">
        <f t="shared" si="168"/>
        <v>0</v>
      </c>
      <c r="AC356" s="165">
        <f t="shared" si="168"/>
        <v>0</v>
      </c>
      <c r="AD356" s="165">
        <f t="shared" si="168"/>
        <v>0</v>
      </c>
      <c r="AE356" s="165">
        <f t="shared" si="168"/>
        <v>0</v>
      </c>
      <c r="AF356" s="165">
        <f t="shared" si="168"/>
        <v>0</v>
      </c>
      <c r="AG356" s="165">
        <f t="shared" si="168"/>
        <v>0</v>
      </c>
      <c r="AH356" s="165">
        <f t="shared" si="168"/>
        <v>0</v>
      </c>
      <c r="AI356" s="165">
        <f t="shared" si="168"/>
        <v>0</v>
      </c>
      <c r="AJ356" s="165">
        <f t="shared" si="168"/>
        <v>0</v>
      </c>
      <c r="AK356" s="165">
        <f t="shared" si="168"/>
        <v>0</v>
      </c>
      <c r="AL356" s="165">
        <f t="shared" ref="AL356:AP356" si="169">AL355</f>
        <v>1369534666</v>
      </c>
      <c r="AM356" s="165">
        <f t="shared" si="169"/>
        <v>0</v>
      </c>
      <c r="AN356" s="165">
        <f t="shared" si="169"/>
        <v>0</v>
      </c>
      <c r="AO356" s="165">
        <f t="shared" si="169"/>
        <v>0</v>
      </c>
      <c r="AP356" s="165">
        <f t="shared" si="169"/>
        <v>0</v>
      </c>
      <c r="AQ356" s="397">
        <f>AQ355</f>
        <v>1369534666</v>
      </c>
    </row>
    <row r="357" spans="1:43" s="28" customFormat="1" ht="15" x14ac:dyDescent="0.25">
      <c r="A357" s="20"/>
      <c r="B357" s="177"/>
      <c r="C357" s="795"/>
      <c r="D357" s="177"/>
      <c r="E357" s="795"/>
      <c r="F357" s="795"/>
      <c r="G357" s="177"/>
      <c r="H357" s="795"/>
      <c r="I357" s="177"/>
      <c r="J357" s="178"/>
      <c r="K357" s="178"/>
      <c r="L357" s="178"/>
      <c r="M357" s="179"/>
      <c r="N357" s="177"/>
      <c r="O357" s="795"/>
      <c r="P357" s="180"/>
      <c r="Q357" s="180"/>
      <c r="R357" s="180"/>
      <c r="S357" s="180"/>
      <c r="T357" s="180"/>
      <c r="U357" s="180"/>
      <c r="V357" s="180"/>
      <c r="W357" s="180"/>
      <c r="X357" s="180"/>
      <c r="Y357" s="180"/>
      <c r="Z357" s="180"/>
      <c r="AA357" s="180"/>
      <c r="AB357" s="180"/>
      <c r="AC357" s="180"/>
      <c r="AD357" s="180"/>
      <c r="AE357" s="180"/>
      <c r="AF357" s="180"/>
      <c r="AG357" s="180"/>
      <c r="AH357" s="180"/>
      <c r="AI357" s="180"/>
      <c r="AJ357" s="180"/>
      <c r="AK357" s="180"/>
      <c r="AL357" s="182"/>
      <c r="AM357" s="183"/>
      <c r="AN357" s="180"/>
      <c r="AO357" s="180"/>
      <c r="AP357" s="180"/>
      <c r="AQ357" s="26"/>
    </row>
    <row r="358" spans="1:43" s="28" customFormat="1" ht="15" x14ac:dyDescent="0.25">
      <c r="A358" s="20"/>
      <c r="B358" s="243">
        <v>28</v>
      </c>
      <c r="C358" s="147" t="s">
        <v>27</v>
      </c>
      <c r="D358" s="146"/>
      <c r="E358" s="146"/>
      <c r="F358" s="146"/>
      <c r="G358" s="146"/>
      <c r="H358" s="147"/>
      <c r="I358" s="146"/>
      <c r="J358" s="146"/>
      <c r="K358" s="146"/>
      <c r="L358" s="146"/>
      <c r="M358" s="652"/>
      <c r="N358" s="146"/>
      <c r="O358" s="146"/>
      <c r="P358" s="146"/>
      <c r="Q358" s="146"/>
      <c r="R358" s="146"/>
      <c r="S358" s="146"/>
      <c r="T358" s="146"/>
      <c r="U358" s="146"/>
      <c r="V358" s="146"/>
      <c r="W358" s="146"/>
      <c r="X358" s="146"/>
      <c r="Y358" s="146"/>
      <c r="Z358" s="146"/>
      <c r="AA358" s="146"/>
      <c r="AB358" s="146"/>
      <c r="AC358" s="146"/>
      <c r="AD358" s="146"/>
      <c r="AE358" s="146"/>
      <c r="AF358" s="146"/>
      <c r="AG358" s="146"/>
      <c r="AH358" s="146"/>
      <c r="AI358" s="146"/>
      <c r="AJ358" s="146"/>
      <c r="AK358" s="146"/>
      <c r="AL358" s="148"/>
      <c r="AM358" s="146"/>
      <c r="AN358" s="146"/>
      <c r="AO358" s="146"/>
      <c r="AP358" s="146"/>
      <c r="AQ358" s="524"/>
    </row>
    <row r="359" spans="1:43" s="28" customFormat="1" ht="15" x14ac:dyDescent="0.25">
      <c r="A359" s="20"/>
      <c r="B359" s="185"/>
      <c r="C359" s="795"/>
      <c r="D359" s="177"/>
      <c r="E359" s="795"/>
      <c r="F359" s="773"/>
      <c r="G359" s="344">
        <v>89</v>
      </c>
      <c r="H359" s="902" t="s">
        <v>28</v>
      </c>
      <c r="I359" s="902"/>
      <c r="J359" s="902"/>
      <c r="K359" s="902"/>
      <c r="L359" s="902"/>
      <c r="M359" s="902"/>
      <c r="N359" s="902"/>
      <c r="O359" s="189"/>
      <c r="P359" s="189"/>
      <c r="Q359" s="189"/>
      <c r="R359" s="189"/>
      <c r="S359" s="189"/>
      <c r="T359" s="189"/>
      <c r="U359" s="189"/>
      <c r="V359" s="189"/>
      <c r="W359" s="189"/>
      <c r="X359" s="189"/>
      <c r="Y359" s="189"/>
      <c r="Z359" s="189"/>
      <c r="AA359" s="189"/>
      <c r="AB359" s="189"/>
      <c r="AC359" s="189"/>
      <c r="AD359" s="189"/>
      <c r="AE359" s="189"/>
      <c r="AF359" s="189"/>
      <c r="AG359" s="189"/>
      <c r="AH359" s="189"/>
      <c r="AI359" s="189"/>
      <c r="AJ359" s="189"/>
      <c r="AK359" s="189"/>
      <c r="AL359" s="190"/>
      <c r="AM359" s="189"/>
      <c r="AN359" s="189"/>
      <c r="AO359" s="189"/>
      <c r="AP359" s="189"/>
      <c r="AQ359" s="521"/>
    </row>
    <row r="360" spans="1:43" s="28" customFormat="1" ht="117" customHeight="1" x14ac:dyDescent="0.25">
      <c r="A360" s="20"/>
      <c r="B360" s="20"/>
      <c r="C360" s="773">
        <v>37</v>
      </c>
      <c r="D360" s="774" t="s">
        <v>433</v>
      </c>
      <c r="E360" s="775" t="s">
        <v>55</v>
      </c>
      <c r="F360" s="775">
        <v>60</v>
      </c>
      <c r="G360" s="774"/>
      <c r="H360" s="775">
        <v>288</v>
      </c>
      <c r="I360" s="774" t="s">
        <v>442</v>
      </c>
      <c r="J360" s="24">
        <v>1</v>
      </c>
      <c r="K360" s="24">
        <v>1</v>
      </c>
      <c r="L360" s="25" t="s">
        <v>435</v>
      </c>
      <c r="M360" s="37" t="s">
        <v>443</v>
      </c>
      <c r="N360" s="774" t="s">
        <v>444</v>
      </c>
      <c r="O360" s="775" t="s">
        <v>38</v>
      </c>
      <c r="P360" s="26"/>
      <c r="Q360" s="26"/>
      <c r="R360" s="26"/>
      <c r="S360" s="26"/>
      <c r="T360" s="26"/>
      <c r="U360" s="26"/>
      <c r="V360" s="26"/>
      <c r="W360" s="26"/>
      <c r="X360" s="26"/>
      <c r="Y360" s="26"/>
      <c r="Z360" s="26"/>
      <c r="AA360" s="26"/>
      <c r="AB360" s="26"/>
      <c r="AC360" s="26"/>
      <c r="AD360" s="26"/>
      <c r="AE360" s="26"/>
      <c r="AF360" s="26"/>
      <c r="AG360" s="26"/>
      <c r="AH360" s="26"/>
      <c r="AI360" s="26"/>
      <c r="AJ360" s="26"/>
      <c r="AK360" s="26"/>
      <c r="AL360" s="127">
        <f>219504873+400000000+100000000+150000000</f>
        <v>869504873</v>
      </c>
      <c r="AM360" s="14"/>
      <c r="AN360" s="26"/>
      <c r="AO360" s="27"/>
      <c r="AP360" s="27"/>
      <c r="AQ360" s="26">
        <f>P360+Q360+R360+S360+T360+U360+V360+W360+X360+Y360+Z360+AA360+AB360+AC360+AD360+AE360+AF360+AG360+AH360+AI360+AJ360+AK360+AL360+AM360+AN360+AP360+AO360</f>
        <v>869504873</v>
      </c>
    </row>
    <row r="361" spans="1:43" s="28" customFormat="1" ht="15" x14ac:dyDescent="0.25">
      <c r="A361" s="20"/>
      <c r="B361" s="152"/>
      <c r="C361" s="773"/>
      <c r="D361" s="153"/>
      <c r="E361" s="579"/>
      <c r="F361" s="579"/>
      <c r="G361" s="154"/>
      <c r="H361" s="155"/>
      <c r="I361" s="154"/>
      <c r="J361" s="156"/>
      <c r="K361" s="156"/>
      <c r="L361" s="156"/>
      <c r="M361" s="157"/>
      <c r="N361" s="154"/>
      <c r="O361" s="155"/>
      <c r="P361" s="158">
        <f>SUM(P360)</f>
        <v>0</v>
      </c>
      <c r="Q361" s="158">
        <f t="shared" ref="Q361:AK361" si="170">SUM(Q360)</f>
        <v>0</v>
      </c>
      <c r="R361" s="158">
        <f t="shared" si="170"/>
        <v>0</v>
      </c>
      <c r="S361" s="158">
        <f t="shared" si="170"/>
        <v>0</v>
      </c>
      <c r="T361" s="158">
        <f t="shared" si="170"/>
        <v>0</v>
      </c>
      <c r="U361" s="158">
        <f t="shared" si="170"/>
        <v>0</v>
      </c>
      <c r="V361" s="158">
        <f t="shared" si="170"/>
        <v>0</v>
      </c>
      <c r="W361" s="158">
        <f t="shared" si="170"/>
        <v>0</v>
      </c>
      <c r="X361" s="158">
        <f t="shared" si="170"/>
        <v>0</v>
      </c>
      <c r="Y361" s="158">
        <f t="shared" si="170"/>
        <v>0</v>
      </c>
      <c r="Z361" s="158">
        <f t="shared" si="170"/>
        <v>0</v>
      </c>
      <c r="AA361" s="158">
        <f t="shared" si="170"/>
        <v>0</v>
      </c>
      <c r="AB361" s="158">
        <f t="shared" si="170"/>
        <v>0</v>
      </c>
      <c r="AC361" s="158">
        <f t="shared" si="170"/>
        <v>0</v>
      </c>
      <c r="AD361" s="158">
        <f t="shared" si="170"/>
        <v>0</v>
      </c>
      <c r="AE361" s="158">
        <f t="shared" si="170"/>
        <v>0</v>
      </c>
      <c r="AF361" s="158">
        <f t="shared" si="170"/>
        <v>0</v>
      </c>
      <c r="AG361" s="158">
        <f t="shared" si="170"/>
        <v>0</v>
      </c>
      <c r="AH361" s="158">
        <f t="shared" si="170"/>
        <v>0</v>
      </c>
      <c r="AI361" s="158">
        <f t="shared" si="170"/>
        <v>0</v>
      </c>
      <c r="AJ361" s="158">
        <f t="shared" si="170"/>
        <v>0</v>
      </c>
      <c r="AK361" s="158">
        <f t="shared" si="170"/>
        <v>0</v>
      </c>
      <c r="AL361" s="158">
        <f t="shared" ref="AL361:AP361" si="171">SUM(AL360)</f>
        <v>869504873</v>
      </c>
      <c r="AM361" s="158">
        <f t="shared" si="171"/>
        <v>0</v>
      </c>
      <c r="AN361" s="158">
        <f t="shared" si="171"/>
        <v>0</v>
      </c>
      <c r="AO361" s="158">
        <f t="shared" si="171"/>
        <v>0</v>
      </c>
      <c r="AP361" s="158">
        <f t="shared" si="171"/>
        <v>0</v>
      </c>
      <c r="AQ361" s="688">
        <f>SUM(AQ360)</f>
        <v>869504873</v>
      </c>
    </row>
    <row r="362" spans="1:43" s="28" customFormat="1" ht="15" x14ac:dyDescent="0.25">
      <c r="A362" s="152"/>
      <c r="B362" s="218"/>
      <c r="C362" s="162"/>
      <c r="D362" s="161"/>
      <c r="E362" s="162"/>
      <c r="F362" s="162"/>
      <c r="G362" s="161"/>
      <c r="H362" s="162"/>
      <c r="I362" s="161"/>
      <c r="J362" s="163"/>
      <c r="K362" s="163"/>
      <c r="L362" s="163"/>
      <c r="M362" s="164"/>
      <c r="N362" s="161"/>
      <c r="O362" s="162"/>
      <c r="P362" s="165">
        <f>P361</f>
        <v>0</v>
      </c>
      <c r="Q362" s="165">
        <f t="shared" ref="Q362:AK362" si="172">Q361</f>
        <v>0</v>
      </c>
      <c r="R362" s="165">
        <f t="shared" si="172"/>
        <v>0</v>
      </c>
      <c r="S362" s="165">
        <f t="shared" si="172"/>
        <v>0</v>
      </c>
      <c r="T362" s="165">
        <f t="shared" si="172"/>
        <v>0</v>
      </c>
      <c r="U362" s="165">
        <f t="shared" si="172"/>
        <v>0</v>
      </c>
      <c r="V362" s="165">
        <f t="shared" si="172"/>
        <v>0</v>
      </c>
      <c r="W362" s="165">
        <f t="shared" si="172"/>
        <v>0</v>
      </c>
      <c r="X362" s="165">
        <f t="shared" si="172"/>
        <v>0</v>
      </c>
      <c r="Y362" s="165">
        <f t="shared" si="172"/>
        <v>0</v>
      </c>
      <c r="Z362" s="165">
        <f t="shared" si="172"/>
        <v>0</v>
      </c>
      <c r="AA362" s="165">
        <f t="shared" si="172"/>
        <v>0</v>
      </c>
      <c r="AB362" s="165">
        <f t="shared" si="172"/>
        <v>0</v>
      </c>
      <c r="AC362" s="165">
        <f t="shared" si="172"/>
        <v>0</v>
      </c>
      <c r="AD362" s="165">
        <f t="shared" si="172"/>
        <v>0</v>
      </c>
      <c r="AE362" s="165">
        <f t="shared" si="172"/>
        <v>0</v>
      </c>
      <c r="AF362" s="165">
        <f t="shared" si="172"/>
        <v>0</v>
      </c>
      <c r="AG362" s="165">
        <f t="shared" si="172"/>
        <v>0</v>
      </c>
      <c r="AH362" s="165">
        <f t="shared" si="172"/>
        <v>0</v>
      </c>
      <c r="AI362" s="165">
        <f t="shared" si="172"/>
        <v>0</v>
      </c>
      <c r="AJ362" s="165">
        <f t="shared" si="172"/>
        <v>0</v>
      </c>
      <c r="AK362" s="165">
        <f t="shared" si="172"/>
        <v>0</v>
      </c>
      <c r="AL362" s="165">
        <f t="shared" ref="AL362:AP362" si="173">AL361</f>
        <v>869504873</v>
      </c>
      <c r="AM362" s="165">
        <f t="shared" si="173"/>
        <v>0</v>
      </c>
      <c r="AN362" s="165">
        <f t="shared" si="173"/>
        <v>0</v>
      </c>
      <c r="AO362" s="165">
        <f t="shared" si="173"/>
        <v>0</v>
      </c>
      <c r="AP362" s="165">
        <f t="shared" si="173"/>
        <v>0</v>
      </c>
      <c r="AQ362" s="689">
        <f>AQ361</f>
        <v>869504873</v>
      </c>
    </row>
    <row r="363" spans="1:43" ht="15" x14ac:dyDescent="0.25">
      <c r="A363" s="166"/>
      <c r="B363" s="166"/>
      <c r="C363" s="167"/>
      <c r="D363" s="166"/>
      <c r="E363" s="167"/>
      <c r="F363" s="167"/>
      <c r="G363" s="166"/>
      <c r="H363" s="167"/>
      <c r="I363" s="166"/>
      <c r="J363" s="168"/>
      <c r="K363" s="168"/>
      <c r="L363" s="168"/>
      <c r="M363" s="169"/>
      <c r="N363" s="166"/>
      <c r="O363" s="167"/>
      <c r="P363" s="170">
        <f>P362+P356</f>
        <v>0</v>
      </c>
      <c r="Q363" s="170">
        <f t="shared" ref="Q363:AK363" si="174">Q362+Q356</f>
        <v>0</v>
      </c>
      <c r="R363" s="170">
        <f t="shared" si="174"/>
        <v>0</v>
      </c>
      <c r="S363" s="170">
        <f t="shared" si="174"/>
        <v>0</v>
      </c>
      <c r="T363" s="170">
        <f t="shared" si="174"/>
        <v>0</v>
      </c>
      <c r="U363" s="170">
        <f t="shared" si="174"/>
        <v>0</v>
      </c>
      <c r="V363" s="170">
        <f t="shared" si="174"/>
        <v>0</v>
      </c>
      <c r="W363" s="170">
        <f t="shared" si="174"/>
        <v>0</v>
      </c>
      <c r="X363" s="170">
        <f t="shared" si="174"/>
        <v>0</v>
      </c>
      <c r="Y363" s="170">
        <f t="shared" si="174"/>
        <v>0</v>
      </c>
      <c r="Z363" s="170">
        <f t="shared" si="174"/>
        <v>0</v>
      </c>
      <c r="AA363" s="170">
        <f t="shared" si="174"/>
        <v>0</v>
      </c>
      <c r="AB363" s="170">
        <f t="shared" si="174"/>
        <v>0</v>
      </c>
      <c r="AC363" s="170">
        <f t="shared" si="174"/>
        <v>0</v>
      </c>
      <c r="AD363" s="170">
        <f t="shared" si="174"/>
        <v>0</v>
      </c>
      <c r="AE363" s="170">
        <f t="shared" si="174"/>
        <v>0</v>
      </c>
      <c r="AF363" s="170">
        <f t="shared" si="174"/>
        <v>0</v>
      </c>
      <c r="AG363" s="170">
        <f t="shared" si="174"/>
        <v>0</v>
      </c>
      <c r="AH363" s="170">
        <f t="shared" si="174"/>
        <v>0</v>
      </c>
      <c r="AI363" s="170">
        <f t="shared" si="174"/>
        <v>0</v>
      </c>
      <c r="AJ363" s="170">
        <f t="shared" si="174"/>
        <v>0</v>
      </c>
      <c r="AK363" s="170">
        <f t="shared" si="174"/>
        <v>0</v>
      </c>
      <c r="AL363" s="170">
        <f t="shared" ref="AL363:AP363" si="175">AL362+AL356</f>
        <v>2239039539</v>
      </c>
      <c r="AM363" s="170">
        <f t="shared" si="175"/>
        <v>0</v>
      </c>
      <c r="AN363" s="170">
        <f t="shared" si="175"/>
        <v>0</v>
      </c>
      <c r="AO363" s="170">
        <f t="shared" si="175"/>
        <v>0</v>
      </c>
      <c r="AP363" s="170">
        <f t="shared" si="175"/>
        <v>0</v>
      </c>
      <c r="AQ363" s="690">
        <f>AQ362+AQ356</f>
        <v>2239039539</v>
      </c>
    </row>
    <row r="364" spans="1:43" ht="15" x14ac:dyDescent="0.25">
      <c r="A364" s="171"/>
      <c r="B364" s="171"/>
      <c r="C364" s="172"/>
      <c r="D364" s="171"/>
      <c r="E364" s="172"/>
      <c r="F364" s="172"/>
      <c r="G364" s="171"/>
      <c r="H364" s="172"/>
      <c r="I364" s="171"/>
      <c r="J364" s="173"/>
      <c r="K364" s="173"/>
      <c r="L364" s="173"/>
      <c r="M364" s="174"/>
      <c r="N364" s="171"/>
      <c r="O364" s="172"/>
      <c r="P364" s="175">
        <f>P363</f>
        <v>0</v>
      </c>
      <c r="Q364" s="175">
        <f t="shared" ref="Q364:AK364" si="176">Q363</f>
        <v>0</v>
      </c>
      <c r="R364" s="175">
        <f t="shared" si="176"/>
        <v>0</v>
      </c>
      <c r="S364" s="175">
        <f t="shared" si="176"/>
        <v>0</v>
      </c>
      <c r="T364" s="175">
        <f t="shared" si="176"/>
        <v>0</v>
      </c>
      <c r="U364" s="175">
        <f t="shared" si="176"/>
        <v>0</v>
      </c>
      <c r="V364" s="175">
        <f t="shared" si="176"/>
        <v>0</v>
      </c>
      <c r="W364" s="175">
        <f t="shared" si="176"/>
        <v>0</v>
      </c>
      <c r="X364" s="175">
        <f t="shared" si="176"/>
        <v>0</v>
      </c>
      <c r="Y364" s="175">
        <f t="shared" si="176"/>
        <v>0</v>
      </c>
      <c r="Z364" s="175">
        <f t="shared" si="176"/>
        <v>0</v>
      </c>
      <c r="AA364" s="175">
        <f t="shared" si="176"/>
        <v>0</v>
      </c>
      <c r="AB364" s="175">
        <f t="shared" si="176"/>
        <v>0</v>
      </c>
      <c r="AC364" s="175">
        <f t="shared" si="176"/>
        <v>0</v>
      </c>
      <c r="AD364" s="175">
        <f t="shared" si="176"/>
        <v>0</v>
      </c>
      <c r="AE364" s="175">
        <f t="shared" si="176"/>
        <v>0</v>
      </c>
      <c r="AF364" s="175">
        <f t="shared" si="176"/>
        <v>0</v>
      </c>
      <c r="AG364" s="175">
        <f t="shared" si="176"/>
        <v>0</v>
      </c>
      <c r="AH364" s="175">
        <f t="shared" si="176"/>
        <v>0</v>
      </c>
      <c r="AI364" s="175">
        <f t="shared" si="176"/>
        <v>0</v>
      </c>
      <c r="AJ364" s="175">
        <f t="shared" si="176"/>
        <v>0</v>
      </c>
      <c r="AK364" s="175">
        <f t="shared" si="176"/>
        <v>0</v>
      </c>
      <c r="AL364" s="175">
        <f t="shared" ref="AL364:AP364" si="177">AL363</f>
        <v>2239039539</v>
      </c>
      <c r="AM364" s="175">
        <f t="shared" si="177"/>
        <v>0</v>
      </c>
      <c r="AN364" s="175">
        <f t="shared" si="177"/>
        <v>0</v>
      </c>
      <c r="AO364" s="175">
        <f t="shared" si="177"/>
        <v>0</v>
      </c>
      <c r="AP364" s="175">
        <f t="shared" si="177"/>
        <v>0</v>
      </c>
      <c r="AQ364" s="734">
        <f>AQ363</f>
        <v>2239039539</v>
      </c>
    </row>
    <row r="365" spans="1:43" s="28" customFormat="1" ht="15" x14ac:dyDescent="0.25">
      <c r="A365" s="176"/>
      <c r="B365" s="177"/>
      <c r="C365" s="795"/>
      <c r="D365" s="177"/>
      <c r="E365" s="795"/>
      <c r="F365" s="795"/>
      <c r="G365" s="177"/>
      <c r="H365" s="795"/>
      <c r="I365" s="177"/>
      <c r="J365" s="178"/>
      <c r="K365" s="178"/>
      <c r="L365" s="178"/>
      <c r="M365" s="179"/>
      <c r="N365" s="177"/>
      <c r="O365" s="795"/>
      <c r="P365" s="180"/>
      <c r="Q365" s="180"/>
      <c r="R365" s="180"/>
      <c r="S365" s="180"/>
      <c r="T365" s="180"/>
      <c r="U365" s="180"/>
      <c r="V365" s="180"/>
      <c r="W365" s="180"/>
      <c r="X365" s="180"/>
      <c r="Y365" s="180"/>
      <c r="Z365" s="180"/>
      <c r="AA365" s="180"/>
      <c r="AB365" s="180"/>
      <c r="AC365" s="180"/>
      <c r="AD365" s="181"/>
      <c r="AE365" s="181"/>
      <c r="AF365" s="181"/>
      <c r="AG365" s="181"/>
      <c r="AH365" s="181"/>
      <c r="AI365" s="181"/>
      <c r="AJ365" s="180"/>
      <c r="AK365" s="180"/>
      <c r="AL365" s="182"/>
      <c r="AM365" s="183"/>
      <c r="AN365" s="180"/>
      <c r="AO365" s="180"/>
      <c r="AP365" s="180"/>
      <c r="AQ365" s="680"/>
    </row>
    <row r="366" spans="1:43" ht="20.25" x14ac:dyDescent="0.25">
      <c r="A366" s="134" t="s">
        <v>445</v>
      </c>
      <c r="B366" s="135"/>
      <c r="C366" s="136"/>
      <c r="D366" s="135"/>
      <c r="E366" s="135"/>
      <c r="F366" s="135"/>
      <c r="G366" s="135"/>
      <c r="H366" s="136"/>
      <c r="I366" s="135"/>
      <c r="J366" s="135"/>
      <c r="K366" s="135"/>
      <c r="L366" s="135"/>
      <c r="M366" s="650"/>
      <c r="N366" s="135"/>
      <c r="O366" s="136"/>
      <c r="P366" s="135"/>
      <c r="Q366" s="135"/>
      <c r="R366" s="135"/>
      <c r="S366" s="135"/>
      <c r="T366" s="135"/>
      <c r="U366" s="135"/>
      <c r="V366" s="135"/>
      <c r="W366" s="135"/>
      <c r="X366" s="135"/>
      <c r="Y366" s="135"/>
      <c r="Z366" s="135"/>
      <c r="AA366" s="135"/>
      <c r="AB366" s="135"/>
      <c r="AC366" s="135"/>
      <c r="AD366" s="135"/>
      <c r="AE366" s="135"/>
      <c r="AF366" s="135"/>
      <c r="AG366" s="135"/>
      <c r="AH366" s="135"/>
      <c r="AI366" s="135"/>
      <c r="AJ366" s="135"/>
      <c r="AK366" s="135"/>
      <c r="AL366" s="137"/>
      <c r="AM366" s="138"/>
      <c r="AN366" s="135"/>
      <c r="AO366" s="135"/>
      <c r="AP366" s="135"/>
      <c r="AQ366" s="564" t="s">
        <v>0</v>
      </c>
    </row>
    <row r="367" spans="1:43" ht="15" x14ac:dyDescent="0.25">
      <c r="A367" s="139">
        <v>3</v>
      </c>
      <c r="B367" s="140" t="s">
        <v>239</v>
      </c>
      <c r="C367" s="141"/>
      <c r="D367" s="140"/>
      <c r="E367" s="140"/>
      <c r="F367" s="140"/>
      <c r="G367" s="140"/>
      <c r="H367" s="141"/>
      <c r="I367" s="140"/>
      <c r="J367" s="140"/>
      <c r="K367" s="140"/>
      <c r="L367" s="140"/>
      <c r="M367" s="651"/>
      <c r="N367" s="140"/>
      <c r="O367" s="140"/>
      <c r="P367" s="140"/>
      <c r="Q367" s="140"/>
      <c r="R367" s="140"/>
      <c r="S367" s="140"/>
      <c r="T367" s="140"/>
      <c r="U367" s="140"/>
      <c r="V367" s="140"/>
      <c r="W367" s="140"/>
      <c r="X367" s="140"/>
      <c r="Y367" s="140"/>
      <c r="Z367" s="140"/>
      <c r="AA367" s="140"/>
      <c r="AB367" s="140"/>
      <c r="AC367" s="140"/>
      <c r="AD367" s="140"/>
      <c r="AE367" s="140"/>
      <c r="AF367" s="140"/>
      <c r="AG367" s="140"/>
      <c r="AH367" s="140"/>
      <c r="AI367" s="140"/>
      <c r="AJ367" s="140"/>
      <c r="AK367" s="140"/>
      <c r="AL367" s="142"/>
      <c r="AM367" s="140"/>
      <c r="AN367" s="140"/>
      <c r="AO367" s="140"/>
      <c r="AP367" s="140"/>
      <c r="AQ367" s="538"/>
    </row>
    <row r="368" spans="1:43" ht="15" x14ac:dyDescent="0.25">
      <c r="A368" s="185"/>
      <c r="B368" s="243">
        <v>5</v>
      </c>
      <c r="C368" s="145" t="s">
        <v>446</v>
      </c>
      <c r="D368" s="146"/>
      <c r="E368" s="146"/>
      <c r="F368" s="146"/>
      <c r="G368" s="146"/>
      <c r="H368" s="147"/>
      <c r="I368" s="146"/>
      <c r="J368" s="146"/>
      <c r="K368" s="146"/>
      <c r="L368" s="146"/>
      <c r="M368" s="652"/>
      <c r="N368" s="146"/>
      <c r="O368" s="146"/>
      <c r="P368" s="146"/>
      <c r="Q368" s="146"/>
      <c r="R368" s="146"/>
      <c r="S368" s="146"/>
      <c r="T368" s="146"/>
      <c r="U368" s="146"/>
      <c r="V368" s="146"/>
      <c r="W368" s="146"/>
      <c r="X368" s="146"/>
      <c r="Y368" s="146"/>
      <c r="Z368" s="146"/>
      <c r="AA368" s="146"/>
      <c r="AB368" s="146"/>
      <c r="AC368" s="146"/>
      <c r="AD368" s="146"/>
      <c r="AE368" s="146"/>
      <c r="AF368" s="146"/>
      <c r="AG368" s="146"/>
      <c r="AH368" s="146"/>
      <c r="AI368" s="146"/>
      <c r="AJ368" s="146"/>
      <c r="AK368" s="146"/>
      <c r="AL368" s="148"/>
      <c r="AM368" s="146"/>
      <c r="AN368" s="146"/>
      <c r="AO368" s="146"/>
      <c r="AP368" s="146"/>
      <c r="AQ368" s="649"/>
    </row>
    <row r="369" spans="1:43" ht="15" x14ac:dyDescent="0.25">
      <c r="A369" s="20"/>
      <c r="B369" s="185"/>
      <c r="C369" s="795"/>
      <c r="D369" s="177"/>
      <c r="E369" s="795"/>
      <c r="F369" s="773"/>
      <c r="G369" s="344">
        <v>16</v>
      </c>
      <c r="H369" s="189" t="s">
        <v>447</v>
      </c>
      <c r="I369" s="189"/>
      <c r="J369" s="189"/>
      <c r="K369" s="189"/>
      <c r="L369" s="189"/>
      <c r="M369" s="189"/>
      <c r="N369" s="189"/>
      <c r="O369" s="189"/>
      <c r="P369" s="189"/>
      <c r="Q369" s="189"/>
      <c r="R369" s="189"/>
      <c r="S369" s="189"/>
      <c r="T369" s="189"/>
      <c r="U369" s="189"/>
      <c r="V369" s="189"/>
      <c r="W369" s="189"/>
      <c r="X369" s="189"/>
      <c r="Y369" s="189"/>
      <c r="Z369" s="189"/>
      <c r="AA369" s="189"/>
      <c r="AB369" s="189"/>
      <c r="AC369" s="189"/>
      <c r="AD369" s="189"/>
      <c r="AE369" s="189"/>
      <c r="AF369" s="189"/>
      <c r="AG369" s="189"/>
      <c r="AH369" s="189"/>
      <c r="AI369" s="189"/>
      <c r="AJ369" s="189"/>
      <c r="AK369" s="189"/>
      <c r="AL369" s="190"/>
      <c r="AM369" s="189"/>
      <c r="AN369" s="189"/>
      <c r="AO369" s="189"/>
      <c r="AP369" s="189"/>
      <c r="AQ369" s="648"/>
    </row>
    <row r="370" spans="1:43" s="28" customFormat="1" ht="75" customHeight="1" x14ac:dyDescent="0.25">
      <c r="A370" s="20"/>
      <c r="B370" s="20"/>
      <c r="C370" s="773">
        <v>15</v>
      </c>
      <c r="D370" s="774" t="s">
        <v>448</v>
      </c>
      <c r="E370" s="84">
        <v>0.73229999999999995</v>
      </c>
      <c r="F370" s="84">
        <v>0.78</v>
      </c>
      <c r="G370" s="23"/>
      <c r="H370" s="775">
        <v>65</v>
      </c>
      <c r="I370" s="774" t="s">
        <v>449</v>
      </c>
      <c r="J370" s="57">
        <v>1</v>
      </c>
      <c r="K370" s="57">
        <v>1</v>
      </c>
      <c r="L370" s="969" t="s">
        <v>450</v>
      </c>
      <c r="M370" s="854" t="s">
        <v>451</v>
      </c>
      <c r="N370" s="849" t="s">
        <v>452</v>
      </c>
      <c r="O370" s="775" t="s">
        <v>38</v>
      </c>
      <c r="P370" s="26">
        <v>0</v>
      </c>
      <c r="Q370" s="26">
        <v>0</v>
      </c>
      <c r="R370" s="26">
        <v>0</v>
      </c>
      <c r="S370" s="26">
        <v>0</v>
      </c>
      <c r="T370" s="26">
        <v>0</v>
      </c>
      <c r="U370" s="26">
        <v>0</v>
      </c>
      <c r="V370" s="10">
        <v>2112605582</v>
      </c>
      <c r="W370" s="26"/>
      <c r="X370" s="26"/>
      <c r="Y370" s="26"/>
      <c r="Z370" s="26">
        <v>0</v>
      </c>
      <c r="AA370" s="26"/>
      <c r="AB370" s="26">
        <v>0</v>
      </c>
      <c r="AC370" s="26">
        <v>0</v>
      </c>
      <c r="AD370" s="26"/>
      <c r="AE370" s="26"/>
      <c r="AF370" s="26"/>
      <c r="AG370" s="26">
        <v>6431354</v>
      </c>
      <c r="AH370" s="26"/>
      <c r="AI370" s="26"/>
      <c r="AJ370" s="26">
        <v>0</v>
      </c>
      <c r="AK370" s="26">
        <v>0</v>
      </c>
      <c r="AL370" s="667">
        <v>3949108426</v>
      </c>
      <c r="AM370" s="10"/>
      <c r="AN370" s="26"/>
      <c r="AO370" s="85">
        <v>0</v>
      </c>
      <c r="AP370" s="85"/>
      <c r="AQ370" s="26">
        <f>P370+Q370+R370+S370+T370+U370+V370+W370+X370+Y370+Z370+AA370+AB370+AC370+AD370+AE370+AF370+AG370+AH370+AI370+AJ370+AK370+AL370+AM370+AN370+AP370+AO370</f>
        <v>6068145362</v>
      </c>
    </row>
    <row r="371" spans="1:43" s="28" customFormat="1" ht="66.75" customHeight="1" x14ac:dyDescent="0.25">
      <c r="A371" s="20"/>
      <c r="B371" s="20"/>
      <c r="C371" s="773">
        <v>19</v>
      </c>
      <c r="D371" s="774" t="s">
        <v>453</v>
      </c>
      <c r="E371" s="84" t="s">
        <v>454</v>
      </c>
      <c r="F371" s="84" t="s">
        <v>455</v>
      </c>
      <c r="G371" s="29"/>
      <c r="H371" s="775">
        <v>66</v>
      </c>
      <c r="I371" s="774" t="s">
        <v>456</v>
      </c>
      <c r="J371" s="57">
        <v>1</v>
      </c>
      <c r="K371" s="57">
        <v>1</v>
      </c>
      <c r="L371" s="970"/>
      <c r="M371" s="855"/>
      <c r="N371" s="857"/>
      <c r="O371" s="775" t="s">
        <v>38</v>
      </c>
      <c r="P371" s="26"/>
      <c r="Q371" s="26"/>
      <c r="R371" s="26"/>
      <c r="S371" s="26"/>
      <c r="T371" s="26"/>
      <c r="U371" s="26"/>
      <c r="V371" s="10">
        <v>1941757959</v>
      </c>
      <c r="W371" s="26"/>
      <c r="X371" s="26"/>
      <c r="Y371" s="26"/>
      <c r="Z371" s="26"/>
      <c r="AA371" s="26"/>
      <c r="AB371" s="26"/>
      <c r="AC371" s="26"/>
      <c r="AD371" s="26"/>
      <c r="AE371" s="128">
        <f>171253920-171253920</f>
        <v>0</v>
      </c>
      <c r="AF371" s="86"/>
      <c r="AG371" s="26"/>
      <c r="AH371" s="26"/>
      <c r="AI371" s="26"/>
      <c r="AJ371" s="26">
        <f>6483182568+372763406+76101858+1170998773+736918016+171253920</f>
        <v>9011218541</v>
      </c>
      <c r="AK371" s="26"/>
      <c r="AL371" s="667">
        <v>144291779</v>
      </c>
      <c r="AM371" s="10"/>
      <c r="AN371" s="26"/>
      <c r="AO371" s="27"/>
      <c r="AP371" s="27"/>
      <c r="AQ371" s="26">
        <f>P371+Q371+R371+S371+T371+U371+V371+W371+X371+Y371+Z371+AA371+AB371+AC371+AD371+AE371+AF371+AG371+AH371+AI371+AJ371+AK371+AL371+AM371+AN371+AP371+AO371</f>
        <v>11097268279</v>
      </c>
    </row>
    <row r="372" spans="1:43" s="28" customFormat="1" ht="70.5" customHeight="1" x14ac:dyDescent="0.25">
      <c r="A372" s="20"/>
      <c r="B372" s="20"/>
      <c r="C372" s="773">
        <v>14</v>
      </c>
      <c r="D372" s="87" t="s">
        <v>457</v>
      </c>
      <c r="E372" s="84">
        <v>6.2E-2</v>
      </c>
      <c r="F372" s="84">
        <v>0.03</v>
      </c>
      <c r="G372" s="29"/>
      <c r="H372" s="775">
        <v>67</v>
      </c>
      <c r="I372" s="774" t="s">
        <v>458</v>
      </c>
      <c r="J372" s="57">
        <v>1</v>
      </c>
      <c r="K372" s="57">
        <v>1</v>
      </c>
      <c r="L372" s="971"/>
      <c r="M372" s="856"/>
      <c r="N372" s="850"/>
      <c r="O372" s="775" t="s">
        <v>38</v>
      </c>
      <c r="P372" s="26"/>
      <c r="Q372" s="26"/>
      <c r="R372" s="26"/>
      <c r="S372" s="26"/>
      <c r="T372" s="26"/>
      <c r="U372" s="26"/>
      <c r="V372" s="10">
        <v>1398986700</v>
      </c>
      <c r="W372" s="26"/>
      <c r="X372" s="26"/>
      <c r="Y372" s="26"/>
      <c r="Z372" s="26"/>
      <c r="AA372" s="26"/>
      <c r="AB372" s="26"/>
      <c r="AC372" s="26"/>
      <c r="AD372" s="26"/>
      <c r="AE372" s="26"/>
      <c r="AF372" s="26"/>
      <c r="AG372" s="26"/>
      <c r="AH372" s="26"/>
      <c r="AI372" s="26"/>
      <c r="AJ372" s="26"/>
      <c r="AK372" s="26"/>
      <c r="AL372" s="667"/>
      <c r="AM372" s="10"/>
      <c r="AN372" s="26"/>
      <c r="AO372" s="27"/>
      <c r="AP372" s="27"/>
      <c r="AQ372" s="26">
        <f>P372+Q372+R372+S372+T372+U372+V372+W372+X372+Y372+Z372+AA372+AB372+AC372+AD372+AE372+AF372+AG372+AH372+AI372+AJ372+AK372+AL372+AM372+AN372+AP372+AO372</f>
        <v>1398986700</v>
      </c>
    </row>
    <row r="373" spans="1:43" ht="15" x14ac:dyDescent="0.25">
      <c r="A373" s="20"/>
      <c r="B373" s="20"/>
      <c r="C373" s="773"/>
      <c r="D373" s="153"/>
      <c r="E373" s="84"/>
      <c r="F373" s="84"/>
      <c r="G373" s="154"/>
      <c r="H373" s="155"/>
      <c r="I373" s="154"/>
      <c r="J373" s="398"/>
      <c r="K373" s="398"/>
      <c r="L373" s="398"/>
      <c r="M373" s="157"/>
      <c r="N373" s="154"/>
      <c r="O373" s="155"/>
      <c r="P373" s="158">
        <f>SUM(P370:P372)</f>
        <v>0</v>
      </c>
      <c r="Q373" s="158">
        <f t="shared" ref="Q373:AK373" si="178">SUM(Q370:Q372)</f>
        <v>0</v>
      </c>
      <c r="R373" s="158">
        <f t="shared" si="178"/>
        <v>0</v>
      </c>
      <c r="S373" s="158">
        <f t="shared" si="178"/>
        <v>0</v>
      </c>
      <c r="T373" s="158">
        <f t="shared" si="178"/>
        <v>0</v>
      </c>
      <c r="U373" s="158">
        <f t="shared" si="178"/>
        <v>0</v>
      </c>
      <c r="V373" s="158">
        <f t="shared" si="178"/>
        <v>5453350241</v>
      </c>
      <c r="W373" s="158">
        <f t="shared" si="178"/>
        <v>0</v>
      </c>
      <c r="X373" s="158">
        <f t="shared" si="178"/>
        <v>0</v>
      </c>
      <c r="Y373" s="158">
        <f t="shared" si="178"/>
        <v>0</v>
      </c>
      <c r="Z373" s="158">
        <f t="shared" si="178"/>
        <v>0</v>
      </c>
      <c r="AA373" s="158">
        <f t="shared" si="178"/>
        <v>0</v>
      </c>
      <c r="AB373" s="158">
        <f t="shared" si="178"/>
        <v>0</v>
      </c>
      <c r="AC373" s="158">
        <f t="shared" si="178"/>
        <v>0</v>
      </c>
      <c r="AD373" s="158">
        <f t="shared" si="178"/>
        <v>0</v>
      </c>
      <c r="AE373" s="158">
        <f t="shared" si="178"/>
        <v>0</v>
      </c>
      <c r="AF373" s="158">
        <f t="shared" si="178"/>
        <v>0</v>
      </c>
      <c r="AG373" s="158">
        <f t="shared" si="178"/>
        <v>6431354</v>
      </c>
      <c r="AH373" s="158">
        <f t="shared" si="178"/>
        <v>0</v>
      </c>
      <c r="AI373" s="158">
        <f t="shared" si="178"/>
        <v>0</v>
      </c>
      <c r="AJ373" s="158">
        <f t="shared" si="178"/>
        <v>9011218541</v>
      </c>
      <c r="AK373" s="158">
        <f t="shared" si="178"/>
        <v>0</v>
      </c>
      <c r="AL373" s="158">
        <f t="shared" ref="AL373:AP373" si="179">SUM(AL370:AL372)</f>
        <v>4093400205</v>
      </c>
      <c r="AM373" s="158">
        <f t="shared" si="179"/>
        <v>0</v>
      </c>
      <c r="AN373" s="158">
        <f t="shared" si="179"/>
        <v>0</v>
      </c>
      <c r="AO373" s="158">
        <f t="shared" si="179"/>
        <v>0</v>
      </c>
      <c r="AP373" s="158">
        <f t="shared" si="179"/>
        <v>0</v>
      </c>
      <c r="AQ373" s="158">
        <f>SUM(AQ370:AQ372)</f>
        <v>18564400341</v>
      </c>
    </row>
    <row r="374" spans="1:43" s="28" customFormat="1" ht="15" x14ac:dyDescent="0.25">
      <c r="A374" s="20"/>
      <c r="B374" s="20"/>
      <c r="C374" s="795"/>
      <c r="D374" s="177"/>
      <c r="E374" s="399"/>
      <c r="F374" s="399"/>
      <c r="G374" s="177"/>
      <c r="H374" s="795"/>
      <c r="I374" s="177"/>
      <c r="J374" s="400"/>
      <c r="K374" s="400"/>
      <c r="L374" s="401"/>
      <c r="M374" s="234"/>
      <c r="N374" s="223"/>
      <c r="O374" s="795"/>
      <c r="P374" s="180"/>
      <c r="Q374" s="180"/>
      <c r="R374" s="180"/>
      <c r="S374" s="180"/>
      <c r="T374" s="180"/>
      <c r="U374" s="180"/>
      <c r="V374" s="180"/>
      <c r="W374" s="180"/>
      <c r="X374" s="180"/>
      <c r="Y374" s="180"/>
      <c r="Z374" s="180"/>
      <c r="AA374" s="180"/>
      <c r="AB374" s="180"/>
      <c r="AC374" s="180"/>
      <c r="AD374" s="181"/>
      <c r="AE374" s="181"/>
      <c r="AF374" s="181"/>
      <c r="AG374" s="181"/>
      <c r="AH374" s="181"/>
      <c r="AI374" s="181"/>
      <c r="AJ374" s="180"/>
      <c r="AK374" s="180"/>
      <c r="AL374" s="182"/>
      <c r="AM374" s="183"/>
      <c r="AN374" s="180"/>
      <c r="AO374" s="180"/>
      <c r="AP374" s="180"/>
      <c r="AQ374" s="26"/>
    </row>
    <row r="375" spans="1:43" ht="15" x14ac:dyDescent="0.25">
      <c r="A375" s="20"/>
      <c r="B375" s="20"/>
      <c r="C375" s="773"/>
      <c r="D375" s="153"/>
      <c r="E375" s="84"/>
      <c r="F375" s="84"/>
      <c r="G375" s="344">
        <v>17</v>
      </c>
      <c r="H375" s="189" t="s">
        <v>459</v>
      </c>
      <c r="I375" s="189"/>
      <c r="J375" s="189"/>
      <c r="K375" s="189"/>
      <c r="L375" s="189"/>
      <c r="M375" s="189"/>
      <c r="N375" s="189"/>
      <c r="O375" s="189"/>
      <c r="P375" s="189"/>
      <c r="Q375" s="189"/>
      <c r="R375" s="189"/>
      <c r="S375" s="189"/>
      <c r="T375" s="189"/>
      <c r="U375" s="189"/>
      <c r="V375" s="189"/>
      <c r="W375" s="189"/>
      <c r="X375" s="189"/>
      <c r="Y375" s="189"/>
      <c r="Z375" s="189"/>
      <c r="AA375" s="189"/>
      <c r="AB375" s="189"/>
      <c r="AC375" s="189"/>
      <c r="AD375" s="402"/>
      <c r="AE375" s="402"/>
      <c r="AF375" s="402"/>
      <c r="AG375" s="402"/>
      <c r="AH375" s="402"/>
      <c r="AI375" s="402"/>
      <c r="AJ375" s="402"/>
      <c r="AK375" s="402"/>
      <c r="AL375" s="190"/>
      <c r="AM375" s="402"/>
      <c r="AN375" s="189"/>
      <c r="AO375" s="189"/>
      <c r="AP375" s="189"/>
      <c r="AQ375" s="521"/>
    </row>
    <row r="376" spans="1:43" s="28" customFormat="1" ht="81" customHeight="1" x14ac:dyDescent="0.25">
      <c r="A376" s="20"/>
      <c r="B376" s="20"/>
      <c r="C376" s="773">
        <v>14</v>
      </c>
      <c r="D376" s="87" t="s">
        <v>457</v>
      </c>
      <c r="E376" s="84">
        <v>6.2E-2</v>
      </c>
      <c r="F376" s="84">
        <v>0.03</v>
      </c>
      <c r="G376" s="23"/>
      <c r="H376" s="775">
        <v>68</v>
      </c>
      <c r="I376" s="774" t="s">
        <v>460</v>
      </c>
      <c r="J376" s="57">
        <v>4357</v>
      </c>
      <c r="K376" s="88">
        <v>4500</v>
      </c>
      <c r="L376" s="972" t="s">
        <v>450</v>
      </c>
      <c r="M376" s="854" t="s">
        <v>461</v>
      </c>
      <c r="N376" s="849" t="s">
        <v>462</v>
      </c>
      <c r="O376" s="775" t="s">
        <v>38</v>
      </c>
      <c r="P376" s="26">
        <v>0</v>
      </c>
      <c r="Q376" s="26">
        <v>0</v>
      </c>
      <c r="R376" s="26">
        <v>0</v>
      </c>
      <c r="S376" s="26">
        <v>0</v>
      </c>
      <c r="T376" s="26">
        <v>0</v>
      </c>
      <c r="U376" s="26">
        <v>0</v>
      </c>
      <c r="V376" s="26">
        <v>0</v>
      </c>
      <c r="W376" s="26"/>
      <c r="X376" s="26"/>
      <c r="Y376" s="26"/>
      <c r="Z376" s="26">
        <v>0</v>
      </c>
      <c r="AA376" s="26"/>
      <c r="AB376" s="26">
        <v>0</v>
      </c>
      <c r="AC376" s="26">
        <v>0</v>
      </c>
      <c r="AD376" s="647"/>
      <c r="AE376" s="77"/>
      <c r="AF376" s="77"/>
      <c r="AG376" s="77"/>
      <c r="AH376" s="77"/>
      <c r="AI376" s="77"/>
      <c r="AJ376" s="26">
        <v>0</v>
      </c>
      <c r="AK376" s="26">
        <v>0</v>
      </c>
      <c r="AL376" s="113">
        <v>10000000</v>
      </c>
      <c r="AM376" s="41"/>
      <c r="AN376" s="26">
        <v>0</v>
      </c>
      <c r="AO376" s="27">
        <v>0</v>
      </c>
      <c r="AP376" s="27"/>
      <c r="AQ376" s="26">
        <f t="shared" ref="AQ376:AQ381" si="180">P376+Q376+R376+S376+T376+U376+V376+W376+X376+Y376+Z376+AA376+AB376+AC376+AD376+AE376+AF376+AG376+AH376+AI376+AJ376+AK376+AL376+AM376+AN376+AP376+AO376</f>
        <v>10000000</v>
      </c>
    </row>
    <row r="377" spans="1:43" s="28" customFormat="1" ht="78.75" customHeight="1" x14ac:dyDescent="0.25">
      <c r="A377" s="20"/>
      <c r="B377" s="20"/>
      <c r="C377" s="773">
        <v>15</v>
      </c>
      <c r="D377" s="774" t="s">
        <v>448</v>
      </c>
      <c r="E377" s="84">
        <v>0.73229999999999995</v>
      </c>
      <c r="F377" s="84">
        <v>0.78</v>
      </c>
      <c r="G377" s="29"/>
      <c r="H377" s="775">
        <v>69</v>
      </c>
      <c r="I377" s="774" t="s">
        <v>463</v>
      </c>
      <c r="J377" s="84" t="s">
        <v>30</v>
      </c>
      <c r="K377" s="88">
        <v>1</v>
      </c>
      <c r="L377" s="973"/>
      <c r="M377" s="855"/>
      <c r="N377" s="857"/>
      <c r="O377" s="775" t="s">
        <v>38</v>
      </c>
      <c r="P377" s="26">
        <v>0</v>
      </c>
      <c r="Q377" s="26">
        <v>0</v>
      </c>
      <c r="R377" s="26">
        <v>0</v>
      </c>
      <c r="S377" s="26">
        <v>0</v>
      </c>
      <c r="T377" s="26">
        <v>0</v>
      </c>
      <c r="U377" s="26">
        <v>0</v>
      </c>
      <c r="V377" s="26">
        <v>0</v>
      </c>
      <c r="W377" s="26"/>
      <c r="X377" s="26"/>
      <c r="Y377" s="26"/>
      <c r="Z377" s="26">
        <v>0</v>
      </c>
      <c r="AA377" s="26"/>
      <c r="AB377" s="26">
        <v>0</v>
      </c>
      <c r="AC377" s="26">
        <v>0</v>
      </c>
      <c r="AD377" s="77"/>
      <c r="AE377" s="77"/>
      <c r="AF377" s="77"/>
      <c r="AG377" s="77"/>
      <c r="AH377" s="77"/>
      <c r="AI377" s="77"/>
      <c r="AJ377" s="26">
        <v>0</v>
      </c>
      <c r="AK377" s="26">
        <v>0</v>
      </c>
      <c r="AL377" s="113">
        <v>10000000</v>
      </c>
      <c r="AM377" s="41"/>
      <c r="AN377" s="26">
        <v>0</v>
      </c>
      <c r="AO377" s="27">
        <v>0</v>
      </c>
      <c r="AP377" s="27"/>
      <c r="AQ377" s="26">
        <f t="shared" si="180"/>
        <v>10000000</v>
      </c>
    </row>
    <row r="378" spans="1:43" s="28" customFormat="1" ht="75" customHeight="1" x14ac:dyDescent="0.25">
      <c r="A378" s="20"/>
      <c r="B378" s="20"/>
      <c r="C378" s="773">
        <v>19</v>
      </c>
      <c r="D378" s="774" t="s">
        <v>453</v>
      </c>
      <c r="E378" s="84" t="s">
        <v>464</v>
      </c>
      <c r="F378" s="84" t="s">
        <v>465</v>
      </c>
      <c r="G378" s="29"/>
      <c r="H378" s="775">
        <v>70</v>
      </c>
      <c r="I378" s="774" t="s">
        <v>466</v>
      </c>
      <c r="J378" s="57">
        <v>322</v>
      </c>
      <c r="K378" s="88">
        <v>406</v>
      </c>
      <c r="L378" s="973"/>
      <c r="M378" s="855"/>
      <c r="N378" s="857"/>
      <c r="O378" s="775" t="s">
        <v>34</v>
      </c>
      <c r="P378" s="26">
        <v>0</v>
      </c>
      <c r="Q378" s="26">
        <v>0</v>
      </c>
      <c r="R378" s="26">
        <v>0</v>
      </c>
      <c r="S378" s="26">
        <v>0</v>
      </c>
      <c r="T378" s="26">
        <v>0</v>
      </c>
      <c r="U378" s="26">
        <v>0</v>
      </c>
      <c r="V378" s="26">
        <v>0</v>
      </c>
      <c r="W378" s="26"/>
      <c r="X378" s="26"/>
      <c r="Y378" s="26"/>
      <c r="Z378" s="26">
        <v>0</v>
      </c>
      <c r="AA378" s="26"/>
      <c r="AB378" s="26">
        <v>0</v>
      </c>
      <c r="AC378" s="26">
        <v>0</v>
      </c>
      <c r="AD378" s="26"/>
      <c r="AE378" s="26"/>
      <c r="AF378" s="26"/>
      <c r="AG378" s="26"/>
      <c r="AH378" s="26"/>
      <c r="AI378" s="26"/>
      <c r="AJ378" s="26">
        <v>0</v>
      </c>
      <c r="AK378" s="26">
        <v>0</v>
      </c>
      <c r="AL378" s="113">
        <v>20000000</v>
      </c>
      <c r="AM378" s="41"/>
      <c r="AN378" s="26">
        <v>0</v>
      </c>
      <c r="AO378" s="27">
        <v>0</v>
      </c>
      <c r="AP378" s="27"/>
      <c r="AQ378" s="26">
        <f t="shared" si="180"/>
        <v>20000000</v>
      </c>
    </row>
    <row r="379" spans="1:43" s="28" customFormat="1" ht="71.25" x14ac:dyDescent="0.25">
      <c r="A379" s="20"/>
      <c r="B379" s="20"/>
      <c r="C379" s="773">
        <v>35</v>
      </c>
      <c r="D379" s="87" t="s">
        <v>467</v>
      </c>
      <c r="E379" s="57">
        <v>23000</v>
      </c>
      <c r="F379" s="57">
        <v>24000</v>
      </c>
      <c r="G379" s="29"/>
      <c r="H379" s="775">
        <v>71</v>
      </c>
      <c r="I379" s="774" t="s">
        <v>468</v>
      </c>
      <c r="J379" s="57">
        <v>1762</v>
      </c>
      <c r="K379" s="88">
        <v>2166</v>
      </c>
      <c r="L379" s="973"/>
      <c r="M379" s="855"/>
      <c r="N379" s="857"/>
      <c r="O379" s="775" t="s">
        <v>34</v>
      </c>
      <c r="P379" s="26">
        <v>0</v>
      </c>
      <c r="Q379" s="26">
        <v>0</v>
      </c>
      <c r="R379" s="26">
        <v>0</v>
      </c>
      <c r="S379" s="26">
        <v>0</v>
      </c>
      <c r="T379" s="26">
        <v>0</v>
      </c>
      <c r="U379" s="26">
        <v>0</v>
      </c>
      <c r="V379" s="26">
        <v>0</v>
      </c>
      <c r="W379" s="26"/>
      <c r="X379" s="26"/>
      <c r="Y379" s="26"/>
      <c r="Z379" s="26">
        <v>0</v>
      </c>
      <c r="AA379" s="26"/>
      <c r="AB379" s="26">
        <v>0</v>
      </c>
      <c r="AC379" s="26">
        <v>0</v>
      </c>
      <c r="AD379" s="26"/>
      <c r="AE379" s="26"/>
      <c r="AF379" s="26"/>
      <c r="AG379" s="26"/>
      <c r="AH379" s="26"/>
      <c r="AI379" s="26"/>
      <c r="AJ379" s="26">
        <v>0</v>
      </c>
      <c r="AK379" s="26">
        <v>0</v>
      </c>
      <c r="AL379" s="116"/>
      <c r="AM379" s="89"/>
      <c r="AN379" s="26">
        <v>0</v>
      </c>
      <c r="AO379" s="27">
        <v>0</v>
      </c>
      <c r="AP379" s="27"/>
      <c r="AQ379" s="26">
        <f t="shared" si="180"/>
        <v>0</v>
      </c>
    </row>
    <row r="380" spans="1:43" s="28" customFormat="1" ht="130.5" customHeight="1" x14ac:dyDescent="0.25">
      <c r="A380" s="20"/>
      <c r="B380" s="20"/>
      <c r="C380" s="773"/>
      <c r="D380" s="87"/>
      <c r="E380" s="90"/>
      <c r="F380" s="90"/>
      <c r="G380" s="29"/>
      <c r="H380" s="775">
        <v>72</v>
      </c>
      <c r="I380" s="774" t="s">
        <v>469</v>
      </c>
      <c r="J380" s="57">
        <v>455</v>
      </c>
      <c r="K380" s="88">
        <v>455</v>
      </c>
      <c r="L380" s="973"/>
      <c r="M380" s="855"/>
      <c r="N380" s="857"/>
      <c r="O380" s="775" t="s">
        <v>38</v>
      </c>
      <c r="P380" s="26">
        <v>0</v>
      </c>
      <c r="Q380" s="26">
        <v>0</v>
      </c>
      <c r="R380" s="26">
        <v>0</v>
      </c>
      <c r="S380" s="26">
        <v>0</v>
      </c>
      <c r="T380" s="26">
        <v>0</v>
      </c>
      <c r="U380" s="26">
        <v>0</v>
      </c>
      <c r="V380" s="26">
        <v>0</v>
      </c>
      <c r="W380" s="26"/>
      <c r="X380" s="26"/>
      <c r="Y380" s="26"/>
      <c r="Z380" s="26">
        <v>0</v>
      </c>
      <c r="AA380" s="26"/>
      <c r="AB380" s="26">
        <v>0</v>
      </c>
      <c r="AC380" s="26">
        <v>0</v>
      </c>
      <c r="AD380" s="26"/>
      <c r="AE380" s="26"/>
      <c r="AF380" s="26"/>
      <c r="AG380" s="26"/>
      <c r="AH380" s="26"/>
      <c r="AI380" s="26"/>
      <c r="AJ380" s="26">
        <v>0</v>
      </c>
      <c r="AK380" s="26">
        <v>0</v>
      </c>
      <c r="AL380" s="113"/>
      <c r="AM380" s="41"/>
      <c r="AN380" s="26">
        <v>0</v>
      </c>
      <c r="AO380" s="27">
        <v>0</v>
      </c>
      <c r="AP380" s="27"/>
      <c r="AQ380" s="26">
        <f t="shared" si="180"/>
        <v>0</v>
      </c>
    </row>
    <row r="381" spans="1:43" s="28" customFormat="1" ht="84.75" customHeight="1" x14ac:dyDescent="0.25">
      <c r="A381" s="20"/>
      <c r="B381" s="20"/>
      <c r="C381" s="773"/>
      <c r="D381" s="87"/>
      <c r="E381" s="90"/>
      <c r="F381" s="84" t="s">
        <v>0</v>
      </c>
      <c r="G381" s="30"/>
      <c r="H381" s="775">
        <v>73</v>
      </c>
      <c r="I381" s="774" t="s">
        <v>470</v>
      </c>
      <c r="J381" s="57" t="s">
        <v>30</v>
      </c>
      <c r="K381" s="31">
        <v>1</v>
      </c>
      <c r="L381" s="974"/>
      <c r="M381" s="856"/>
      <c r="N381" s="850"/>
      <c r="O381" s="775" t="s">
        <v>38</v>
      </c>
      <c r="P381" s="26">
        <v>0</v>
      </c>
      <c r="Q381" s="26">
        <v>0</v>
      </c>
      <c r="R381" s="26">
        <v>0</v>
      </c>
      <c r="S381" s="26">
        <v>0</v>
      </c>
      <c r="T381" s="26">
        <v>0</v>
      </c>
      <c r="U381" s="26">
        <v>0</v>
      </c>
      <c r="V381" s="26">
        <v>0</v>
      </c>
      <c r="W381" s="26"/>
      <c r="X381" s="26"/>
      <c r="Y381" s="26"/>
      <c r="Z381" s="26">
        <v>0</v>
      </c>
      <c r="AA381" s="26"/>
      <c r="AB381" s="26">
        <v>0</v>
      </c>
      <c r="AC381" s="26">
        <v>0</v>
      </c>
      <c r="AD381" s="26"/>
      <c r="AE381" s="77"/>
      <c r="AF381" s="77"/>
      <c r="AG381" s="26"/>
      <c r="AH381" s="128">
        <v>1341180171</v>
      </c>
      <c r="AI381" s="26"/>
      <c r="AJ381" s="26">
        <v>0</v>
      </c>
      <c r="AK381" s="26">
        <v>0</v>
      </c>
      <c r="AL381" s="110">
        <v>0</v>
      </c>
      <c r="AM381" s="38"/>
      <c r="AN381" s="26">
        <v>0</v>
      </c>
      <c r="AO381" s="27">
        <v>0</v>
      </c>
      <c r="AP381" s="27"/>
      <c r="AQ381" s="26">
        <f t="shared" si="180"/>
        <v>1341180171</v>
      </c>
    </row>
    <row r="382" spans="1:43" ht="15" x14ac:dyDescent="0.25">
      <c r="A382" s="20"/>
      <c r="B382" s="20"/>
      <c r="C382" s="773"/>
      <c r="D382" s="153"/>
      <c r="E382" s="84"/>
      <c r="F382" s="84"/>
      <c r="G382" s="154"/>
      <c r="H382" s="155"/>
      <c r="I382" s="154"/>
      <c r="J382" s="398"/>
      <c r="K382" s="398"/>
      <c r="L382" s="398"/>
      <c r="M382" s="157"/>
      <c r="N382" s="154"/>
      <c r="O382" s="155"/>
      <c r="P382" s="158">
        <f t="shared" ref="P382:AK382" si="181">SUM(P376:P381)</f>
        <v>0</v>
      </c>
      <c r="Q382" s="158">
        <f t="shared" si="181"/>
        <v>0</v>
      </c>
      <c r="R382" s="158">
        <f t="shared" si="181"/>
        <v>0</v>
      </c>
      <c r="S382" s="158">
        <f t="shared" si="181"/>
        <v>0</v>
      </c>
      <c r="T382" s="158">
        <f t="shared" si="181"/>
        <v>0</v>
      </c>
      <c r="U382" s="158">
        <f t="shared" si="181"/>
        <v>0</v>
      </c>
      <c r="V382" s="158">
        <f t="shared" si="181"/>
        <v>0</v>
      </c>
      <c r="W382" s="158">
        <f t="shared" si="181"/>
        <v>0</v>
      </c>
      <c r="X382" s="158">
        <f t="shared" si="181"/>
        <v>0</v>
      </c>
      <c r="Y382" s="158">
        <f t="shared" si="181"/>
        <v>0</v>
      </c>
      <c r="Z382" s="158">
        <f t="shared" si="181"/>
        <v>0</v>
      </c>
      <c r="AA382" s="158">
        <f t="shared" si="181"/>
        <v>0</v>
      </c>
      <c r="AB382" s="158">
        <f t="shared" si="181"/>
        <v>0</v>
      </c>
      <c r="AC382" s="158">
        <f t="shared" si="181"/>
        <v>0</v>
      </c>
      <c r="AD382" s="158">
        <f t="shared" si="181"/>
        <v>0</v>
      </c>
      <c r="AE382" s="158">
        <f t="shared" si="181"/>
        <v>0</v>
      </c>
      <c r="AF382" s="158">
        <f t="shared" si="181"/>
        <v>0</v>
      </c>
      <c r="AG382" s="158">
        <f t="shared" si="181"/>
        <v>0</v>
      </c>
      <c r="AH382" s="158">
        <f t="shared" si="181"/>
        <v>1341180171</v>
      </c>
      <c r="AI382" s="158">
        <f t="shared" si="181"/>
        <v>0</v>
      </c>
      <c r="AJ382" s="158">
        <f t="shared" si="181"/>
        <v>0</v>
      </c>
      <c r="AK382" s="158">
        <f t="shared" si="181"/>
        <v>0</v>
      </c>
      <c r="AL382" s="158">
        <f t="shared" ref="AL382:AP382" si="182">SUM(AL376:AL381)</f>
        <v>40000000</v>
      </c>
      <c r="AM382" s="158">
        <f t="shared" si="182"/>
        <v>0</v>
      </c>
      <c r="AN382" s="158">
        <f t="shared" si="182"/>
        <v>0</v>
      </c>
      <c r="AO382" s="158">
        <f t="shared" si="182"/>
        <v>0</v>
      </c>
      <c r="AP382" s="158">
        <f t="shared" si="182"/>
        <v>0</v>
      </c>
      <c r="AQ382" s="158">
        <f>SUM(AQ376:AQ381)</f>
        <v>1381180171</v>
      </c>
    </row>
    <row r="383" spans="1:43" s="28" customFormat="1" ht="15" x14ac:dyDescent="0.25">
      <c r="A383" s="20"/>
      <c r="B383" s="20"/>
      <c r="C383" s="795"/>
      <c r="D383" s="177"/>
      <c r="E383" s="399"/>
      <c r="F383" s="399"/>
      <c r="G383" s="177"/>
      <c r="H383" s="795"/>
      <c r="I383" s="177"/>
      <c r="J383" s="400"/>
      <c r="K383" s="400"/>
      <c r="L383" s="400"/>
      <c r="M383" s="179"/>
      <c r="N383" s="177"/>
      <c r="O383" s="795"/>
      <c r="P383" s="180"/>
      <c r="Q383" s="180"/>
      <c r="R383" s="180"/>
      <c r="S383" s="180"/>
      <c r="T383" s="180"/>
      <c r="U383" s="180"/>
      <c r="V383" s="180"/>
      <c r="W383" s="180"/>
      <c r="X383" s="180"/>
      <c r="Y383" s="180"/>
      <c r="Z383" s="180"/>
      <c r="AA383" s="180"/>
      <c r="AB383" s="180"/>
      <c r="AC383" s="180"/>
      <c r="AD383" s="181"/>
      <c r="AE383" s="181"/>
      <c r="AF383" s="181"/>
      <c r="AG383" s="181"/>
      <c r="AH383" s="181"/>
      <c r="AI383" s="181"/>
      <c r="AJ383" s="180"/>
      <c r="AK383" s="180"/>
      <c r="AL383" s="182"/>
      <c r="AM383" s="180"/>
      <c r="AN383" s="180"/>
      <c r="AO383" s="180"/>
      <c r="AP383" s="180"/>
      <c r="AQ383" s="26"/>
    </row>
    <row r="384" spans="1:43" ht="15" x14ac:dyDescent="0.25">
      <c r="A384" s="20"/>
      <c r="B384" s="20"/>
      <c r="C384" s="773"/>
      <c r="D384" s="153"/>
      <c r="E384" s="84"/>
      <c r="F384" s="84"/>
      <c r="G384" s="258">
        <v>18</v>
      </c>
      <c r="H384" s="275" t="s">
        <v>887</v>
      </c>
      <c r="I384" s="189"/>
      <c r="J384" s="189"/>
      <c r="K384" s="189"/>
      <c r="L384" s="189"/>
      <c r="M384" s="189"/>
      <c r="N384" s="189"/>
      <c r="O384" s="189"/>
      <c r="P384" s="189"/>
      <c r="Q384" s="189"/>
      <c r="R384" s="189"/>
      <c r="S384" s="189"/>
      <c r="T384" s="189"/>
      <c r="U384" s="189"/>
      <c r="V384" s="189"/>
      <c r="W384" s="189"/>
      <c r="X384" s="189"/>
      <c r="Y384" s="189"/>
      <c r="Z384" s="189"/>
      <c r="AA384" s="189"/>
      <c r="AB384" s="189"/>
      <c r="AC384" s="189"/>
      <c r="AD384" s="189"/>
      <c r="AE384" s="189"/>
      <c r="AF384" s="189"/>
      <c r="AG384" s="189"/>
      <c r="AH384" s="189"/>
      <c r="AI384" s="189"/>
      <c r="AJ384" s="189"/>
      <c r="AK384" s="189"/>
      <c r="AL384" s="190"/>
      <c r="AM384" s="189"/>
      <c r="AN384" s="189"/>
      <c r="AO384" s="189"/>
      <c r="AP384" s="189"/>
      <c r="AQ384" s="691"/>
    </row>
    <row r="385" spans="1:43" s="28" customFormat="1" ht="115.5" customHeight="1" x14ac:dyDescent="0.25">
      <c r="A385" s="20"/>
      <c r="B385" s="20"/>
      <c r="C385" s="773" t="s">
        <v>471</v>
      </c>
      <c r="D385" s="774" t="s">
        <v>472</v>
      </c>
      <c r="E385" s="84" t="s">
        <v>473</v>
      </c>
      <c r="F385" s="84" t="s">
        <v>474</v>
      </c>
      <c r="G385" s="23"/>
      <c r="H385" s="775">
        <v>74</v>
      </c>
      <c r="I385" s="774" t="s">
        <v>475</v>
      </c>
      <c r="J385" s="57">
        <v>2232</v>
      </c>
      <c r="K385" s="57">
        <v>2232</v>
      </c>
      <c r="L385" s="403" t="s">
        <v>450</v>
      </c>
      <c r="M385" s="37" t="s">
        <v>476</v>
      </c>
      <c r="N385" s="774" t="s">
        <v>477</v>
      </c>
      <c r="O385" s="775" t="s">
        <v>38</v>
      </c>
      <c r="P385" s="26">
        <v>0</v>
      </c>
      <c r="Q385" s="26">
        <v>0</v>
      </c>
      <c r="R385" s="26">
        <v>0</v>
      </c>
      <c r="S385" s="26">
        <v>0</v>
      </c>
      <c r="T385" s="26">
        <v>0</v>
      </c>
      <c r="U385" s="26">
        <v>0</v>
      </c>
      <c r="V385" s="26">
        <v>0</v>
      </c>
      <c r="W385" s="26"/>
      <c r="X385" s="26"/>
      <c r="Y385" s="26"/>
      <c r="Z385" s="26">
        <v>0</v>
      </c>
      <c r="AA385" s="26"/>
      <c r="AB385" s="26">
        <v>0</v>
      </c>
      <c r="AC385" s="26">
        <v>0</v>
      </c>
      <c r="AD385" s="546">
        <f>104974654094+2384463924</f>
        <v>107359118018</v>
      </c>
      <c r="AE385" s="676">
        <v>0</v>
      </c>
      <c r="AF385" s="404">
        <f>1165770164</f>
        <v>1165770164</v>
      </c>
      <c r="AG385" s="404"/>
      <c r="AH385" s="404"/>
      <c r="AI385" s="404"/>
      <c r="AJ385" s="26">
        <v>0</v>
      </c>
      <c r="AK385" s="26">
        <v>0</v>
      </c>
      <c r="AL385" s="110">
        <v>0</v>
      </c>
      <c r="AM385" s="38"/>
      <c r="AN385" s="26"/>
      <c r="AO385" s="27">
        <v>0</v>
      </c>
      <c r="AP385" s="27"/>
      <c r="AQ385" s="26">
        <f>P385+Q385+R385+S385+T385+U385+V385+W385+X385+Y385+Z385+AA385+AB385+AC385+AD385+AE385+AF385+AG385+AH385+AI385+AJ385+AK385+AL385+AM385+AN385+AP385+AO385</f>
        <v>108524888182</v>
      </c>
    </row>
    <row r="386" spans="1:43" ht="15" x14ac:dyDescent="0.25">
      <c r="A386" s="20"/>
      <c r="B386" s="152"/>
      <c r="C386" s="773"/>
      <c r="D386" s="153"/>
      <c r="E386" s="84"/>
      <c r="F386" s="84"/>
      <c r="G386" s="154"/>
      <c r="H386" s="155"/>
      <c r="I386" s="154"/>
      <c r="J386" s="398"/>
      <c r="K386" s="398"/>
      <c r="L386" s="398"/>
      <c r="M386" s="157"/>
      <c r="N386" s="155"/>
      <c r="O386" s="155"/>
      <c r="P386" s="158">
        <f>SUM(P385:P385)</f>
        <v>0</v>
      </c>
      <c r="Q386" s="158">
        <f t="shared" ref="Q386:AK386" si="183">SUM(Q385:Q385)</f>
        <v>0</v>
      </c>
      <c r="R386" s="158">
        <f t="shared" si="183"/>
        <v>0</v>
      </c>
      <c r="S386" s="158">
        <f t="shared" si="183"/>
        <v>0</v>
      </c>
      <c r="T386" s="158">
        <f t="shared" si="183"/>
        <v>0</v>
      </c>
      <c r="U386" s="158">
        <f t="shared" si="183"/>
        <v>0</v>
      </c>
      <c r="V386" s="158">
        <f t="shared" si="183"/>
        <v>0</v>
      </c>
      <c r="W386" s="158">
        <f t="shared" si="183"/>
        <v>0</v>
      </c>
      <c r="X386" s="158">
        <f t="shared" si="183"/>
        <v>0</v>
      </c>
      <c r="Y386" s="158">
        <f t="shared" si="183"/>
        <v>0</v>
      </c>
      <c r="Z386" s="158">
        <f t="shared" si="183"/>
        <v>0</v>
      </c>
      <c r="AA386" s="158">
        <f t="shared" si="183"/>
        <v>0</v>
      </c>
      <c r="AB386" s="158">
        <f t="shared" si="183"/>
        <v>0</v>
      </c>
      <c r="AC386" s="158">
        <f t="shared" si="183"/>
        <v>0</v>
      </c>
      <c r="AD386" s="158">
        <f t="shared" si="183"/>
        <v>107359118018</v>
      </c>
      <c r="AE386" s="158">
        <f t="shared" si="183"/>
        <v>0</v>
      </c>
      <c r="AF386" s="158">
        <f t="shared" si="183"/>
        <v>1165770164</v>
      </c>
      <c r="AG386" s="158">
        <f t="shared" si="183"/>
        <v>0</v>
      </c>
      <c r="AH386" s="158">
        <f t="shared" si="183"/>
        <v>0</v>
      </c>
      <c r="AI386" s="158">
        <f t="shared" si="183"/>
        <v>0</v>
      </c>
      <c r="AJ386" s="158">
        <f t="shared" si="183"/>
        <v>0</v>
      </c>
      <c r="AK386" s="158">
        <f t="shared" si="183"/>
        <v>0</v>
      </c>
      <c r="AL386" s="158">
        <f t="shared" ref="AL386:AP386" si="184">SUM(AL385:AL385)</f>
        <v>0</v>
      </c>
      <c r="AM386" s="158">
        <f t="shared" si="184"/>
        <v>0</v>
      </c>
      <c r="AN386" s="158">
        <f t="shared" si="184"/>
        <v>0</v>
      </c>
      <c r="AO386" s="158">
        <f t="shared" si="184"/>
        <v>0</v>
      </c>
      <c r="AP386" s="158">
        <f t="shared" si="184"/>
        <v>0</v>
      </c>
      <c r="AQ386" s="158">
        <f>SUM(AQ385:AQ385)</f>
        <v>108524888182</v>
      </c>
    </row>
    <row r="387" spans="1:43" ht="15" x14ac:dyDescent="0.25">
      <c r="A387" s="20"/>
      <c r="B387" s="218"/>
      <c r="C387" s="162"/>
      <c r="D387" s="161"/>
      <c r="E387" s="405"/>
      <c r="F387" s="405"/>
      <c r="G387" s="161"/>
      <c r="H387" s="162"/>
      <c r="I387" s="161"/>
      <c r="J387" s="406"/>
      <c r="K387" s="406"/>
      <c r="L387" s="406"/>
      <c r="M387" s="164"/>
      <c r="N387" s="161"/>
      <c r="O387" s="162"/>
      <c r="P387" s="165">
        <f>P386+P382+P373</f>
        <v>0</v>
      </c>
      <c r="Q387" s="165">
        <f t="shared" ref="Q387:AK387" si="185">Q386+Q382+Q373</f>
        <v>0</v>
      </c>
      <c r="R387" s="165">
        <f t="shared" si="185"/>
        <v>0</v>
      </c>
      <c r="S387" s="165">
        <f t="shared" si="185"/>
        <v>0</v>
      </c>
      <c r="T387" s="165">
        <f t="shared" si="185"/>
        <v>0</v>
      </c>
      <c r="U387" s="165">
        <f t="shared" si="185"/>
        <v>0</v>
      </c>
      <c r="V387" s="165">
        <f t="shared" si="185"/>
        <v>5453350241</v>
      </c>
      <c r="W387" s="165">
        <f t="shared" si="185"/>
        <v>0</v>
      </c>
      <c r="X387" s="165">
        <f t="shared" si="185"/>
        <v>0</v>
      </c>
      <c r="Y387" s="165">
        <f t="shared" si="185"/>
        <v>0</v>
      </c>
      <c r="Z387" s="165">
        <f t="shared" si="185"/>
        <v>0</v>
      </c>
      <c r="AA387" s="165">
        <f t="shared" si="185"/>
        <v>0</v>
      </c>
      <c r="AB387" s="165">
        <f t="shared" si="185"/>
        <v>0</v>
      </c>
      <c r="AC387" s="165">
        <f t="shared" si="185"/>
        <v>0</v>
      </c>
      <c r="AD387" s="165">
        <f t="shared" si="185"/>
        <v>107359118018</v>
      </c>
      <c r="AE387" s="165">
        <f t="shared" si="185"/>
        <v>0</v>
      </c>
      <c r="AF387" s="165">
        <f t="shared" si="185"/>
        <v>1165770164</v>
      </c>
      <c r="AG387" s="165">
        <f t="shared" si="185"/>
        <v>6431354</v>
      </c>
      <c r="AH387" s="165">
        <f t="shared" si="185"/>
        <v>1341180171</v>
      </c>
      <c r="AI387" s="165">
        <f t="shared" si="185"/>
        <v>0</v>
      </c>
      <c r="AJ387" s="165">
        <f t="shared" si="185"/>
        <v>9011218541</v>
      </c>
      <c r="AK387" s="165">
        <f t="shared" si="185"/>
        <v>0</v>
      </c>
      <c r="AL387" s="165">
        <f t="shared" ref="AL387:AP387" si="186">AL386+AL382+AL373</f>
        <v>4133400205</v>
      </c>
      <c r="AM387" s="165">
        <f t="shared" si="186"/>
        <v>0</v>
      </c>
      <c r="AN387" s="165">
        <f t="shared" si="186"/>
        <v>0</v>
      </c>
      <c r="AO387" s="165">
        <f t="shared" si="186"/>
        <v>0</v>
      </c>
      <c r="AP387" s="165">
        <f t="shared" si="186"/>
        <v>0</v>
      </c>
      <c r="AQ387" s="165">
        <f>AQ386+AQ382+AQ373</f>
        <v>128470468694</v>
      </c>
    </row>
    <row r="388" spans="1:43" s="28" customFormat="1" ht="15" x14ac:dyDescent="0.25">
      <c r="A388" s="20"/>
      <c r="B388" s="177"/>
      <c r="C388" s="795"/>
      <c r="D388" s="177"/>
      <c r="E388" s="399"/>
      <c r="F388" s="399"/>
      <c r="G388" s="177"/>
      <c r="H388" s="795"/>
      <c r="I388" s="177"/>
      <c r="J388" s="400"/>
      <c r="K388" s="400"/>
      <c r="L388" s="401"/>
      <c r="M388" s="234"/>
      <c r="N388" s="223"/>
      <c r="O388" s="795"/>
      <c r="P388" s="180"/>
      <c r="Q388" s="180"/>
      <c r="R388" s="180"/>
      <c r="S388" s="180"/>
      <c r="T388" s="180"/>
      <c r="U388" s="180"/>
      <c r="V388" s="106"/>
      <c r="W388" s="180"/>
      <c r="X388" s="180"/>
      <c r="Y388" s="180"/>
      <c r="Z388" s="180"/>
      <c r="AA388" s="180"/>
      <c r="AB388" s="180"/>
      <c r="AC388" s="180"/>
      <c r="AD388" s="181"/>
      <c r="AE388" s="181"/>
      <c r="AF388" s="181"/>
      <c r="AG388" s="181"/>
      <c r="AH388" s="181"/>
      <c r="AI388" s="181"/>
      <c r="AJ388" s="180"/>
      <c r="AK388" s="180"/>
      <c r="AL388" s="291"/>
      <c r="AM388" s="106"/>
      <c r="AN388" s="180"/>
      <c r="AO388" s="180"/>
      <c r="AP388" s="180"/>
      <c r="AQ388" s="26"/>
    </row>
    <row r="389" spans="1:43" s="28" customFormat="1" ht="15" x14ac:dyDescent="0.25">
      <c r="A389" s="20"/>
      <c r="B389" s="243">
        <v>6</v>
      </c>
      <c r="C389" s="145" t="s">
        <v>478</v>
      </c>
      <c r="D389" s="146"/>
      <c r="E389" s="146"/>
      <c r="F389" s="146"/>
      <c r="G389" s="146"/>
      <c r="H389" s="147"/>
      <c r="I389" s="146"/>
      <c r="J389" s="146"/>
      <c r="K389" s="146"/>
      <c r="L389" s="146"/>
      <c r="M389" s="652"/>
      <c r="N389" s="146"/>
      <c r="O389" s="146"/>
      <c r="P389" s="146"/>
      <c r="Q389" s="146"/>
      <c r="R389" s="146"/>
      <c r="S389" s="146"/>
      <c r="T389" s="146"/>
      <c r="U389" s="146"/>
      <c r="V389" s="146"/>
      <c r="W389" s="146"/>
      <c r="X389" s="146"/>
      <c r="Y389" s="146"/>
      <c r="Z389" s="146"/>
      <c r="AA389" s="146"/>
      <c r="AB389" s="146"/>
      <c r="AC389" s="146"/>
      <c r="AD389" s="146"/>
      <c r="AE389" s="146"/>
      <c r="AF389" s="146"/>
      <c r="AG389" s="146"/>
      <c r="AH389" s="146"/>
      <c r="AI389" s="146"/>
      <c r="AJ389" s="146"/>
      <c r="AK389" s="146"/>
      <c r="AL389" s="148"/>
      <c r="AM389" s="146"/>
      <c r="AN389" s="146"/>
      <c r="AO389" s="146"/>
      <c r="AP389" s="146"/>
      <c r="AQ389" s="524"/>
    </row>
    <row r="390" spans="1:43" s="28" customFormat="1" ht="15" x14ac:dyDescent="0.25">
      <c r="A390" s="20"/>
      <c r="B390" s="185"/>
      <c r="C390" s="776"/>
      <c r="D390" s="223"/>
      <c r="E390" s="776"/>
      <c r="F390" s="772"/>
      <c r="G390" s="407">
        <v>19</v>
      </c>
      <c r="H390" s="189" t="s">
        <v>479</v>
      </c>
      <c r="I390" s="189"/>
      <c r="J390" s="189"/>
      <c r="K390" s="189"/>
      <c r="L390" s="189"/>
      <c r="M390" s="189"/>
      <c r="N390" s="189"/>
      <c r="O390" s="189"/>
      <c r="P390" s="189"/>
      <c r="Q390" s="189"/>
      <c r="R390" s="189"/>
      <c r="S390" s="189"/>
      <c r="T390" s="189"/>
      <c r="U390" s="189"/>
      <c r="V390" s="189"/>
      <c r="W390" s="189"/>
      <c r="X390" s="189"/>
      <c r="Y390" s="189"/>
      <c r="Z390" s="189"/>
      <c r="AA390" s="189"/>
      <c r="AB390" s="189"/>
      <c r="AC390" s="189"/>
      <c r="AD390" s="189"/>
      <c r="AE390" s="189"/>
      <c r="AF390" s="189"/>
      <c r="AG390" s="189"/>
      <c r="AH390" s="189"/>
      <c r="AI390" s="189"/>
      <c r="AJ390" s="189"/>
      <c r="AK390" s="189"/>
      <c r="AL390" s="190"/>
      <c r="AM390" s="189"/>
      <c r="AN390" s="189"/>
      <c r="AO390" s="189"/>
      <c r="AP390" s="189"/>
      <c r="AQ390" s="521"/>
    </row>
    <row r="391" spans="1:43" s="28" customFormat="1" ht="102" customHeight="1" x14ac:dyDescent="0.25">
      <c r="A391" s="20"/>
      <c r="B391" s="19"/>
      <c r="C391" s="760"/>
      <c r="D391" s="91"/>
      <c r="E391" s="92"/>
      <c r="F391" s="769"/>
      <c r="G391" s="23"/>
      <c r="H391" s="775">
        <v>75</v>
      </c>
      <c r="I391" s="774" t="s">
        <v>480</v>
      </c>
      <c r="J391" s="57">
        <v>18</v>
      </c>
      <c r="K391" s="93">
        <v>20</v>
      </c>
      <c r="L391" s="961" t="s">
        <v>450</v>
      </c>
      <c r="M391" s="854" t="s">
        <v>481</v>
      </c>
      <c r="N391" s="849" t="s">
        <v>482</v>
      </c>
      <c r="O391" s="775" t="s">
        <v>34</v>
      </c>
      <c r="P391" s="26">
        <v>0</v>
      </c>
      <c r="Q391" s="26">
        <v>0</v>
      </c>
      <c r="R391" s="26">
        <v>0</v>
      </c>
      <c r="S391" s="26">
        <v>0</v>
      </c>
      <c r="T391" s="26">
        <v>0</v>
      </c>
      <c r="U391" s="26">
        <v>0</v>
      </c>
      <c r="W391" s="26"/>
      <c r="X391" s="26"/>
      <c r="Y391" s="26"/>
      <c r="Z391" s="26">
        <v>0</v>
      </c>
      <c r="AA391" s="26"/>
      <c r="AB391" s="26">
        <v>0</v>
      </c>
      <c r="AC391" s="26">
        <v>0</v>
      </c>
      <c r="AD391" s="26"/>
      <c r="AE391" s="26"/>
      <c r="AF391" s="26"/>
      <c r="AG391" s="26"/>
      <c r="AH391" s="26"/>
      <c r="AI391" s="26"/>
      <c r="AJ391" s="26">
        <v>0</v>
      </c>
      <c r="AK391" s="26">
        <v>0</v>
      </c>
      <c r="AL391" s="117">
        <v>0</v>
      </c>
      <c r="AM391" s="94"/>
      <c r="AN391" s="26">
        <v>0</v>
      </c>
      <c r="AO391" s="27">
        <v>0</v>
      </c>
      <c r="AP391" s="27"/>
      <c r="AQ391" s="26">
        <f t="shared" ref="AQ391:AQ398" si="187">P391+Q391+R391+S391+T391+U391+V391+W391+X391+Y391+Z391+AA391+AB391+AC391+AD391+AE391+AF391+AG391+AH391+AI391+AJ391+AK391+AL391+AM391+AN391+AP391+AO391</f>
        <v>0</v>
      </c>
    </row>
    <row r="392" spans="1:43" s="28" customFormat="1" ht="57" x14ac:dyDescent="0.25">
      <c r="A392" s="20"/>
      <c r="B392" s="19"/>
      <c r="C392" s="761"/>
      <c r="D392" s="95"/>
      <c r="E392" s="96"/>
      <c r="F392" s="779"/>
      <c r="G392" s="29"/>
      <c r="H392" s="775">
        <v>76</v>
      </c>
      <c r="I392" s="774" t="s">
        <v>483</v>
      </c>
      <c r="J392" s="57">
        <v>0</v>
      </c>
      <c r="K392" s="93">
        <v>600</v>
      </c>
      <c r="L392" s="965"/>
      <c r="M392" s="855"/>
      <c r="N392" s="857"/>
      <c r="O392" s="775" t="s">
        <v>34</v>
      </c>
      <c r="P392" s="26">
        <v>0</v>
      </c>
      <c r="Q392" s="26">
        <v>0</v>
      </c>
      <c r="R392" s="26">
        <v>0</v>
      </c>
      <c r="S392" s="26">
        <v>0</v>
      </c>
      <c r="T392" s="26">
        <v>0</v>
      </c>
      <c r="U392" s="26">
        <v>0</v>
      </c>
      <c r="V392" s="26">
        <v>159104816</v>
      </c>
      <c r="W392" s="26"/>
      <c r="X392" s="26"/>
      <c r="Y392" s="26"/>
      <c r="Z392" s="26">
        <v>0</v>
      </c>
      <c r="AA392" s="26"/>
      <c r="AB392" s="26">
        <v>0</v>
      </c>
      <c r="AC392" s="26">
        <v>0</v>
      </c>
      <c r="AD392" s="26"/>
      <c r="AE392" s="26"/>
      <c r="AF392" s="26"/>
      <c r="AG392" s="26"/>
      <c r="AH392" s="26"/>
      <c r="AI392" s="26"/>
      <c r="AJ392" s="26">
        <v>0</v>
      </c>
      <c r="AK392" s="26">
        <v>0</v>
      </c>
      <c r="AL392" s="110">
        <v>0</v>
      </c>
      <c r="AM392" s="38"/>
      <c r="AN392" s="26">
        <v>0</v>
      </c>
      <c r="AO392" s="27">
        <v>0</v>
      </c>
      <c r="AP392" s="27"/>
      <c r="AQ392" s="26">
        <f t="shared" si="187"/>
        <v>159104816</v>
      </c>
    </row>
    <row r="393" spans="1:43" s="28" customFormat="1" ht="82.5" customHeight="1" x14ac:dyDescent="0.25">
      <c r="A393" s="20"/>
      <c r="B393" s="19"/>
      <c r="C393" s="761">
        <v>16</v>
      </c>
      <c r="D393" s="95" t="s">
        <v>484</v>
      </c>
      <c r="E393" s="97">
        <v>45</v>
      </c>
      <c r="F393" s="770">
        <v>90</v>
      </c>
      <c r="G393" s="29"/>
      <c r="H393" s="775">
        <v>77</v>
      </c>
      <c r="I393" s="774" t="s">
        <v>485</v>
      </c>
      <c r="J393" s="57">
        <v>20</v>
      </c>
      <c r="K393" s="93">
        <v>50</v>
      </c>
      <c r="L393" s="965"/>
      <c r="M393" s="855"/>
      <c r="N393" s="857"/>
      <c r="O393" s="775" t="s">
        <v>34</v>
      </c>
      <c r="P393" s="26">
        <v>0</v>
      </c>
      <c r="Q393" s="26">
        <v>0</v>
      </c>
      <c r="R393" s="26">
        <v>0</v>
      </c>
      <c r="S393" s="26">
        <v>0</v>
      </c>
      <c r="T393" s="26">
        <v>0</v>
      </c>
      <c r="U393" s="26">
        <v>0</v>
      </c>
      <c r="V393" s="26">
        <v>0</v>
      </c>
      <c r="W393" s="26"/>
      <c r="X393" s="26"/>
      <c r="Y393" s="26"/>
      <c r="Z393" s="26">
        <v>0</v>
      </c>
      <c r="AA393" s="26"/>
      <c r="AB393" s="26">
        <v>0</v>
      </c>
      <c r="AC393" s="26">
        <v>0</v>
      </c>
      <c r="AD393" s="26"/>
      <c r="AE393" s="26"/>
      <c r="AF393" s="26"/>
      <c r="AG393" s="26"/>
      <c r="AH393" s="26"/>
      <c r="AI393" s="26"/>
      <c r="AJ393" s="26">
        <v>0</v>
      </c>
      <c r="AK393" s="26">
        <v>0</v>
      </c>
      <c r="AL393" s="110">
        <v>0</v>
      </c>
      <c r="AM393" s="38"/>
      <c r="AN393" s="26">
        <v>0</v>
      </c>
      <c r="AO393" s="27">
        <v>0</v>
      </c>
      <c r="AP393" s="27"/>
      <c r="AQ393" s="26">
        <f t="shared" si="187"/>
        <v>0</v>
      </c>
    </row>
    <row r="394" spans="1:43" s="28" customFormat="1" ht="42.75" x14ac:dyDescent="0.25">
      <c r="A394" s="20"/>
      <c r="B394" s="19"/>
      <c r="C394" s="761"/>
      <c r="D394" s="95"/>
      <c r="E394" s="96"/>
      <c r="F394" s="779"/>
      <c r="G394" s="29"/>
      <c r="H394" s="775">
        <v>78</v>
      </c>
      <c r="I394" s="774" t="s">
        <v>486</v>
      </c>
      <c r="J394" s="57">
        <v>7</v>
      </c>
      <c r="K394" s="93">
        <v>11</v>
      </c>
      <c r="L394" s="965"/>
      <c r="M394" s="855"/>
      <c r="N394" s="857"/>
      <c r="O394" s="775" t="s">
        <v>34</v>
      </c>
      <c r="P394" s="26">
        <v>0</v>
      </c>
      <c r="Q394" s="26">
        <v>0</v>
      </c>
      <c r="R394" s="26">
        <v>0</v>
      </c>
      <c r="S394" s="26">
        <v>0</v>
      </c>
      <c r="T394" s="26">
        <v>0</v>
      </c>
      <c r="U394" s="26">
        <v>0</v>
      </c>
      <c r="V394" s="26">
        <v>0</v>
      </c>
      <c r="W394" s="26"/>
      <c r="X394" s="26"/>
      <c r="Y394" s="26"/>
      <c r="Z394" s="26">
        <v>0</v>
      </c>
      <c r="AA394" s="26"/>
      <c r="AB394" s="26">
        <v>0</v>
      </c>
      <c r="AC394" s="26">
        <v>0</v>
      </c>
      <c r="AD394" s="26"/>
      <c r="AE394" s="26"/>
      <c r="AF394" s="26"/>
      <c r="AG394" s="26"/>
      <c r="AH394" s="26"/>
      <c r="AI394" s="26"/>
      <c r="AJ394" s="26">
        <v>0</v>
      </c>
      <c r="AK394" s="26">
        <v>0</v>
      </c>
      <c r="AL394" s="110">
        <v>0</v>
      </c>
      <c r="AM394" s="38"/>
      <c r="AN394" s="26">
        <v>0</v>
      </c>
      <c r="AO394" s="27">
        <v>0</v>
      </c>
      <c r="AP394" s="27"/>
      <c r="AQ394" s="26">
        <f t="shared" si="187"/>
        <v>0</v>
      </c>
    </row>
    <row r="395" spans="1:43" s="28" customFormat="1" ht="63" customHeight="1" x14ac:dyDescent="0.25">
      <c r="A395" s="20"/>
      <c r="B395" s="19"/>
      <c r="C395" s="761">
        <v>17</v>
      </c>
      <c r="D395" s="95" t="s">
        <v>487</v>
      </c>
      <c r="E395" s="96">
        <v>0.63270000000000004</v>
      </c>
      <c r="F395" s="779">
        <v>0.5</v>
      </c>
      <c r="G395" s="29"/>
      <c r="H395" s="775">
        <v>79</v>
      </c>
      <c r="I395" s="774" t="s">
        <v>488</v>
      </c>
      <c r="J395" s="57">
        <v>96</v>
      </c>
      <c r="K395" s="93">
        <v>163</v>
      </c>
      <c r="L395" s="965"/>
      <c r="M395" s="855"/>
      <c r="N395" s="857"/>
      <c r="O395" s="775" t="s">
        <v>34</v>
      </c>
      <c r="P395" s="26">
        <v>0</v>
      </c>
      <c r="Q395" s="26">
        <v>0</v>
      </c>
      <c r="R395" s="26">
        <v>0</v>
      </c>
      <c r="S395" s="26">
        <v>0</v>
      </c>
      <c r="T395" s="26">
        <v>0</v>
      </c>
      <c r="U395" s="26">
        <v>0</v>
      </c>
      <c r="V395" s="26">
        <v>0</v>
      </c>
      <c r="W395" s="26"/>
      <c r="X395" s="26"/>
      <c r="Y395" s="26"/>
      <c r="Z395" s="26">
        <v>0</v>
      </c>
      <c r="AA395" s="26"/>
      <c r="AB395" s="26">
        <v>0</v>
      </c>
      <c r="AC395" s="26">
        <v>0</v>
      </c>
      <c r="AD395" s="26"/>
      <c r="AE395" s="26"/>
      <c r="AF395" s="26"/>
      <c r="AG395" s="26"/>
      <c r="AH395" s="26"/>
      <c r="AI395" s="26"/>
      <c r="AJ395" s="26">
        <v>0</v>
      </c>
      <c r="AK395" s="26">
        <v>0</v>
      </c>
      <c r="AL395" s="110">
        <v>0</v>
      </c>
      <c r="AM395" s="38"/>
      <c r="AN395" s="26">
        <v>0</v>
      </c>
      <c r="AO395" s="27">
        <v>0</v>
      </c>
      <c r="AP395" s="27"/>
      <c r="AQ395" s="26">
        <f t="shared" si="187"/>
        <v>0</v>
      </c>
    </row>
    <row r="396" spans="1:43" s="28" customFormat="1" ht="42.75" x14ac:dyDescent="0.25">
      <c r="A396" s="20"/>
      <c r="B396" s="19"/>
      <c r="C396" s="761"/>
      <c r="D396" s="95"/>
      <c r="E396" s="96"/>
      <c r="F396" s="779"/>
      <c r="G396" s="29"/>
      <c r="H396" s="775">
        <v>80</v>
      </c>
      <c r="I396" s="774" t="s">
        <v>489</v>
      </c>
      <c r="J396" s="57">
        <v>2906</v>
      </c>
      <c r="K396" s="93">
        <v>3803</v>
      </c>
      <c r="L396" s="965"/>
      <c r="M396" s="855"/>
      <c r="N396" s="857"/>
      <c r="O396" s="775" t="s">
        <v>34</v>
      </c>
      <c r="P396" s="26">
        <v>0</v>
      </c>
      <c r="Q396" s="26">
        <v>0</v>
      </c>
      <c r="R396" s="26">
        <v>0</v>
      </c>
      <c r="S396" s="26">
        <v>0</v>
      </c>
      <c r="T396" s="26">
        <v>0</v>
      </c>
      <c r="U396" s="26">
        <v>0</v>
      </c>
      <c r="V396" s="26">
        <v>0</v>
      </c>
      <c r="W396" s="26"/>
      <c r="X396" s="26"/>
      <c r="Y396" s="26"/>
      <c r="Z396" s="26">
        <v>0</v>
      </c>
      <c r="AA396" s="26"/>
      <c r="AB396" s="26">
        <v>0</v>
      </c>
      <c r="AC396" s="26">
        <v>0</v>
      </c>
      <c r="AD396" s="26"/>
      <c r="AE396" s="26"/>
      <c r="AF396" s="26"/>
      <c r="AG396" s="26"/>
      <c r="AH396" s="26"/>
      <c r="AI396" s="26"/>
      <c r="AJ396" s="26">
        <v>0</v>
      </c>
      <c r="AK396" s="26">
        <v>0</v>
      </c>
      <c r="AL396" s="110">
        <v>0</v>
      </c>
      <c r="AM396" s="38"/>
      <c r="AN396" s="26">
        <v>0</v>
      </c>
      <c r="AO396" s="27">
        <v>0</v>
      </c>
      <c r="AP396" s="27"/>
      <c r="AQ396" s="26">
        <f t="shared" si="187"/>
        <v>0</v>
      </c>
    </row>
    <row r="397" spans="1:43" s="28" customFormat="1" ht="85.5" x14ac:dyDescent="0.25">
      <c r="A397" s="20"/>
      <c r="B397" s="19"/>
      <c r="C397" s="761"/>
      <c r="D397" s="764" t="s">
        <v>0</v>
      </c>
      <c r="E397" s="96"/>
      <c r="F397" s="779"/>
      <c r="G397" s="29"/>
      <c r="H397" s="775">
        <v>81</v>
      </c>
      <c r="I397" s="774" t="s">
        <v>490</v>
      </c>
      <c r="J397" s="31">
        <v>13</v>
      </c>
      <c r="K397" s="93">
        <v>25</v>
      </c>
      <c r="L397" s="965"/>
      <c r="M397" s="855"/>
      <c r="N397" s="857"/>
      <c r="O397" s="775" t="s">
        <v>34</v>
      </c>
      <c r="P397" s="26">
        <v>0</v>
      </c>
      <c r="Q397" s="26">
        <v>0</v>
      </c>
      <c r="R397" s="26">
        <v>0</v>
      </c>
      <c r="S397" s="26">
        <v>0</v>
      </c>
      <c r="T397" s="26">
        <v>0</v>
      </c>
      <c r="U397" s="26">
        <v>0</v>
      </c>
      <c r="V397" s="26">
        <v>0</v>
      </c>
      <c r="W397" s="26"/>
      <c r="X397" s="26"/>
      <c r="Y397" s="26"/>
      <c r="Z397" s="26">
        <v>0</v>
      </c>
      <c r="AA397" s="26"/>
      <c r="AB397" s="26">
        <v>0</v>
      </c>
      <c r="AC397" s="26">
        <v>0</v>
      </c>
      <c r="AD397" s="26"/>
      <c r="AE397" s="26"/>
      <c r="AF397" s="26"/>
      <c r="AG397" s="26"/>
      <c r="AH397" s="26"/>
      <c r="AI397" s="26"/>
      <c r="AJ397" s="26">
        <v>0</v>
      </c>
      <c r="AK397" s="26">
        <v>0</v>
      </c>
      <c r="AL397" s="110">
        <v>0</v>
      </c>
      <c r="AM397" s="38"/>
      <c r="AN397" s="26">
        <v>0</v>
      </c>
      <c r="AO397" s="27">
        <v>0</v>
      </c>
      <c r="AP397" s="27"/>
      <c r="AQ397" s="26">
        <f t="shared" si="187"/>
        <v>0</v>
      </c>
    </row>
    <row r="398" spans="1:43" s="28" customFormat="1" ht="85.5" x14ac:dyDescent="0.25">
      <c r="A398" s="20"/>
      <c r="B398" s="19"/>
      <c r="C398" s="761"/>
      <c r="D398" s="764" t="s">
        <v>0</v>
      </c>
      <c r="E398" s="96"/>
      <c r="F398" s="779"/>
      <c r="G398" s="30"/>
      <c r="H398" s="775">
        <v>82</v>
      </c>
      <c r="I398" s="774" t="s">
        <v>491</v>
      </c>
      <c r="J398" s="31">
        <v>14</v>
      </c>
      <c r="K398" s="93">
        <v>25</v>
      </c>
      <c r="L398" s="962"/>
      <c r="M398" s="856"/>
      <c r="N398" s="850"/>
      <c r="O398" s="775" t="s">
        <v>34</v>
      </c>
      <c r="P398" s="26">
        <v>0</v>
      </c>
      <c r="Q398" s="26">
        <v>0</v>
      </c>
      <c r="R398" s="26">
        <v>0</v>
      </c>
      <c r="S398" s="26">
        <v>0</v>
      </c>
      <c r="T398" s="26">
        <v>0</v>
      </c>
      <c r="U398" s="26">
        <v>0</v>
      </c>
      <c r="V398" s="26">
        <v>0</v>
      </c>
      <c r="W398" s="26"/>
      <c r="X398" s="26"/>
      <c r="Y398" s="26"/>
      <c r="Z398" s="26">
        <v>0</v>
      </c>
      <c r="AA398" s="26"/>
      <c r="AB398" s="26">
        <v>0</v>
      </c>
      <c r="AC398" s="26">
        <v>0</v>
      </c>
      <c r="AD398" s="26"/>
      <c r="AE398" s="26"/>
      <c r="AF398" s="26"/>
      <c r="AG398" s="26"/>
      <c r="AH398" s="26"/>
      <c r="AI398" s="26"/>
      <c r="AJ398" s="26">
        <v>0</v>
      </c>
      <c r="AK398" s="26">
        <v>0</v>
      </c>
      <c r="AL398" s="110">
        <v>0</v>
      </c>
      <c r="AM398" s="38"/>
      <c r="AN398" s="26">
        <v>0</v>
      </c>
      <c r="AO398" s="27">
        <v>0</v>
      </c>
      <c r="AP398" s="27"/>
      <c r="AQ398" s="26">
        <f t="shared" si="187"/>
        <v>0</v>
      </c>
    </row>
    <row r="399" spans="1:43" ht="15" x14ac:dyDescent="0.25">
      <c r="A399" s="20"/>
      <c r="B399" s="19"/>
      <c r="C399" s="761"/>
      <c r="D399" s="799"/>
      <c r="E399" s="408"/>
      <c r="F399" s="780"/>
      <c r="G399" s="409"/>
      <c r="H399" s="155"/>
      <c r="I399" s="154"/>
      <c r="J399" s="316"/>
      <c r="K399" s="316"/>
      <c r="L399" s="316"/>
      <c r="M399" s="157"/>
      <c r="N399" s="154"/>
      <c r="O399" s="155"/>
      <c r="P399" s="158">
        <f t="shared" ref="P399:AK399" si="188">SUM(P391:P398)</f>
        <v>0</v>
      </c>
      <c r="Q399" s="158">
        <f t="shared" si="188"/>
        <v>0</v>
      </c>
      <c r="R399" s="158">
        <f t="shared" si="188"/>
        <v>0</v>
      </c>
      <c r="S399" s="158">
        <f t="shared" si="188"/>
        <v>0</v>
      </c>
      <c r="T399" s="158">
        <f t="shared" si="188"/>
        <v>0</v>
      </c>
      <c r="U399" s="158">
        <f t="shared" si="188"/>
        <v>0</v>
      </c>
      <c r="V399" s="158">
        <f t="shared" si="188"/>
        <v>159104816</v>
      </c>
      <c r="W399" s="158">
        <f t="shared" si="188"/>
        <v>0</v>
      </c>
      <c r="X399" s="158">
        <f t="shared" si="188"/>
        <v>0</v>
      </c>
      <c r="Y399" s="158">
        <f t="shared" si="188"/>
        <v>0</v>
      </c>
      <c r="Z399" s="158">
        <f t="shared" si="188"/>
        <v>0</v>
      </c>
      <c r="AA399" s="158">
        <f t="shared" si="188"/>
        <v>0</v>
      </c>
      <c r="AB399" s="158">
        <f t="shared" si="188"/>
        <v>0</v>
      </c>
      <c r="AC399" s="158">
        <f t="shared" si="188"/>
        <v>0</v>
      </c>
      <c r="AD399" s="158">
        <f t="shared" si="188"/>
        <v>0</v>
      </c>
      <c r="AE399" s="158">
        <f t="shared" si="188"/>
        <v>0</v>
      </c>
      <c r="AF399" s="158">
        <f t="shared" si="188"/>
        <v>0</v>
      </c>
      <c r="AG399" s="158">
        <f t="shared" si="188"/>
        <v>0</v>
      </c>
      <c r="AH399" s="158">
        <f t="shared" si="188"/>
        <v>0</v>
      </c>
      <c r="AI399" s="158">
        <f t="shared" si="188"/>
        <v>0</v>
      </c>
      <c r="AJ399" s="158">
        <f t="shared" si="188"/>
        <v>0</v>
      </c>
      <c r="AK399" s="158">
        <f t="shared" si="188"/>
        <v>0</v>
      </c>
      <c r="AL399" s="158">
        <f t="shared" ref="AL399:AP399" si="189">SUM(AL391:AL398)</f>
        <v>0</v>
      </c>
      <c r="AM399" s="158">
        <f t="shared" si="189"/>
        <v>0</v>
      </c>
      <c r="AN399" s="158">
        <f t="shared" si="189"/>
        <v>0</v>
      </c>
      <c r="AO399" s="158">
        <f t="shared" si="189"/>
        <v>0</v>
      </c>
      <c r="AP399" s="158">
        <f t="shared" si="189"/>
        <v>0</v>
      </c>
      <c r="AQ399" s="158">
        <f>SUM(AQ391:AQ398)</f>
        <v>159104816</v>
      </c>
    </row>
    <row r="400" spans="1:43" s="28" customFormat="1" ht="15" x14ac:dyDescent="0.25">
      <c r="A400" s="20"/>
      <c r="B400" s="20"/>
      <c r="C400" s="777"/>
      <c r="D400" s="177"/>
      <c r="E400" s="399"/>
      <c r="F400" s="399"/>
      <c r="G400" s="177"/>
      <c r="H400" s="795"/>
      <c r="I400" s="177"/>
      <c r="J400" s="319"/>
      <c r="K400" s="319"/>
      <c r="L400" s="334"/>
      <c r="M400" s="234"/>
      <c r="N400" s="223"/>
      <c r="O400" s="795"/>
      <c r="P400" s="180"/>
      <c r="Q400" s="180"/>
      <c r="R400" s="180"/>
      <c r="S400" s="180"/>
      <c r="T400" s="180"/>
      <c r="U400" s="180"/>
      <c r="V400" s="180"/>
      <c r="W400" s="180"/>
      <c r="X400" s="180"/>
      <c r="Y400" s="180"/>
      <c r="Z400" s="180"/>
      <c r="AA400" s="180"/>
      <c r="AB400" s="180"/>
      <c r="AC400" s="180"/>
      <c r="AD400" s="180"/>
      <c r="AE400" s="180"/>
      <c r="AF400" s="180"/>
      <c r="AG400" s="180"/>
      <c r="AH400" s="180"/>
      <c r="AI400" s="180"/>
      <c r="AJ400" s="180"/>
      <c r="AK400" s="180"/>
      <c r="AL400" s="182"/>
      <c r="AM400" s="180"/>
      <c r="AN400" s="180"/>
      <c r="AO400" s="180"/>
      <c r="AP400" s="180"/>
      <c r="AQ400" s="26"/>
    </row>
    <row r="401" spans="1:43" ht="15" x14ac:dyDescent="0.25">
      <c r="A401" s="20"/>
      <c r="B401" s="20"/>
      <c r="C401" s="772"/>
      <c r="D401" s="798"/>
      <c r="E401" s="778"/>
      <c r="F401" s="778"/>
      <c r="G401" s="410">
        <v>20</v>
      </c>
      <c r="H401" s="275" t="s">
        <v>492</v>
      </c>
      <c r="I401" s="189"/>
      <c r="J401" s="189"/>
      <c r="K401" s="189"/>
      <c r="L401" s="189"/>
      <c r="M401" s="189"/>
      <c r="N401" s="189"/>
      <c r="O401" s="189"/>
      <c r="P401" s="189"/>
      <c r="Q401" s="189"/>
      <c r="R401" s="189"/>
      <c r="S401" s="189"/>
      <c r="T401" s="189"/>
      <c r="U401" s="189"/>
      <c r="V401" s="189"/>
      <c r="W401" s="189"/>
      <c r="X401" s="189"/>
      <c r="Y401" s="189"/>
      <c r="Z401" s="189"/>
      <c r="AA401" s="189"/>
      <c r="AB401" s="189"/>
      <c r="AC401" s="189"/>
      <c r="AD401" s="189"/>
      <c r="AE401" s="189"/>
      <c r="AF401" s="189"/>
      <c r="AG401" s="189"/>
      <c r="AH401" s="189"/>
      <c r="AI401" s="189"/>
      <c r="AJ401" s="189"/>
      <c r="AK401" s="189"/>
      <c r="AL401" s="190"/>
      <c r="AM401" s="189"/>
      <c r="AN401" s="189"/>
      <c r="AO401" s="189"/>
      <c r="AP401" s="189"/>
      <c r="AQ401" s="521"/>
    </row>
    <row r="402" spans="1:43" s="28" customFormat="1" ht="63" customHeight="1" x14ac:dyDescent="0.25">
      <c r="A402" s="20"/>
      <c r="B402" s="19"/>
      <c r="C402" s="98"/>
      <c r="D402" s="99"/>
      <c r="E402" s="99"/>
      <c r="F402" s="99"/>
      <c r="G402" s="100"/>
      <c r="H402" s="775">
        <v>83</v>
      </c>
      <c r="I402" s="774" t="s">
        <v>493</v>
      </c>
      <c r="J402" s="57">
        <v>0</v>
      </c>
      <c r="K402" s="93">
        <v>27</v>
      </c>
      <c r="L402" s="966" t="s">
        <v>450</v>
      </c>
      <c r="M402" s="854" t="s">
        <v>494</v>
      </c>
      <c r="N402" s="849" t="s">
        <v>495</v>
      </c>
      <c r="O402" s="775" t="s">
        <v>34</v>
      </c>
      <c r="P402" s="26">
        <v>0</v>
      </c>
      <c r="Q402" s="26">
        <v>0</v>
      </c>
      <c r="R402" s="26">
        <v>0</v>
      </c>
      <c r="S402" s="26">
        <v>0</v>
      </c>
      <c r="T402" s="26">
        <v>0</v>
      </c>
      <c r="U402" s="26">
        <v>0</v>
      </c>
      <c r="V402" s="26">
        <v>0</v>
      </c>
      <c r="W402" s="26"/>
      <c r="X402" s="26"/>
      <c r="Y402" s="26"/>
      <c r="Z402" s="26">
        <v>0</v>
      </c>
      <c r="AA402" s="26"/>
      <c r="AB402" s="26">
        <v>0</v>
      </c>
      <c r="AC402" s="26">
        <v>0</v>
      </c>
      <c r="AD402" s="26"/>
      <c r="AE402" s="26"/>
      <c r="AF402" s="26"/>
      <c r="AG402" s="26"/>
      <c r="AH402" s="26"/>
      <c r="AI402" s="26"/>
      <c r="AJ402" s="26">
        <v>0</v>
      </c>
      <c r="AK402" s="26">
        <v>0</v>
      </c>
      <c r="AL402" s="667"/>
      <c r="AM402" s="38"/>
      <c r="AN402" s="26">
        <v>0</v>
      </c>
      <c r="AO402" s="27">
        <v>0</v>
      </c>
      <c r="AP402" s="27"/>
      <c r="AQ402" s="26">
        <f t="shared" ref="AQ402:AQ411" si="190">P402+Q402+R402+S402+T402+U402+V402+W402+X402+Y402+Z402+AA402+AB402+AC402+AD402+AE402+AF402+AG402+AH402+AI402+AJ402+AK402+AL402+AM402+AN402+AP402+AO402</f>
        <v>0</v>
      </c>
    </row>
    <row r="403" spans="1:43" s="28" customFormat="1" ht="86.25" customHeight="1" x14ac:dyDescent="0.25">
      <c r="A403" s="20"/>
      <c r="B403" s="19"/>
      <c r="C403" s="98"/>
      <c r="D403" s="99"/>
      <c r="E403" s="99"/>
      <c r="F403" s="99"/>
      <c r="G403" s="101"/>
      <c r="H403" s="775">
        <v>84</v>
      </c>
      <c r="I403" s="774" t="s">
        <v>496</v>
      </c>
      <c r="J403" s="57">
        <v>0</v>
      </c>
      <c r="K403" s="93">
        <v>15</v>
      </c>
      <c r="L403" s="967"/>
      <c r="M403" s="855"/>
      <c r="N403" s="857"/>
      <c r="O403" s="775" t="s">
        <v>34</v>
      </c>
      <c r="P403" s="26">
        <v>0</v>
      </c>
      <c r="Q403" s="26">
        <v>0</v>
      </c>
      <c r="R403" s="26">
        <v>0</v>
      </c>
      <c r="S403" s="26">
        <v>0</v>
      </c>
      <c r="T403" s="26">
        <v>0</v>
      </c>
      <c r="U403" s="26">
        <v>0</v>
      </c>
      <c r="V403" s="26">
        <v>0</v>
      </c>
      <c r="W403" s="26"/>
      <c r="X403" s="26"/>
      <c r="Y403" s="26"/>
      <c r="Z403" s="26">
        <v>0</v>
      </c>
      <c r="AA403" s="26"/>
      <c r="AB403" s="26">
        <v>0</v>
      </c>
      <c r="AC403" s="26">
        <v>0</v>
      </c>
      <c r="AD403" s="26"/>
      <c r="AE403" s="26"/>
      <c r="AF403" s="26"/>
      <c r="AG403" s="26"/>
      <c r="AH403" s="26"/>
      <c r="AI403" s="26"/>
      <c r="AJ403" s="26">
        <v>0</v>
      </c>
      <c r="AK403" s="26">
        <v>0</v>
      </c>
      <c r="AL403" s="667"/>
      <c r="AM403" s="38"/>
      <c r="AN403" s="26">
        <v>0</v>
      </c>
      <c r="AO403" s="27">
        <v>0</v>
      </c>
      <c r="AP403" s="27"/>
      <c r="AQ403" s="26">
        <f t="shared" si="190"/>
        <v>0</v>
      </c>
    </row>
    <row r="404" spans="1:43" s="28" customFormat="1" ht="80.25" customHeight="1" x14ac:dyDescent="0.25">
      <c r="A404" s="20"/>
      <c r="B404" s="19"/>
      <c r="C404" s="98"/>
      <c r="D404" s="99"/>
      <c r="E404" s="99"/>
      <c r="F404" s="99"/>
      <c r="G404" s="101"/>
      <c r="H404" s="775">
        <v>85</v>
      </c>
      <c r="I404" s="774" t="s">
        <v>497</v>
      </c>
      <c r="J404" s="57">
        <v>0</v>
      </c>
      <c r="K404" s="93">
        <v>15</v>
      </c>
      <c r="L404" s="967"/>
      <c r="M404" s="855"/>
      <c r="N404" s="857"/>
      <c r="O404" s="775" t="s">
        <v>34</v>
      </c>
      <c r="P404" s="26">
        <v>0</v>
      </c>
      <c r="Q404" s="26">
        <v>0</v>
      </c>
      <c r="R404" s="26">
        <v>0</v>
      </c>
      <c r="S404" s="26">
        <v>0</v>
      </c>
      <c r="T404" s="26">
        <v>0</v>
      </c>
      <c r="U404" s="26">
        <v>0</v>
      </c>
      <c r="V404" s="26">
        <v>20000000</v>
      </c>
      <c r="W404" s="26"/>
      <c r="X404" s="26"/>
      <c r="Y404" s="26"/>
      <c r="Z404" s="26">
        <v>0</v>
      </c>
      <c r="AA404" s="26"/>
      <c r="AB404" s="26">
        <v>0</v>
      </c>
      <c r="AC404" s="26">
        <v>0</v>
      </c>
      <c r="AD404" s="26"/>
      <c r="AE404" s="26"/>
      <c r="AF404" s="26"/>
      <c r="AG404" s="26"/>
      <c r="AH404" s="26"/>
      <c r="AI404" s="26"/>
      <c r="AJ404" s="26">
        <v>0</v>
      </c>
      <c r="AK404" s="26">
        <v>0</v>
      </c>
      <c r="AL404" s="667"/>
      <c r="AM404" s="38"/>
      <c r="AN404" s="26">
        <v>0</v>
      </c>
      <c r="AO404" s="27">
        <v>0</v>
      </c>
      <c r="AP404" s="27"/>
      <c r="AQ404" s="26">
        <f t="shared" si="190"/>
        <v>20000000</v>
      </c>
    </row>
    <row r="405" spans="1:43" s="28" customFormat="1" ht="188.25" customHeight="1" x14ac:dyDescent="0.25">
      <c r="A405" s="20"/>
      <c r="B405" s="19"/>
      <c r="C405" s="761">
        <v>14</v>
      </c>
      <c r="D405" s="29" t="s">
        <v>457</v>
      </c>
      <c r="E405" s="779">
        <v>6.2E-2</v>
      </c>
      <c r="F405" s="779">
        <v>0.03</v>
      </c>
      <c r="G405" s="101"/>
      <c r="H405" s="775">
        <v>87</v>
      </c>
      <c r="I405" s="774" t="s">
        <v>498</v>
      </c>
      <c r="J405" s="57">
        <v>0</v>
      </c>
      <c r="K405" s="93">
        <v>30</v>
      </c>
      <c r="L405" s="967"/>
      <c r="M405" s="855"/>
      <c r="N405" s="857"/>
      <c r="O405" s="775" t="s">
        <v>38</v>
      </c>
      <c r="P405" s="26">
        <v>0</v>
      </c>
      <c r="Q405" s="26">
        <v>0</v>
      </c>
      <c r="R405" s="26">
        <v>0</v>
      </c>
      <c r="S405" s="26">
        <v>0</v>
      </c>
      <c r="T405" s="26">
        <v>0</v>
      </c>
      <c r="U405" s="26">
        <v>0</v>
      </c>
      <c r="V405" s="26">
        <v>0</v>
      </c>
      <c r="W405" s="26"/>
      <c r="X405" s="26"/>
      <c r="Y405" s="26"/>
      <c r="Z405" s="26">
        <v>0</v>
      </c>
      <c r="AA405" s="26"/>
      <c r="AB405" s="26">
        <v>0</v>
      </c>
      <c r="AC405" s="26">
        <v>0</v>
      </c>
      <c r="AD405" s="666">
        <v>286276023</v>
      </c>
      <c r="AE405" s="26"/>
      <c r="AF405" s="26"/>
      <c r="AG405" s="26"/>
      <c r="AH405" s="26"/>
      <c r="AI405" s="26"/>
      <c r="AJ405" s="26">
        <v>0</v>
      </c>
      <c r="AK405" s="26">
        <v>0</v>
      </c>
      <c r="AL405" s="667">
        <f>10000000-10000000</f>
        <v>0</v>
      </c>
      <c r="AM405" s="38"/>
      <c r="AN405" s="26">
        <v>0</v>
      </c>
      <c r="AO405" s="27">
        <v>0</v>
      </c>
      <c r="AP405" s="27"/>
      <c r="AQ405" s="26">
        <f t="shared" si="190"/>
        <v>286276023</v>
      </c>
    </row>
    <row r="406" spans="1:43" s="28" customFormat="1" ht="77.25" customHeight="1" x14ac:dyDescent="0.25">
      <c r="A406" s="20"/>
      <c r="B406" s="19"/>
      <c r="C406" s="761">
        <v>15</v>
      </c>
      <c r="D406" s="764" t="s">
        <v>448</v>
      </c>
      <c r="E406" s="779">
        <v>0.73229999999999995</v>
      </c>
      <c r="F406" s="779">
        <v>0.78</v>
      </c>
      <c r="G406" s="101"/>
      <c r="H406" s="775">
        <v>88</v>
      </c>
      <c r="I406" s="774" t="s">
        <v>499</v>
      </c>
      <c r="J406" s="57">
        <v>21</v>
      </c>
      <c r="K406" s="93">
        <v>29</v>
      </c>
      <c r="L406" s="967"/>
      <c r="M406" s="855"/>
      <c r="N406" s="857"/>
      <c r="O406" s="775" t="s">
        <v>34</v>
      </c>
      <c r="P406" s="26">
        <v>0</v>
      </c>
      <c r="Q406" s="26">
        <v>0</v>
      </c>
      <c r="R406" s="26">
        <v>0</v>
      </c>
      <c r="S406" s="26">
        <v>0</v>
      </c>
      <c r="T406" s="26">
        <v>0</v>
      </c>
      <c r="U406" s="26">
        <v>0</v>
      </c>
      <c r="V406" s="26">
        <v>50000000</v>
      </c>
      <c r="W406" s="26"/>
      <c r="X406" s="26"/>
      <c r="Y406" s="26"/>
      <c r="Z406" s="26">
        <v>0</v>
      </c>
      <c r="AA406" s="26"/>
      <c r="AB406" s="26">
        <v>0</v>
      </c>
      <c r="AC406" s="26">
        <v>0</v>
      </c>
      <c r="AD406" s="26"/>
      <c r="AE406" s="26"/>
      <c r="AF406" s="26"/>
      <c r="AG406" s="26"/>
      <c r="AH406" s="26"/>
      <c r="AI406" s="26"/>
      <c r="AJ406" s="26">
        <v>0</v>
      </c>
      <c r="AK406" s="26">
        <v>0</v>
      </c>
      <c r="AL406" s="667"/>
      <c r="AM406" s="38"/>
      <c r="AN406" s="26">
        <v>0</v>
      </c>
      <c r="AO406" s="27">
        <v>0</v>
      </c>
      <c r="AP406" s="27"/>
      <c r="AQ406" s="26">
        <f t="shared" si="190"/>
        <v>50000000</v>
      </c>
    </row>
    <row r="407" spans="1:43" s="28" customFormat="1" ht="69" customHeight="1" x14ac:dyDescent="0.25">
      <c r="A407" s="20"/>
      <c r="B407" s="19"/>
      <c r="C407" s="761">
        <v>19</v>
      </c>
      <c r="D407" s="764" t="s">
        <v>453</v>
      </c>
      <c r="E407" s="779" t="s">
        <v>500</v>
      </c>
      <c r="F407" s="779" t="s">
        <v>501</v>
      </c>
      <c r="G407" s="101"/>
      <c r="H407" s="775">
        <v>86</v>
      </c>
      <c r="I407" s="774" t="s">
        <v>502</v>
      </c>
      <c r="J407" s="57">
        <v>0</v>
      </c>
      <c r="K407" s="93">
        <v>3</v>
      </c>
      <c r="L407" s="967"/>
      <c r="M407" s="855"/>
      <c r="N407" s="857"/>
      <c r="O407" s="775" t="s">
        <v>34</v>
      </c>
      <c r="P407" s="26"/>
      <c r="Q407" s="26"/>
      <c r="R407" s="26"/>
      <c r="S407" s="26"/>
      <c r="T407" s="26"/>
      <c r="U407" s="26"/>
      <c r="V407" s="677">
        <f>46673401-26673401</f>
        <v>20000000</v>
      </c>
      <c r="W407" s="26"/>
      <c r="X407" s="26"/>
      <c r="Y407" s="26"/>
      <c r="Z407" s="26"/>
      <c r="AA407" s="26"/>
      <c r="AB407" s="26"/>
      <c r="AC407" s="26"/>
      <c r="AD407" s="26"/>
      <c r="AE407" s="26"/>
      <c r="AF407" s="26"/>
      <c r="AG407" s="26"/>
      <c r="AH407" s="26"/>
      <c r="AI407" s="26"/>
      <c r="AJ407" s="26"/>
      <c r="AK407" s="26"/>
      <c r="AL407" s="667"/>
      <c r="AM407" s="38"/>
      <c r="AN407" s="26"/>
      <c r="AO407" s="27"/>
      <c r="AP407" s="27"/>
      <c r="AQ407" s="26">
        <f t="shared" si="190"/>
        <v>20000000</v>
      </c>
    </row>
    <row r="408" spans="1:43" s="28" customFormat="1" ht="57" x14ac:dyDescent="0.25">
      <c r="A408" s="20"/>
      <c r="B408" s="19"/>
      <c r="C408" s="761"/>
      <c r="D408" s="29"/>
      <c r="E408" s="102"/>
      <c r="F408" s="102"/>
      <c r="G408" s="101"/>
      <c r="H408" s="775">
        <v>89</v>
      </c>
      <c r="I408" s="774" t="s">
        <v>503</v>
      </c>
      <c r="J408" s="57" t="s">
        <v>30</v>
      </c>
      <c r="K408" s="93">
        <v>13000</v>
      </c>
      <c r="L408" s="967"/>
      <c r="M408" s="855"/>
      <c r="N408" s="857"/>
      <c r="O408" s="775" t="s">
        <v>34</v>
      </c>
      <c r="P408" s="26">
        <v>0</v>
      </c>
      <c r="Q408" s="26">
        <v>0</v>
      </c>
      <c r="R408" s="26">
        <v>0</v>
      </c>
      <c r="S408" s="26">
        <v>0</v>
      </c>
      <c r="T408" s="26">
        <v>0</v>
      </c>
      <c r="U408" s="26">
        <v>0</v>
      </c>
      <c r="V408" s="26">
        <v>0</v>
      </c>
      <c r="W408" s="26"/>
      <c r="X408" s="26"/>
      <c r="Y408" s="26"/>
      <c r="Z408" s="26">
        <v>0</v>
      </c>
      <c r="AA408" s="26"/>
      <c r="AB408" s="26">
        <v>0</v>
      </c>
      <c r="AC408" s="26">
        <v>0</v>
      </c>
      <c r="AD408" s="26"/>
      <c r="AE408" s="26"/>
      <c r="AF408" s="26"/>
      <c r="AG408" s="26"/>
      <c r="AH408" s="26"/>
      <c r="AI408" s="26"/>
      <c r="AJ408" s="26">
        <v>0</v>
      </c>
      <c r="AK408" s="26">
        <v>0</v>
      </c>
      <c r="AL408" s="667"/>
      <c r="AM408" s="38"/>
      <c r="AN408" s="26">
        <v>0</v>
      </c>
      <c r="AO408" s="27">
        <v>0</v>
      </c>
      <c r="AP408" s="27"/>
      <c r="AQ408" s="26">
        <f t="shared" si="190"/>
        <v>0</v>
      </c>
    </row>
    <row r="409" spans="1:43" s="28" customFormat="1" ht="57" x14ac:dyDescent="0.25">
      <c r="A409" s="20"/>
      <c r="B409" s="19"/>
      <c r="C409" s="761"/>
      <c r="D409" s="29"/>
      <c r="E409" s="102"/>
      <c r="F409" s="102"/>
      <c r="G409" s="101"/>
      <c r="H409" s="775">
        <v>90</v>
      </c>
      <c r="I409" s="774" t="s">
        <v>504</v>
      </c>
      <c r="J409" s="57">
        <v>100</v>
      </c>
      <c r="K409" s="93">
        <v>115</v>
      </c>
      <c r="L409" s="967"/>
      <c r="M409" s="855"/>
      <c r="N409" s="857"/>
      <c r="O409" s="775" t="s">
        <v>34</v>
      </c>
      <c r="P409" s="26">
        <v>0</v>
      </c>
      <c r="Q409" s="26">
        <v>0</v>
      </c>
      <c r="R409" s="26">
        <v>0</v>
      </c>
      <c r="S409" s="26">
        <v>0</v>
      </c>
      <c r="T409" s="26">
        <v>0</v>
      </c>
      <c r="U409" s="26">
        <v>0</v>
      </c>
      <c r="V409" s="665">
        <v>10000000</v>
      </c>
      <c r="W409" s="26"/>
      <c r="X409" s="26"/>
      <c r="Y409" s="26"/>
      <c r="Z409" s="26">
        <v>0</v>
      </c>
      <c r="AA409" s="26"/>
      <c r="AB409" s="26">
        <v>0</v>
      </c>
      <c r="AC409" s="26">
        <v>0</v>
      </c>
      <c r="AD409" s="26"/>
      <c r="AE409" s="26"/>
      <c r="AF409" s="26"/>
      <c r="AG409" s="26"/>
      <c r="AH409" s="26"/>
      <c r="AI409" s="26"/>
      <c r="AJ409" s="26">
        <v>0</v>
      </c>
      <c r="AK409" s="26">
        <v>0</v>
      </c>
      <c r="AL409" s="667">
        <v>36000000</v>
      </c>
      <c r="AM409" s="38"/>
      <c r="AN409" s="26">
        <v>0</v>
      </c>
      <c r="AO409" s="27">
        <v>0</v>
      </c>
      <c r="AP409" s="27"/>
      <c r="AQ409" s="26">
        <f t="shared" si="190"/>
        <v>46000000</v>
      </c>
    </row>
    <row r="410" spans="1:43" s="28" customFormat="1" ht="71.25" x14ac:dyDescent="0.25">
      <c r="A410" s="20"/>
      <c r="B410" s="19"/>
      <c r="C410" s="761"/>
      <c r="D410" s="29"/>
      <c r="E410" s="102"/>
      <c r="F410" s="102"/>
      <c r="G410" s="101"/>
      <c r="H410" s="775">
        <v>91</v>
      </c>
      <c r="I410" s="774" t="s">
        <v>505</v>
      </c>
      <c r="J410" s="57">
        <v>0</v>
      </c>
      <c r="K410" s="93">
        <v>54</v>
      </c>
      <c r="L410" s="967"/>
      <c r="M410" s="855"/>
      <c r="N410" s="857"/>
      <c r="O410" s="775" t="s">
        <v>38</v>
      </c>
      <c r="P410" s="26">
        <v>0</v>
      </c>
      <c r="Q410" s="26">
        <v>0</v>
      </c>
      <c r="R410" s="26">
        <v>0</v>
      </c>
      <c r="S410" s="26">
        <v>0</v>
      </c>
      <c r="T410" s="26">
        <v>0</v>
      </c>
      <c r="U410" s="26">
        <v>0</v>
      </c>
      <c r="V410" s="665">
        <v>190000000</v>
      </c>
      <c r="W410" s="26"/>
      <c r="X410" s="26"/>
      <c r="Y410" s="26"/>
      <c r="Z410" s="26">
        <v>0</v>
      </c>
      <c r="AA410" s="26"/>
      <c r="AB410" s="26">
        <v>0</v>
      </c>
      <c r="AC410" s="26">
        <v>0</v>
      </c>
      <c r="AD410" s="26"/>
      <c r="AE410" s="26"/>
      <c r="AF410" s="26"/>
      <c r="AG410" s="26"/>
      <c r="AH410" s="26"/>
      <c r="AI410" s="26"/>
      <c r="AJ410" s="26">
        <v>0</v>
      </c>
      <c r="AK410" s="26">
        <v>0</v>
      </c>
      <c r="AL410" s="667"/>
      <c r="AM410" s="38"/>
      <c r="AN410" s="26">
        <v>0</v>
      </c>
      <c r="AO410" s="27">
        <v>0</v>
      </c>
      <c r="AP410" s="27"/>
      <c r="AQ410" s="26">
        <f t="shared" si="190"/>
        <v>190000000</v>
      </c>
    </row>
    <row r="411" spans="1:43" s="28" customFormat="1" ht="84.75" customHeight="1" x14ac:dyDescent="0.25">
      <c r="A411" s="20"/>
      <c r="B411" s="19"/>
      <c r="C411" s="761"/>
      <c r="D411" s="764"/>
      <c r="E411" s="779"/>
      <c r="F411" s="779"/>
      <c r="G411" s="103"/>
      <c r="H411" s="775">
        <v>92</v>
      </c>
      <c r="I411" s="774" t="s">
        <v>506</v>
      </c>
      <c r="J411" s="57">
        <v>0</v>
      </c>
      <c r="K411" s="88">
        <v>2</v>
      </c>
      <c r="L411" s="968"/>
      <c r="M411" s="856"/>
      <c r="N411" s="850"/>
      <c r="O411" s="775" t="s">
        <v>34</v>
      </c>
      <c r="P411" s="26"/>
      <c r="Q411" s="26"/>
      <c r="R411" s="26"/>
      <c r="S411" s="26"/>
      <c r="T411" s="26"/>
      <c r="U411" s="26"/>
      <c r="V411" s="26"/>
      <c r="W411" s="26"/>
      <c r="X411" s="26"/>
      <c r="Y411" s="26"/>
      <c r="Z411" s="26"/>
      <c r="AA411" s="26"/>
      <c r="AB411" s="26"/>
      <c r="AC411" s="26"/>
      <c r="AD411" s="26"/>
      <c r="AE411" s="26"/>
      <c r="AF411" s="26"/>
      <c r="AG411" s="26"/>
      <c r="AH411" s="26"/>
      <c r="AI411" s="26"/>
      <c r="AJ411" s="26"/>
      <c r="AK411" s="26"/>
      <c r="AL411" s="667"/>
      <c r="AM411" s="38"/>
      <c r="AN411" s="26"/>
      <c r="AO411" s="27"/>
      <c r="AP411" s="27"/>
      <c r="AQ411" s="26">
        <f t="shared" si="190"/>
        <v>0</v>
      </c>
    </row>
    <row r="412" spans="1:43" ht="15" x14ac:dyDescent="0.25">
      <c r="A412" s="20"/>
      <c r="B412" s="19"/>
      <c r="C412" s="762"/>
      <c r="D412" s="799"/>
      <c r="E412" s="780"/>
      <c r="F412" s="780"/>
      <c r="G412" s="409"/>
      <c r="H412" s="155"/>
      <c r="I412" s="154"/>
      <c r="J412" s="398"/>
      <c r="K412" s="411"/>
      <c r="L412" s="411"/>
      <c r="M412" s="157"/>
      <c r="N412" s="154"/>
      <c r="O412" s="155"/>
      <c r="P412" s="158">
        <f>SUM(P402:P411)</f>
        <v>0</v>
      </c>
      <c r="Q412" s="158">
        <f t="shared" ref="Q412:AK412" si="191">SUM(Q402:Q411)</f>
        <v>0</v>
      </c>
      <c r="R412" s="158">
        <f t="shared" si="191"/>
        <v>0</v>
      </c>
      <c r="S412" s="158">
        <f t="shared" si="191"/>
        <v>0</v>
      </c>
      <c r="T412" s="158">
        <f t="shared" si="191"/>
        <v>0</v>
      </c>
      <c r="U412" s="158">
        <f t="shared" si="191"/>
        <v>0</v>
      </c>
      <c r="V412" s="158">
        <f t="shared" si="191"/>
        <v>290000000</v>
      </c>
      <c r="W412" s="158">
        <f t="shared" si="191"/>
        <v>0</v>
      </c>
      <c r="X412" s="158">
        <f t="shared" si="191"/>
        <v>0</v>
      </c>
      <c r="Y412" s="158">
        <f t="shared" si="191"/>
        <v>0</v>
      </c>
      <c r="Z412" s="158">
        <f t="shared" si="191"/>
        <v>0</v>
      </c>
      <c r="AA412" s="158">
        <f t="shared" si="191"/>
        <v>0</v>
      </c>
      <c r="AB412" s="158">
        <f t="shared" si="191"/>
        <v>0</v>
      </c>
      <c r="AC412" s="158">
        <f t="shared" si="191"/>
        <v>0</v>
      </c>
      <c r="AD412" s="158">
        <f t="shared" si="191"/>
        <v>286276023</v>
      </c>
      <c r="AE412" s="158">
        <f t="shared" si="191"/>
        <v>0</v>
      </c>
      <c r="AF412" s="158">
        <f t="shared" si="191"/>
        <v>0</v>
      </c>
      <c r="AG412" s="158">
        <f t="shared" si="191"/>
        <v>0</v>
      </c>
      <c r="AH412" s="158">
        <f t="shared" si="191"/>
        <v>0</v>
      </c>
      <c r="AI412" s="158">
        <f t="shared" si="191"/>
        <v>0</v>
      </c>
      <c r="AJ412" s="158">
        <f t="shared" si="191"/>
        <v>0</v>
      </c>
      <c r="AK412" s="158">
        <f t="shared" si="191"/>
        <v>0</v>
      </c>
      <c r="AL412" s="158">
        <f t="shared" ref="AL412:AP412" si="192">SUM(AL402:AL411)</f>
        <v>36000000</v>
      </c>
      <c r="AM412" s="158">
        <f t="shared" si="192"/>
        <v>0</v>
      </c>
      <c r="AN412" s="158">
        <f t="shared" si="192"/>
        <v>0</v>
      </c>
      <c r="AO412" s="158">
        <f t="shared" si="192"/>
        <v>0</v>
      </c>
      <c r="AP412" s="158">
        <f t="shared" si="192"/>
        <v>0</v>
      </c>
      <c r="AQ412" s="158">
        <f>SUM(AQ402:AQ411)</f>
        <v>612276023</v>
      </c>
    </row>
    <row r="413" spans="1:43" ht="15" x14ac:dyDescent="0.25">
      <c r="A413" s="20"/>
      <c r="B413" s="20"/>
      <c r="C413" s="795"/>
      <c r="D413" s="177"/>
      <c r="E413" s="399"/>
      <c r="F413" s="399"/>
      <c r="G413" s="177"/>
      <c r="H413" s="795"/>
      <c r="I413" s="177"/>
      <c r="J413" s="319"/>
      <c r="K413" s="319"/>
      <c r="L413" s="334"/>
      <c r="M413" s="234"/>
      <c r="N413" s="223"/>
      <c r="O413" s="795"/>
      <c r="P413" s="180"/>
      <c r="Q413" s="180"/>
      <c r="R413" s="180"/>
      <c r="S413" s="180"/>
      <c r="T413" s="180"/>
      <c r="U413" s="180"/>
      <c r="V413" s="180"/>
      <c r="W413" s="180"/>
      <c r="X413" s="180"/>
      <c r="Y413" s="180"/>
      <c r="Z413" s="180"/>
      <c r="AA413" s="180"/>
      <c r="AB413" s="180"/>
      <c r="AC413" s="180"/>
      <c r="AD413" s="180"/>
      <c r="AE413" s="180"/>
      <c r="AF413" s="180"/>
      <c r="AG413" s="180"/>
      <c r="AH413" s="180"/>
      <c r="AI413" s="180"/>
      <c r="AJ413" s="180"/>
      <c r="AK413" s="180"/>
      <c r="AL413" s="182"/>
      <c r="AM413" s="180"/>
      <c r="AN413" s="180"/>
      <c r="AO413" s="180"/>
      <c r="AP413" s="180"/>
      <c r="AQ413" s="26"/>
    </row>
    <row r="414" spans="1:43" ht="15" x14ac:dyDescent="0.25">
      <c r="A414" s="20"/>
      <c r="B414" s="20"/>
      <c r="C414" s="772"/>
      <c r="D414" s="798"/>
      <c r="E414" s="778"/>
      <c r="F414" s="778"/>
      <c r="G414" s="258">
        <v>21</v>
      </c>
      <c r="H414" s="275" t="s">
        <v>507</v>
      </c>
      <c r="I414" s="189"/>
      <c r="J414" s="189"/>
      <c r="K414" s="189"/>
      <c r="L414" s="189"/>
      <c r="M414" s="189"/>
      <c r="N414" s="189"/>
      <c r="O414" s="189"/>
      <c r="P414" s="189"/>
      <c r="Q414" s="189"/>
      <c r="R414" s="189"/>
      <c r="S414" s="189"/>
      <c r="T414" s="189"/>
      <c r="U414" s="189"/>
      <c r="V414" s="189"/>
      <c r="W414" s="189"/>
      <c r="X414" s="189"/>
      <c r="Y414" s="189"/>
      <c r="Z414" s="189"/>
      <c r="AA414" s="189"/>
      <c r="AB414" s="189"/>
      <c r="AC414" s="189"/>
      <c r="AD414" s="189"/>
      <c r="AE414" s="189"/>
      <c r="AF414" s="189"/>
      <c r="AG414" s="189"/>
      <c r="AH414" s="189"/>
      <c r="AI414" s="189"/>
      <c r="AJ414" s="189"/>
      <c r="AK414" s="189"/>
      <c r="AL414" s="190"/>
      <c r="AM414" s="189"/>
      <c r="AN414" s="189"/>
      <c r="AO414" s="189"/>
      <c r="AP414" s="189"/>
      <c r="AQ414" s="521"/>
    </row>
    <row r="415" spans="1:43" s="28" customFormat="1" ht="42.75" x14ac:dyDescent="0.25">
      <c r="A415" s="20"/>
      <c r="B415" s="19"/>
      <c r="C415" s="760">
        <v>14</v>
      </c>
      <c r="D415" s="23" t="s">
        <v>457</v>
      </c>
      <c r="E415" s="778">
        <v>6.2E-2</v>
      </c>
      <c r="F415" s="778">
        <v>0.03</v>
      </c>
      <c r="G415" s="100"/>
      <c r="H415" s="775">
        <v>93</v>
      </c>
      <c r="I415" s="774" t="s">
        <v>508</v>
      </c>
      <c r="J415" s="57" t="s">
        <v>30</v>
      </c>
      <c r="K415" s="93">
        <v>18</v>
      </c>
      <c r="L415" s="966" t="s">
        <v>450</v>
      </c>
      <c r="M415" s="854" t="s">
        <v>509</v>
      </c>
      <c r="N415" s="849" t="s">
        <v>510</v>
      </c>
      <c r="O415" s="775" t="s">
        <v>34</v>
      </c>
      <c r="P415" s="26">
        <v>0</v>
      </c>
      <c r="Q415" s="26">
        <v>0</v>
      </c>
      <c r="R415" s="26">
        <v>0</v>
      </c>
      <c r="S415" s="26">
        <v>0</v>
      </c>
      <c r="T415" s="26">
        <v>0</v>
      </c>
      <c r="U415" s="26">
        <v>0</v>
      </c>
      <c r="V415" s="26">
        <v>0</v>
      </c>
      <c r="W415" s="26"/>
      <c r="X415" s="26"/>
      <c r="Y415" s="26"/>
      <c r="Z415" s="26">
        <v>0</v>
      </c>
      <c r="AA415" s="26"/>
      <c r="AB415" s="26">
        <v>0</v>
      </c>
      <c r="AC415" s="26">
        <v>0</v>
      </c>
      <c r="AD415" s="108"/>
      <c r="AE415" s="108"/>
      <c r="AF415" s="108"/>
      <c r="AG415" s="108"/>
      <c r="AH415" s="108"/>
      <c r="AI415" s="108"/>
      <c r="AJ415" s="26">
        <v>0</v>
      </c>
      <c r="AK415" s="26">
        <v>0</v>
      </c>
      <c r="AL415" s="667">
        <v>0</v>
      </c>
      <c r="AM415" s="38"/>
      <c r="AN415" s="26">
        <v>0</v>
      </c>
      <c r="AO415" s="27">
        <v>0</v>
      </c>
      <c r="AP415" s="27"/>
      <c r="AQ415" s="26">
        <f>P415+Q415+R415+S415+T415+U415+V415+W415+X415+Y415+Z415+AA415+AB415+AC415+AD415+AE415+AF415+AG415+AH415+AI415+AJ415+AK415+AL415+AM415+AN415+AP415+AO415</f>
        <v>0</v>
      </c>
    </row>
    <row r="416" spans="1:43" s="28" customFormat="1" ht="62.25" customHeight="1" x14ac:dyDescent="0.25">
      <c r="A416" s="20"/>
      <c r="B416" s="19"/>
      <c r="C416" s="761">
        <v>15</v>
      </c>
      <c r="D416" s="764" t="s">
        <v>448</v>
      </c>
      <c r="E416" s="779">
        <v>0.73229999999999995</v>
      </c>
      <c r="F416" s="779">
        <v>0.78</v>
      </c>
      <c r="G416" s="101"/>
      <c r="H416" s="775">
        <v>94</v>
      </c>
      <c r="I416" s="774" t="s">
        <v>511</v>
      </c>
      <c r="J416" s="57">
        <v>70</v>
      </c>
      <c r="K416" s="93">
        <v>30</v>
      </c>
      <c r="L416" s="967"/>
      <c r="M416" s="855"/>
      <c r="N416" s="857"/>
      <c r="O416" s="775" t="s">
        <v>34</v>
      </c>
      <c r="P416" s="26">
        <v>0</v>
      </c>
      <c r="Q416" s="26">
        <v>0</v>
      </c>
      <c r="R416" s="26">
        <v>0</v>
      </c>
      <c r="S416" s="26">
        <v>0</v>
      </c>
      <c r="T416" s="26">
        <v>0</v>
      </c>
      <c r="U416" s="26">
        <v>0</v>
      </c>
      <c r="V416" s="26">
        <v>253000000</v>
      </c>
      <c r="W416" s="26"/>
      <c r="X416" s="26"/>
      <c r="Y416" s="26"/>
      <c r="Z416" s="26">
        <v>0</v>
      </c>
      <c r="AA416" s="26"/>
      <c r="AB416" s="26">
        <v>0</v>
      </c>
      <c r="AC416" s="26">
        <v>0</v>
      </c>
      <c r="AD416" s="14"/>
      <c r="AE416" s="14"/>
      <c r="AF416" s="14"/>
      <c r="AG416" s="14"/>
      <c r="AH416" s="14"/>
      <c r="AI416" s="14"/>
      <c r="AJ416" s="26">
        <v>0</v>
      </c>
      <c r="AK416" s="26">
        <v>0</v>
      </c>
      <c r="AL416" s="667">
        <v>0</v>
      </c>
      <c r="AM416" s="38"/>
      <c r="AN416" s="26">
        <v>0</v>
      </c>
      <c r="AO416" s="27">
        <v>0</v>
      </c>
      <c r="AP416" s="27"/>
      <c r="AQ416" s="26">
        <f>P416+Q416+R416+S416+T416+U416+V416+W416+X416+Y416+Z416+AA416+AB416+AC416+AD416+AE416+AF416+AG416+AH416+AI416+AJ416+AK416+AL416+AM416+AN416+AP416+AO416</f>
        <v>253000000</v>
      </c>
    </row>
    <row r="417" spans="1:43" s="28" customFormat="1" ht="81.75" customHeight="1" x14ac:dyDescent="0.25">
      <c r="A417" s="20"/>
      <c r="B417" s="19"/>
      <c r="C417" s="761">
        <v>19</v>
      </c>
      <c r="D417" s="764" t="s">
        <v>453</v>
      </c>
      <c r="E417" s="779" t="s">
        <v>512</v>
      </c>
      <c r="F417" s="779" t="s">
        <v>513</v>
      </c>
      <c r="G417" s="101"/>
      <c r="H417" s="775">
        <v>95</v>
      </c>
      <c r="I417" s="774" t="s">
        <v>514</v>
      </c>
      <c r="J417" s="57">
        <v>0</v>
      </c>
      <c r="K417" s="93">
        <v>500</v>
      </c>
      <c r="L417" s="967"/>
      <c r="M417" s="855"/>
      <c r="N417" s="857"/>
      <c r="O417" s="775" t="s">
        <v>38</v>
      </c>
      <c r="P417" s="26">
        <v>0</v>
      </c>
      <c r="Q417" s="26">
        <v>0</v>
      </c>
      <c r="R417" s="26">
        <v>0</v>
      </c>
      <c r="S417" s="26">
        <v>0</v>
      </c>
      <c r="T417" s="26">
        <v>0</v>
      </c>
      <c r="U417" s="26">
        <v>0</v>
      </c>
      <c r="V417" s="26">
        <v>4500000</v>
      </c>
      <c r="W417" s="26"/>
      <c r="X417" s="26"/>
      <c r="Y417" s="26"/>
      <c r="Z417" s="26">
        <v>0</v>
      </c>
      <c r="AA417" s="26"/>
      <c r="AB417" s="26">
        <v>0</v>
      </c>
      <c r="AC417" s="26">
        <v>0</v>
      </c>
      <c r="AD417" s="14"/>
      <c r="AE417" s="14"/>
      <c r="AF417" s="14"/>
      <c r="AG417" s="14"/>
      <c r="AH417" s="14"/>
      <c r="AI417" s="14"/>
      <c r="AJ417" s="26">
        <v>0</v>
      </c>
      <c r="AK417" s="26">
        <v>0</v>
      </c>
      <c r="AL417" s="667">
        <f>13700000-13700000</f>
        <v>0</v>
      </c>
      <c r="AM417" s="38"/>
      <c r="AN417" s="26">
        <v>0</v>
      </c>
      <c r="AO417" s="27">
        <v>0</v>
      </c>
      <c r="AP417" s="27"/>
      <c r="AQ417" s="26">
        <f>P417+Q417+R417+S417+T417+U417+V417+W417+X417+Y417+Z417+AA417+AB417+AC417+AD417+AE417+AF417+AG417+AH417+AI417+AJ417+AK417+AL417+AM417+AN417+AP417+AO417</f>
        <v>4500000</v>
      </c>
    </row>
    <row r="418" spans="1:43" s="28" customFormat="1" ht="48.75" customHeight="1" x14ac:dyDescent="0.25">
      <c r="A418" s="20"/>
      <c r="B418" s="19"/>
      <c r="C418" s="762"/>
      <c r="D418" s="30"/>
      <c r="E418" s="30"/>
      <c r="F418" s="412"/>
      <c r="G418" s="103"/>
      <c r="H418" s="775">
        <v>96</v>
      </c>
      <c r="I418" s="774" t="s">
        <v>515</v>
      </c>
      <c r="J418" s="57">
        <v>0</v>
      </c>
      <c r="K418" s="93">
        <v>2</v>
      </c>
      <c r="L418" s="968"/>
      <c r="M418" s="856"/>
      <c r="N418" s="850"/>
      <c r="O418" s="775" t="s">
        <v>34</v>
      </c>
      <c r="P418" s="26">
        <v>0</v>
      </c>
      <c r="Q418" s="26">
        <v>0</v>
      </c>
      <c r="R418" s="26">
        <v>0</v>
      </c>
      <c r="S418" s="26">
        <v>0</v>
      </c>
      <c r="T418" s="26">
        <v>0</v>
      </c>
      <c r="U418" s="26">
        <v>0</v>
      </c>
      <c r="V418" s="26">
        <v>0</v>
      </c>
      <c r="W418" s="26"/>
      <c r="X418" s="26"/>
      <c r="Y418" s="26"/>
      <c r="Z418" s="26">
        <v>0</v>
      </c>
      <c r="AA418" s="26"/>
      <c r="AB418" s="26">
        <v>0</v>
      </c>
      <c r="AC418" s="26">
        <v>0</v>
      </c>
      <c r="AD418" s="14"/>
      <c r="AE418" s="14"/>
      <c r="AF418" s="14"/>
      <c r="AG418" s="14"/>
      <c r="AH418" s="14"/>
      <c r="AI418" s="14"/>
      <c r="AJ418" s="26">
        <v>0</v>
      </c>
      <c r="AK418" s="26">
        <v>0</v>
      </c>
      <c r="AL418" s="667">
        <v>16300000</v>
      </c>
      <c r="AM418" s="38"/>
      <c r="AN418" s="26">
        <v>0</v>
      </c>
      <c r="AO418" s="27">
        <v>0</v>
      </c>
      <c r="AP418" s="27"/>
      <c r="AQ418" s="26">
        <f>P418+Q418+R418+S418+T418+U418+V418+W418+X418+Y418+Z418+AA418+AB418+AC418+AD418+AE418+AF418+AG418+AH418+AI418+AJ418+AK418+AL418+AM418+AN418+AP418+AO418</f>
        <v>16300000</v>
      </c>
    </row>
    <row r="419" spans="1:43" ht="15" x14ac:dyDescent="0.25">
      <c r="A419" s="20"/>
      <c r="B419" s="20"/>
      <c r="C419" s="773"/>
      <c r="D419" s="774"/>
      <c r="E419" s="579"/>
      <c r="F419" s="80"/>
      <c r="G419" s="154"/>
      <c r="H419" s="155"/>
      <c r="I419" s="154"/>
      <c r="J419" s="398"/>
      <c r="K419" s="411"/>
      <c r="L419" s="411"/>
      <c r="M419" s="157"/>
      <c r="N419" s="154"/>
      <c r="O419" s="155"/>
      <c r="P419" s="158">
        <f t="shared" ref="P419:AK419" si="193">SUM(P415:P418)</f>
        <v>0</v>
      </c>
      <c r="Q419" s="158">
        <f t="shared" si="193"/>
        <v>0</v>
      </c>
      <c r="R419" s="158">
        <f t="shared" si="193"/>
        <v>0</v>
      </c>
      <c r="S419" s="158">
        <f t="shared" si="193"/>
        <v>0</v>
      </c>
      <c r="T419" s="158">
        <f t="shared" si="193"/>
        <v>0</v>
      </c>
      <c r="U419" s="158">
        <f t="shared" si="193"/>
        <v>0</v>
      </c>
      <c r="V419" s="158">
        <f t="shared" si="193"/>
        <v>257500000</v>
      </c>
      <c r="W419" s="158">
        <f t="shared" si="193"/>
        <v>0</v>
      </c>
      <c r="X419" s="158">
        <f t="shared" si="193"/>
        <v>0</v>
      </c>
      <c r="Y419" s="158">
        <f t="shared" si="193"/>
        <v>0</v>
      </c>
      <c r="Z419" s="158">
        <f t="shared" si="193"/>
        <v>0</v>
      </c>
      <c r="AA419" s="158">
        <f t="shared" si="193"/>
        <v>0</v>
      </c>
      <c r="AB419" s="158">
        <f t="shared" si="193"/>
        <v>0</v>
      </c>
      <c r="AC419" s="158">
        <f t="shared" si="193"/>
        <v>0</v>
      </c>
      <c r="AD419" s="158">
        <f t="shared" si="193"/>
        <v>0</v>
      </c>
      <c r="AE419" s="158">
        <f t="shared" si="193"/>
        <v>0</v>
      </c>
      <c r="AF419" s="158">
        <f t="shared" si="193"/>
        <v>0</v>
      </c>
      <c r="AG419" s="158">
        <f t="shared" si="193"/>
        <v>0</v>
      </c>
      <c r="AH419" s="158">
        <f t="shared" si="193"/>
        <v>0</v>
      </c>
      <c r="AI419" s="158">
        <f t="shared" si="193"/>
        <v>0</v>
      </c>
      <c r="AJ419" s="158">
        <f t="shared" si="193"/>
        <v>0</v>
      </c>
      <c r="AK419" s="158">
        <f t="shared" si="193"/>
        <v>0</v>
      </c>
      <c r="AL419" s="158">
        <f t="shared" ref="AL419:AP419" si="194">SUM(AL415:AL418)</f>
        <v>16300000</v>
      </c>
      <c r="AM419" s="158">
        <f t="shared" si="194"/>
        <v>0</v>
      </c>
      <c r="AN419" s="158">
        <f t="shared" si="194"/>
        <v>0</v>
      </c>
      <c r="AO419" s="158">
        <f t="shared" si="194"/>
        <v>0</v>
      </c>
      <c r="AP419" s="158">
        <f t="shared" si="194"/>
        <v>0</v>
      </c>
      <c r="AQ419" s="158">
        <f>SUM(AQ415:AQ418)</f>
        <v>273800000</v>
      </c>
    </row>
    <row r="420" spans="1:43" ht="15" x14ac:dyDescent="0.25">
      <c r="A420" s="20"/>
      <c r="B420" s="20"/>
      <c r="C420" s="795"/>
      <c r="D420" s="177"/>
      <c r="E420" s="399"/>
      <c r="F420" s="399"/>
      <c r="G420" s="177"/>
      <c r="H420" s="795"/>
      <c r="I420" s="177"/>
      <c r="J420" s="319"/>
      <c r="K420" s="319"/>
      <c r="L420" s="334"/>
      <c r="M420" s="234"/>
      <c r="N420" s="223"/>
      <c r="O420" s="795"/>
      <c r="P420" s="180"/>
      <c r="Q420" s="180"/>
      <c r="R420" s="180"/>
      <c r="S420" s="180"/>
      <c r="T420" s="180"/>
      <c r="U420" s="180"/>
      <c r="V420" s="180"/>
      <c r="W420" s="180"/>
      <c r="X420" s="180"/>
      <c r="Y420" s="180"/>
      <c r="Z420" s="180"/>
      <c r="AA420" s="180"/>
      <c r="AB420" s="180"/>
      <c r="AC420" s="180"/>
      <c r="AD420" s="180"/>
      <c r="AE420" s="180"/>
      <c r="AF420" s="180"/>
      <c r="AG420" s="180"/>
      <c r="AH420" s="180"/>
      <c r="AI420" s="180"/>
      <c r="AJ420" s="180"/>
      <c r="AK420" s="180"/>
      <c r="AL420" s="182"/>
      <c r="AM420" s="180"/>
      <c r="AN420" s="180"/>
      <c r="AO420" s="180"/>
      <c r="AP420" s="180"/>
      <c r="AQ420" s="26"/>
    </row>
    <row r="421" spans="1:43" ht="15" x14ac:dyDescent="0.25">
      <c r="A421" s="20"/>
      <c r="B421" s="20"/>
      <c r="C421" s="773"/>
      <c r="D421" s="153"/>
      <c r="E421" s="84"/>
      <c r="F421" s="84"/>
      <c r="G421" s="188">
        <v>22</v>
      </c>
      <c r="H421" s="189" t="s">
        <v>516</v>
      </c>
      <c r="I421" s="189"/>
      <c r="J421" s="189"/>
      <c r="K421" s="189"/>
      <c r="L421" s="189"/>
      <c r="M421" s="189"/>
      <c r="N421" s="189"/>
      <c r="O421" s="189"/>
      <c r="P421" s="189"/>
      <c r="Q421" s="189"/>
      <c r="R421" s="189"/>
      <c r="S421" s="189"/>
      <c r="T421" s="189"/>
      <c r="U421" s="189"/>
      <c r="V421" s="189"/>
      <c r="W421" s="189"/>
      <c r="X421" s="189"/>
      <c r="Y421" s="189"/>
      <c r="Z421" s="189"/>
      <c r="AA421" s="189"/>
      <c r="AB421" s="189"/>
      <c r="AC421" s="189"/>
      <c r="AD421" s="189"/>
      <c r="AE421" s="189"/>
      <c r="AF421" s="189"/>
      <c r="AG421" s="189"/>
      <c r="AH421" s="189"/>
      <c r="AI421" s="189"/>
      <c r="AJ421" s="189"/>
      <c r="AK421" s="189"/>
      <c r="AL421" s="190"/>
      <c r="AM421" s="189"/>
      <c r="AN421" s="189"/>
      <c r="AO421" s="189"/>
      <c r="AP421" s="189"/>
      <c r="AQ421" s="521"/>
    </row>
    <row r="422" spans="1:43" s="28" customFormat="1" ht="131.25" customHeight="1" x14ac:dyDescent="0.25">
      <c r="A422" s="20"/>
      <c r="B422" s="20"/>
      <c r="C422" s="773" t="s">
        <v>471</v>
      </c>
      <c r="D422" s="774" t="s">
        <v>472</v>
      </c>
      <c r="E422" s="84" t="s">
        <v>517</v>
      </c>
      <c r="F422" s="84" t="s">
        <v>518</v>
      </c>
      <c r="G422" s="774"/>
      <c r="H422" s="775">
        <v>97</v>
      </c>
      <c r="I422" s="774" t="s">
        <v>519</v>
      </c>
      <c r="J422" s="57" t="s">
        <v>30</v>
      </c>
      <c r="K422" s="88">
        <v>33</v>
      </c>
      <c r="L422" s="759" t="s">
        <v>450</v>
      </c>
      <c r="M422" s="37" t="s">
        <v>520</v>
      </c>
      <c r="N422" s="774" t="s">
        <v>521</v>
      </c>
      <c r="O422" s="775" t="s">
        <v>34</v>
      </c>
      <c r="P422" s="26">
        <v>0</v>
      </c>
      <c r="Q422" s="26">
        <v>0</v>
      </c>
      <c r="R422" s="26">
        <v>0</v>
      </c>
      <c r="S422" s="26">
        <v>0</v>
      </c>
      <c r="T422" s="26">
        <v>0</v>
      </c>
      <c r="U422" s="26">
        <v>0</v>
      </c>
      <c r="V422" s="26">
        <v>43300000</v>
      </c>
      <c r="W422" s="26"/>
      <c r="X422" s="26"/>
      <c r="Y422" s="26"/>
      <c r="Z422" s="26">
        <v>0</v>
      </c>
      <c r="AA422" s="26"/>
      <c r="AB422" s="26">
        <v>0</v>
      </c>
      <c r="AC422" s="26">
        <v>0</v>
      </c>
      <c r="AD422" s="108"/>
      <c r="AE422" s="108"/>
      <c r="AF422" s="108"/>
      <c r="AG422" s="108"/>
      <c r="AH422" s="108"/>
      <c r="AI422" s="108"/>
      <c r="AJ422" s="108">
        <v>0</v>
      </c>
      <c r="AK422" s="26">
        <v>0</v>
      </c>
      <c r="AL422" s="110">
        <v>0</v>
      </c>
      <c r="AM422" s="38"/>
      <c r="AN422" s="26">
        <v>0</v>
      </c>
      <c r="AO422" s="27">
        <v>0</v>
      </c>
      <c r="AP422" s="27"/>
      <c r="AQ422" s="26">
        <f>P422+Q422+R422+S422+T422+U422+V422+W422+X422+Y422+Z422+AA422+AB422+AC422+AD422+AE422+AF422+AG422+AH422+AI422+AJ422+AK422+AL422+AM422+AN422+AP422+AO422</f>
        <v>43300000</v>
      </c>
    </row>
    <row r="423" spans="1:43" ht="15" x14ac:dyDescent="0.25">
      <c r="A423" s="20"/>
      <c r="B423" s="152"/>
      <c r="C423" s="773"/>
      <c r="D423" s="774"/>
      <c r="E423" s="413"/>
      <c r="F423" s="413"/>
      <c r="G423" s="154"/>
      <c r="H423" s="155"/>
      <c r="I423" s="154"/>
      <c r="J423" s="398"/>
      <c r="K423" s="411"/>
      <c r="L423" s="411"/>
      <c r="M423" s="157"/>
      <c r="N423" s="154"/>
      <c r="O423" s="155"/>
      <c r="P423" s="158">
        <f>SUM(P422)</f>
        <v>0</v>
      </c>
      <c r="Q423" s="158">
        <f t="shared" ref="Q423:AK423" si="195">SUM(Q422)</f>
        <v>0</v>
      </c>
      <c r="R423" s="158">
        <f t="shared" si="195"/>
        <v>0</v>
      </c>
      <c r="S423" s="158">
        <f t="shared" si="195"/>
        <v>0</v>
      </c>
      <c r="T423" s="158">
        <f t="shared" si="195"/>
        <v>0</v>
      </c>
      <c r="U423" s="158">
        <f t="shared" si="195"/>
        <v>0</v>
      </c>
      <c r="V423" s="158">
        <f t="shared" si="195"/>
        <v>43300000</v>
      </c>
      <c r="W423" s="158">
        <f t="shared" si="195"/>
        <v>0</v>
      </c>
      <c r="X423" s="158">
        <f t="shared" si="195"/>
        <v>0</v>
      </c>
      <c r="Y423" s="158">
        <f t="shared" si="195"/>
        <v>0</v>
      </c>
      <c r="Z423" s="158">
        <f t="shared" si="195"/>
        <v>0</v>
      </c>
      <c r="AA423" s="158">
        <f t="shared" si="195"/>
        <v>0</v>
      </c>
      <c r="AB423" s="158">
        <f t="shared" si="195"/>
        <v>0</v>
      </c>
      <c r="AC423" s="158">
        <f t="shared" si="195"/>
        <v>0</v>
      </c>
      <c r="AD423" s="158">
        <f t="shared" si="195"/>
        <v>0</v>
      </c>
      <c r="AE423" s="158">
        <f t="shared" si="195"/>
        <v>0</v>
      </c>
      <c r="AF423" s="158">
        <f t="shared" si="195"/>
        <v>0</v>
      </c>
      <c r="AG423" s="158">
        <f t="shared" si="195"/>
        <v>0</v>
      </c>
      <c r="AH423" s="158">
        <f t="shared" si="195"/>
        <v>0</v>
      </c>
      <c r="AI423" s="158">
        <f t="shared" si="195"/>
        <v>0</v>
      </c>
      <c r="AJ423" s="158">
        <f t="shared" si="195"/>
        <v>0</v>
      </c>
      <c r="AK423" s="158">
        <f t="shared" si="195"/>
        <v>0</v>
      </c>
      <c r="AL423" s="158">
        <f t="shared" ref="AL423:AP423" si="196">SUM(AL422)</f>
        <v>0</v>
      </c>
      <c r="AM423" s="158">
        <f t="shared" si="196"/>
        <v>0</v>
      </c>
      <c r="AN423" s="158">
        <f t="shared" si="196"/>
        <v>0</v>
      </c>
      <c r="AO423" s="158">
        <f t="shared" si="196"/>
        <v>0</v>
      </c>
      <c r="AP423" s="158">
        <f t="shared" si="196"/>
        <v>0</v>
      </c>
      <c r="AQ423" s="158">
        <f>SUM(AQ422)</f>
        <v>43300000</v>
      </c>
    </row>
    <row r="424" spans="1:43" ht="15" x14ac:dyDescent="0.25">
      <c r="A424" s="20"/>
      <c r="B424" s="218"/>
      <c r="C424" s="162"/>
      <c r="D424" s="161"/>
      <c r="E424" s="405"/>
      <c r="F424" s="405"/>
      <c r="G424" s="161"/>
      <c r="H424" s="162"/>
      <c r="I424" s="161"/>
      <c r="J424" s="406"/>
      <c r="K424" s="406"/>
      <c r="L424" s="406"/>
      <c r="M424" s="164"/>
      <c r="N424" s="161"/>
      <c r="O424" s="162"/>
      <c r="P424" s="165">
        <f>P423+P419+P412+P399</f>
        <v>0</v>
      </c>
      <c r="Q424" s="165">
        <f t="shared" ref="Q424:AK424" si="197">Q423+Q419+Q412+Q399</f>
        <v>0</v>
      </c>
      <c r="R424" s="165">
        <f t="shared" si="197"/>
        <v>0</v>
      </c>
      <c r="S424" s="165">
        <f t="shared" si="197"/>
        <v>0</v>
      </c>
      <c r="T424" s="165">
        <f t="shared" si="197"/>
        <v>0</v>
      </c>
      <c r="U424" s="165">
        <f t="shared" si="197"/>
        <v>0</v>
      </c>
      <c r="V424" s="165">
        <f t="shared" si="197"/>
        <v>749904816</v>
      </c>
      <c r="W424" s="165">
        <f t="shared" si="197"/>
        <v>0</v>
      </c>
      <c r="X424" s="165">
        <f t="shared" si="197"/>
        <v>0</v>
      </c>
      <c r="Y424" s="165">
        <f t="shared" si="197"/>
        <v>0</v>
      </c>
      <c r="Z424" s="165">
        <f t="shared" si="197"/>
        <v>0</v>
      </c>
      <c r="AA424" s="165">
        <f t="shared" si="197"/>
        <v>0</v>
      </c>
      <c r="AB424" s="165">
        <f t="shared" si="197"/>
        <v>0</v>
      </c>
      <c r="AC424" s="165">
        <f t="shared" si="197"/>
        <v>0</v>
      </c>
      <c r="AD424" s="165">
        <f t="shared" si="197"/>
        <v>286276023</v>
      </c>
      <c r="AE424" s="165">
        <f t="shared" si="197"/>
        <v>0</v>
      </c>
      <c r="AF424" s="165">
        <f t="shared" si="197"/>
        <v>0</v>
      </c>
      <c r="AG424" s="165">
        <f t="shared" si="197"/>
        <v>0</v>
      </c>
      <c r="AH424" s="165">
        <f t="shared" si="197"/>
        <v>0</v>
      </c>
      <c r="AI424" s="165">
        <f t="shared" si="197"/>
        <v>0</v>
      </c>
      <c r="AJ424" s="165">
        <f t="shared" si="197"/>
        <v>0</v>
      </c>
      <c r="AK424" s="165">
        <f t="shared" si="197"/>
        <v>0</v>
      </c>
      <c r="AL424" s="165">
        <f t="shared" ref="AL424:AP424" si="198">AL423+AL419+AL412+AL399</f>
        <v>52300000</v>
      </c>
      <c r="AM424" s="165">
        <f t="shared" si="198"/>
        <v>0</v>
      </c>
      <c r="AN424" s="165">
        <f t="shared" si="198"/>
        <v>0</v>
      </c>
      <c r="AO424" s="165">
        <f t="shared" si="198"/>
        <v>0</v>
      </c>
      <c r="AP424" s="165">
        <f t="shared" si="198"/>
        <v>0</v>
      </c>
      <c r="AQ424" s="165">
        <f>AQ423+AQ419+AQ412+AQ399</f>
        <v>1088480839</v>
      </c>
    </row>
    <row r="425" spans="1:43" ht="15" x14ac:dyDescent="0.25">
      <c r="A425" s="20"/>
      <c r="B425" s="414"/>
      <c r="C425" s="777"/>
      <c r="D425" s="414"/>
      <c r="E425" s="415"/>
      <c r="F425" s="415"/>
      <c r="G425" s="414"/>
      <c r="H425" s="777"/>
      <c r="I425" s="414"/>
      <c r="J425" s="416"/>
      <c r="K425" s="416"/>
      <c r="L425" s="417"/>
      <c r="M425" s="418"/>
      <c r="N425" s="419"/>
      <c r="O425" s="777"/>
      <c r="P425" s="281"/>
      <c r="Q425" s="281"/>
      <c r="R425" s="281"/>
      <c r="S425" s="281"/>
      <c r="T425" s="281"/>
      <c r="U425" s="281"/>
      <c r="V425" s="106"/>
      <c r="W425" s="281"/>
      <c r="X425" s="281"/>
      <c r="Y425" s="281"/>
      <c r="Z425" s="281"/>
      <c r="AA425" s="281"/>
      <c r="AB425" s="281"/>
      <c r="AC425" s="281"/>
      <c r="AD425" s="420"/>
      <c r="AE425" s="420"/>
      <c r="AF425" s="420"/>
      <c r="AG425" s="420"/>
      <c r="AH425" s="420"/>
      <c r="AI425" s="420"/>
      <c r="AJ425" s="281"/>
      <c r="AK425" s="281"/>
      <c r="AL425" s="291"/>
      <c r="AM425" s="106"/>
      <c r="AN425" s="281"/>
      <c r="AO425" s="281"/>
      <c r="AP425" s="281"/>
      <c r="AQ425" s="26"/>
    </row>
    <row r="426" spans="1:43" ht="15" x14ac:dyDescent="0.25">
      <c r="A426" s="20"/>
      <c r="B426" s="243">
        <v>7</v>
      </c>
      <c r="C426" s="145" t="s">
        <v>522</v>
      </c>
      <c r="D426" s="146"/>
      <c r="E426" s="146"/>
      <c r="F426" s="146"/>
      <c r="G426" s="146"/>
      <c r="H426" s="147"/>
      <c r="I426" s="146"/>
      <c r="J426" s="146"/>
      <c r="K426" s="146"/>
      <c r="L426" s="146"/>
      <c r="M426" s="652"/>
      <c r="N426" s="146"/>
      <c r="O426" s="146"/>
      <c r="P426" s="146"/>
      <c r="Q426" s="146"/>
      <c r="R426" s="146"/>
      <c r="S426" s="146"/>
      <c r="T426" s="146"/>
      <c r="U426" s="146"/>
      <c r="V426" s="146"/>
      <c r="W426" s="146"/>
      <c r="X426" s="146"/>
      <c r="Y426" s="146"/>
      <c r="Z426" s="146"/>
      <c r="AA426" s="146"/>
      <c r="AB426" s="146"/>
      <c r="AC426" s="146"/>
      <c r="AD426" s="146"/>
      <c r="AE426" s="146"/>
      <c r="AF426" s="146"/>
      <c r="AG426" s="146"/>
      <c r="AH426" s="146"/>
      <c r="AI426" s="146"/>
      <c r="AJ426" s="146"/>
      <c r="AK426" s="146"/>
      <c r="AL426" s="148"/>
      <c r="AM426" s="146"/>
      <c r="AN426" s="146"/>
      <c r="AO426" s="146"/>
      <c r="AP426" s="146"/>
      <c r="AQ426" s="524"/>
    </row>
    <row r="427" spans="1:43" ht="15" x14ac:dyDescent="0.25">
      <c r="A427" s="20"/>
      <c r="B427" s="185"/>
      <c r="C427" s="795"/>
      <c r="D427" s="177"/>
      <c r="E427" s="795"/>
      <c r="F427" s="773"/>
      <c r="G427" s="344">
        <v>23</v>
      </c>
      <c r="H427" s="189" t="s">
        <v>523</v>
      </c>
      <c r="I427" s="189"/>
      <c r="J427" s="189"/>
      <c r="K427" s="189"/>
      <c r="L427" s="189"/>
      <c r="M427" s="189"/>
      <c r="N427" s="189"/>
      <c r="O427" s="189"/>
      <c r="P427" s="189"/>
      <c r="Q427" s="189"/>
      <c r="R427" s="189"/>
      <c r="S427" s="189"/>
      <c r="T427" s="189"/>
      <c r="U427" s="189"/>
      <c r="V427" s="189"/>
      <c r="W427" s="189"/>
      <c r="X427" s="189"/>
      <c r="Y427" s="189"/>
      <c r="Z427" s="189"/>
      <c r="AA427" s="189"/>
      <c r="AB427" s="189"/>
      <c r="AC427" s="189"/>
      <c r="AD427" s="189"/>
      <c r="AE427" s="189"/>
      <c r="AF427" s="189"/>
      <c r="AG427" s="189"/>
      <c r="AH427" s="189"/>
      <c r="AI427" s="189"/>
      <c r="AJ427" s="189"/>
      <c r="AK427" s="189"/>
      <c r="AL427" s="190"/>
      <c r="AM427" s="189"/>
      <c r="AN427" s="189"/>
      <c r="AO427" s="189"/>
      <c r="AP427" s="189"/>
      <c r="AQ427" s="521"/>
    </row>
    <row r="428" spans="1:43" s="28" customFormat="1" ht="61.5" customHeight="1" x14ac:dyDescent="0.25">
      <c r="A428" s="19"/>
      <c r="B428" s="185"/>
      <c r="C428" s="772"/>
      <c r="D428" s="23"/>
      <c r="E428" s="84"/>
      <c r="F428" s="84"/>
      <c r="G428" s="23"/>
      <c r="H428" s="775">
        <v>98</v>
      </c>
      <c r="I428" s="774" t="s">
        <v>524</v>
      </c>
      <c r="J428" s="57">
        <v>60</v>
      </c>
      <c r="K428" s="88">
        <v>55</v>
      </c>
      <c r="L428" s="961" t="s">
        <v>450</v>
      </c>
      <c r="M428" s="854" t="s">
        <v>525</v>
      </c>
      <c r="N428" s="849" t="s">
        <v>526</v>
      </c>
      <c r="O428" s="775" t="s">
        <v>38</v>
      </c>
      <c r="P428" s="26">
        <v>0</v>
      </c>
      <c r="Q428" s="26">
        <v>0</v>
      </c>
      <c r="R428" s="26">
        <v>0</v>
      </c>
      <c r="S428" s="26">
        <v>0</v>
      </c>
      <c r="T428" s="26">
        <v>0</v>
      </c>
      <c r="U428" s="26">
        <v>0</v>
      </c>
      <c r="V428" s="26">
        <f>20600000-20600000</f>
        <v>0</v>
      </c>
      <c r="W428" s="26"/>
      <c r="X428" s="26"/>
      <c r="Y428" s="26"/>
      <c r="Z428" s="26">
        <v>0</v>
      </c>
      <c r="AA428" s="26"/>
      <c r="AB428" s="26">
        <v>0</v>
      </c>
      <c r="AC428" s="26">
        <v>0</v>
      </c>
      <c r="AD428" s="10"/>
      <c r="AE428" s="10"/>
      <c r="AF428" s="10"/>
      <c r="AG428" s="10"/>
      <c r="AH428" s="10"/>
      <c r="AI428" s="10"/>
      <c r="AJ428" s="26">
        <v>0</v>
      </c>
      <c r="AK428" s="26">
        <v>0</v>
      </c>
      <c r="AL428" s="110">
        <v>0</v>
      </c>
      <c r="AM428" s="38"/>
      <c r="AN428" s="26">
        <v>0</v>
      </c>
      <c r="AO428" s="27">
        <v>0</v>
      </c>
      <c r="AP428" s="27"/>
      <c r="AQ428" s="26">
        <f>P428+Q428+R428+S428+T428+U428+V428+W428+X428+Y428+Z428+AA428+AB428+AC428+AD428+AE428+AF428+AG428+AH428+AI428+AJ428+AK428+AL428+AM428+AN428+AP428+AO428</f>
        <v>0</v>
      </c>
    </row>
    <row r="429" spans="1:43" s="28" customFormat="1" ht="117.75" customHeight="1" x14ac:dyDescent="0.25">
      <c r="A429" s="19"/>
      <c r="B429" s="20"/>
      <c r="C429" s="766">
        <v>16</v>
      </c>
      <c r="D429" s="764" t="s">
        <v>527</v>
      </c>
      <c r="E429" s="11">
        <v>45</v>
      </c>
      <c r="F429" s="11">
        <v>90</v>
      </c>
      <c r="G429" s="29"/>
      <c r="H429" s="775">
        <v>99</v>
      </c>
      <c r="I429" s="774" t="s">
        <v>528</v>
      </c>
      <c r="J429" s="57">
        <v>76</v>
      </c>
      <c r="K429" s="93">
        <v>150</v>
      </c>
      <c r="L429" s="965"/>
      <c r="M429" s="855"/>
      <c r="N429" s="857"/>
      <c r="O429" s="775" t="s">
        <v>38</v>
      </c>
      <c r="P429" s="26">
        <v>0</v>
      </c>
      <c r="Q429" s="26">
        <v>0</v>
      </c>
      <c r="R429" s="26">
        <v>0</v>
      </c>
      <c r="S429" s="26">
        <v>0</v>
      </c>
      <c r="T429" s="26">
        <v>0</v>
      </c>
      <c r="U429" s="26">
        <v>0</v>
      </c>
      <c r="V429" s="26">
        <f>41200000-41200000</f>
        <v>0</v>
      </c>
      <c r="W429" s="26"/>
      <c r="X429" s="26"/>
      <c r="Y429" s="26"/>
      <c r="Z429" s="26">
        <v>0</v>
      </c>
      <c r="AA429" s="26"/>
      <c r="AB429" s="26">
        <v>0</v>
      </c>
      <c r="AC429" s="26">
        <v>0</v>
      </c>
      <c r="AD429" s="10"/>
      <c r="AE429" s="10"/>
      <c r="AF429" s="10"/>
      <c r="AG429" s="10"/>
      <c r="AH429" s="10"/>
      <c r="AI429" s="10"/>
      <c r="AJ429" s="26">
        <v>0</v>
      </c>
      <c r="AK429" s="26">
        <v>0</v>
      </c>
      <c r="AL429" s="110">
        <v>0</v>
      </c>
      <c r="AM429" s="38"/>
      <c r="AN429" s="26">
        <v>0</v>
      </c>
      <c r="AO429" s="27">
        <v>0</v>
      </c>
      <c r="AP429" s="27"/>
      <c r="AQ429" s="26">
        <f>P429+Q429+R429+S429+T429+U429+V429+W429+X429+Y429+Z429+AA429+AB429+AC429+AD429+AE429+AF429+AG429+AH429+AI429+AJ429+AK429+AL429+AM429+AN429+AP429+AO429</f>
        <v>0</v>
      </c>
    </row>
    <row r="430" spans="1:43" s="28" customFormat="1" ht="70.5" customHeight="1" x14ac:dyDescent="0.25">
      <c r="A430" s="19"/>
      <c r="B430" s="20"/>
      <c r="C430" s="766">
        <v>17</v>
      </c>
      <c r="D430" s="764" t="s">
        <v>487</v>
      </c>
      <c r="E430" s="84">
        <v>0.63270000000000004</v>
      </c>
      <c r="F430" s="84">
        <v>0.5</v>
      </c>
      <c r="G430" s="29"/>
      <c r="H430" s="775">
        <v>100</v>
      </c>
      <c r="I430" s="774" t="s">
        <v>529</v>
      </c>
      <c r="J430" s="57">
        <v>0</v>
      </c>
      <c r="K430" s="93">
        <v>6</v>
      </c>
      <c r="L430" s="965"/>
      <c r="M430" s="855"/>
      <c r="N430" s="857"/>
      <c r="O430" s="775" t="s">
        <v>38</v>
      </c>
      <c r="P430" s="26">
        <v>0</v>
      </c>
      <c r="Q430" s="26">
        <v>0</v>
      </c>
      <c r="R430" s="26">
        <v>0</v>
      </c>
      <c r="S430" s="26">
        <v>0</v>
      </c>
      <c r="T430" s="26">
        <v>0</v>
      </c>
      <c r="U430" s="26">
        <v>0</v>
      </c>
      <c r="V430" s="26">
        <v>0</v>
      </c>
      <c r="W430" s="26"/>
      <c r="X430" s="26"/>
      <c r="Y430" s="26"/>
      <c r="Z430" s="26">
        <v>0</v>
      </c>
      <c r="AA430" s="26"/>
      <c r="AB430" s="26">
        <v>0</v>
      </c>
      <c r="AC430" s="26">
        <v>0</v>
      </c>
      <c r="AD430" s="10"/>
      <c r="AE430" s="10"/>
      <c r="AF430" s="10"/>
      <c r="AG430" s="10"/>
      <c r="AH430" s="10"/>
      <c r="AI430" s="10"/>
      <c r="AJ430" s="26">
        <v>0</v>
      </c>
      <c r="AK430" s="26">
        <v>0</v>
      </c>
      <c r="AL430" s="110">
        <v>0</v>
      </c>
      <c r="AM430" s="38"/>
      <c r="AN430" s="26">
        <v>0</v>
      </c>
      <c r="AO430" s="27">
        <v>0</v>
      </c>
      <c r="AP430" s="27"/>
      <c r="AQ430" s="26">
        <f>P430+Q430+R430+S430+T430+U430+V430+W430+X430+Y430+Z430+AA430+AB430+AC430+AD430+AE430+AF430+AG430+AH430+AI430+AJ430+AK430+AL430+AM430+AN430+AP430+AO430</f>
        <v>0</v>
      </c>
    </row>
    <row r="431" spans="1:43" s="28" customFormat="1" ht="57" x14ac:dyDescent="0.25">
      <c r="A431" s="19"/>
      <c r="B431" s="20"/>
      <c r="C431" s="766"/>
      <c r="D431" s="29"/>
      <c r="E431" s="90"/>
      <c r="F431" s="90"/>
      <c r="G431" s="29"/>
      <c r="H431" s="775">
        <v>101</v>
      </c>
      <c r="I431" s="774" t="s">
        <v>530</v>
      </c>
      <c r="J431" s="57">
        <v>0</v>
      </c>
      <c r="K431" s="93">
        <v>54</v>
      </c>
      <c r="L431" s="965"/>
      <c r="M431" s="855"/>
      <c r="N431" s="857"/>
      <c r="O431" s="775" t="s">
        <v>38</v>
      </c>
      <c r="P431" s="26">
        <v>0</v>
      </c>
      <c r="Q431" s="26">
        <v>0</v>
      </c>
      <c r="R431" s="26">
        <v>0</v>
      </c>
      <c r="S431" s="26">
        <v>0</v>
      </c>
      <c r="T431" s="26">
        <v>0</v>
      </c>
      <c r="U431" s="26">
        <v>0</v>
      </c>
      <c r="V431" s="26">
        <f>36050000-10000000-26050000</f>
        <v>0</v>
      </c>
      <c r="W431" s="26"/>
      <c r="X431" s="26"/>
      <c r="Y431" s="26"/>
      <c r="Z431" s="26">
        <v>0</v>
      </c>
      <c r="AA431" s="26"/>
      <c r="AB431" s="26">
        <v>0</v>
      </c>
      <c r="AC431" s="26">
        <v>0</v>
      </c>
      <c r="AD431" s="10"/>
      <c r="AE431" s="10"/>
      <c r="AF431" s="10"/>
      <c r="AG431" s="10"/>
      <c r="AH431" s="10"/>
      <c r="AI431" s="10"/>
      <c r="AJ431" s="26">
        <v>0</v>
      </c>
      <c r="AK431" s="26">
        <v>0</v>
      </c>
      <c r="AL431" s="110">
        <v>0</v>
      </c>
      <c r="AM431" s="38"/>
      <c r="AN431" s="26">
        <v>0</v>
      </c>
      <c r="AO431" s="27">
        <v>0</v>
      </c>
      <c r="AP431" s="27"/>
      <c r="AQ431" s="26">
        <f>P431+Q431+R431+S431+T431+U431+V431+W431+X431+Y431+Z431+AA431+AB431+AC431+AD431+AE431+AF431+AG431+AH431+AI431+AJ431+AK431+AL431+AM431+AN431+AP431+AO431</f>
        <v>0</v>
      </c>
    </row>
    <row r="432" spans="1:43" s="28" customFormat="1" ht="72" customHeight="1" x14ac:dyDescent="0.25">
      <c r="A432" s="19"/>
      <c r="B432" s="20"/>
      <c r="C432" s="766"/>
      <c r="D432" s="30"/>
      <c r="E432" s="421"/>
      <c r="F432" s="421"/>
      <c r="G432" s="30"/>
      <c r="H432" s="775">
        <v>102</v>
      </c>
      <c r="I432" s="774" t="s">
        <v>531</v>
      </c>
      <c r="J432" s="57">
        <v>0</v>
      </c>
      <c r="K432" s="93">
        <v>3</v>
      </c>
      <c r="L432" s="962"/>
      <c r="M432" s="856"/>
      <c r="N432" s="850"/>
      <c r="O432" s="775" t="s">
        <v>34</v>
      </c>
      <c r="P432" s="26">
        <v>0</v>
      </c>
      <c r="Q432" s="26">
        <v>0</v>
      </c>
      <c r="R432" s="26">
        <v>0</v>
      </c>
      <c r="S432" s="26">
        <v>0</v>
      </c>
      <c r="T432" s="26">
        <v>0</v>
      </c>
      <c r="U432" s="26">
        <v>0</v>
      </c>
      <c r="V432" s="26">
        <v>15150000</v>
      </c>
      <c r="W432" s="26"/>
      <c r="X432" s="26"/>
      <c r="Y432" s="26"/>
      <c r="Z432" s="26">
        <v>0</v>
      </c>
      <c r="AA432" s="26"/>
      <c r="AB432" s="26">
        <v>0</v>
      </c>
      <c r="AC432" s="26">
        <v>0</v>
      </c>
      <c r="AD432" s="10"/>
      <c r="AE432" s="10"/>
      <c r="AF432" s="10"/>
      <c r="AG432" s="10"/>
      <c r="AH432" s="10"/>
      <c r="AI432" s="10"/>
      <c r="AJ432" s="26">
        <v>0</v>
      </c>
      <c r="AK432" s="26">
        <v>0</v>
      </c>
      <c r="AL432" s="110">
        <v>0</v>
      </c>
      <c r="AM432" s="38"/>
      <c r="AN432" s="26">
        <v>0</v>
      </c>
      <c r="AO432" s="27">
        <v>0</v>
      </c>
      <c r="AP432" s="27"/>
      <c r="AQ432" s="26">
        <f>P432+Q432+R432+S432+T432+U432+V432+W432+X432+Y432+Z432+AA432+AB432+AC432+AD432+AE432+AF432+AG432+AH432+AI432+AJ432+AK432+AL432+AM432+AN432+AP432+AO432</f>
        <v>15150000</v>
      </c>
    </row>
    <row r="433" spans="1:43" ht="15" x14ac:dyDescent="0.25">
      <c r="A433" s="19"/>
      <c r="B433" s="20"/>
      <c r="C433" s="325"/>
      <c r="D433" s="153"/>
      <c r="E433" s="413"/>
      <c r="F433" s="413"/>
      <c r="G433" s="154"/>
      <c r="H433" s="155"/>
      <c r="I433" s="154"/>
      <c r="J433" s="398"/>
      <c r="K433" s="411"/>
      <c r="L433" s="411"/>
      <c r="M433" s="157"/>
      <c r="N433" s="154"/>
      <c r="O433" s="155"/>
      <c r="P433" s="158">
        <f t="shared" ref="P433:AK433" si="199">SUM(P428:P432)</f>
        <v>0</v>
      </c>
      <c r="Q433" s="158">
        <f t="shared" si="199"/>
        <v>0</v>
      </c>
      <c r="R433" s="158">
        <f t="shared" si="199"/>
        <v>0</v>
      </c>
      <c r="S433" s="158">
        <f t="shared" si="199"/>
        <v>0</v>
      </c>
      <c r="T433" s="158">
        <f t="shared" si="199"/>
        <v>0</v>
      </c>
      <c r="U433" s="158">
        <f t="shared" si="199"/>
        <v>0</v>
      </c>
      <c r="V433" s="158">
        <f t="shared" si="199"/>
        <v>15150000</v>
      </c>
      <c r="W433" s="158">
        <f t="shared" si="199"/>
        <v>0</v>
      </c>
      <c r="X433" s="158">
        <f t="shared" si="199"/>
        <v>0</v>
      </c>
      <c r="Y433" s="158">
        <f t="shared" si="199"/>
        <v>0</v>
      </c>
      <c r="Z433" s="158">
        <f t="shared" si="199"/>
        <v>0</v>
      </c>
      <c r="AA433" s="158">
        <f t="shared" si="199"/>
        <v>0</v>
      </c>
      <c r="AB433" s="158">
        <f t="shared" si="199"/>
        <v>0</v>
      </c>
      <c r="AC433" s="158">
        <f t="shared" si="199"/>
        <v>0</v>
      </c>
      <c r="AD433" s="158">
        <f t="shared" si="199"/>
        <v>0</v>
      </c>
      <c r="AE433" s="158">
        <f t="shared" si="199"/>
        <v>0</v>
      </c>
      <c r="AF433" s="158">
        <f t="shared" si="199"/>
        <v>0</v>
      </c>
      <c r="AG433" s="158">
        <f t="shared" si="199"/>
        <v>0</v>
      </c>
      <c r="AH433" s="158">
        <f t="shared" si="199"/>
        <v>0</v>
      </c>
      <c r="AI433" s="158">
        <f t="shared" si="199"/>
        <v>0</v>
      </c>
      <c r="AJ433" s="158">
        <f t="shared" si="199"/>
        <v>0</v>
      </c>
      <c r="AK433" s="158">
        <f t="shared" si="199"/>
        <v>0</v>
      </c>
      <c r="AL433" s="158">
        <f t="shared" ref="AL433:AP433" si="200">SUM(AL428:AL432)</f>
        <v>0</v>
      </c>
      <c r="AM433" s="158">
        <f t="shared" si="200"/>
        <v>0</v>
      </c>
      <c r="AN433" s="158">
        <f t="shared" si="200"/>
        <v>0</v>
      </c>
      <c r="AO433" s="158">
        <f t="shared" si="200"/>
        <v>0</v>
      </c>
      <c r="AP433" s="158">
        <f t="shared" si="200"/>
        <v>0</v>
      </c>
      <c r="AQ433" s="158">
        <f>SUM(AQ428:AQ432)</f>
        <v>15150000</v>
      </c>
    </row>
    <row r="434" spans="1:43" ht="15" x14ac:dyDescent="0.25">
      <c r="A434" s="19"/>
      <c r="B434" s="20"/>
      <c r="C434" s="795"/>
      <c r="D434" s="177"/>
      <c r="E434" s="399"/>
      <c r="F434" s="399"/>
      <c r="G434" s="177"/>
      <c r="H434" s="795"/>
      <c r="I434" s="177"/>
      <c r="J434" s="319"/>
      <c r="K434" s="319"/>
      <c r="L434" s="334"/>
      <c r="M434" s="234"/>
      <c r="N434" s="223"/>
      <c r="O434" s="795"/>
      <c r="P434" s="180"/>
      <c r="Q434" s="180"/>
      <c r="R434" s="180"/>
      <c r="S434" s="180"/>
      <c r="T434" s="180"/>
      <c r="U434" s="180"/>
      <c r="V434" s="180"/>
      <c r="W434" s="180"/>
      <c r="X434" s="180"/>
      <c r="Y434" s="180"/>
      <c r="Z434" s="180"/>
      <c r="AA434" s="180"/>
      <c r="AB434" s="180"/>
      <c r="AC434" s="180"/>
      <c r="AD434" s="180"/>
      <c r="AE434" s="180"/>
      <c r="AF434" s="180"/>
      <c r="AG434" s="180"/>
      <c r="AH434" s="180"/>
      <c r="AI434" s="180"/>
      <c r="AJ434" s="180"/>
      <c r="AK434" s="180"/>
      <c r="AL434" s="182"/>
      <c r="AM434" s="180"/>
      <c r="AN434" s="180"/>
      <c r="AO434" s="180"/>
      <c r="AP434" s="180"/>
      <c r="AQ434" s="26"/>
    </row>
    <row r="435" spans="1:43" ht="15" x14ac:dyDescent="0.25">
      <c r="A435" s="19"/>
      <c r="B435" s="20"/>
      <c r="C435" s="772"/>
      <c r="D435" s="798"/>
      <c r="E435" s="778"/>
      <c r="F435" s="778"/>
      <c r="G435" s="188">
        <v>24</v>
      </c>
      <c r="H435" s="189" t="s">
        <v>532</v>
      </c>
      <c r="I435" s="189"/>
      <c r="J435" s="189"/>
      <c r="K435" s="189"/>
      <c r="L435" s="189"/>
      <c r="M435" s="189"/>
      <c r="N435" s="189"/>
      <c r="O435" s="189"/>
      <c r="P435" s="189"/>
      <c r="Q435" s="189"/>
      <c r="R435" s="189"/>
      <c r="S435" s="189"/>
      <c r="T435" s="189"/>
      <c r="U435" s="189"/>
      <c r="V435" s="189"/>
      <c r="W435" s="189"/>
      <c r="X435" s="189"/>
      <c r="Y435" s="189"/>
      <c r="Z435" s="189"/>
      <c r="AA435" s="189"/>
      <c r="AB435" s="189"/>
      <c r="AC435" s="189"/>
      <c r="AD435" s="189"/>
      <c r="AE435" s="189"/>
      <c r="AF435" s="189"/>
      <c r="AG435" s="189"/>
      <c r="AH435" s="189"/>
      <c r="AI435" s="189"/>
      <c r="AJ435" s="189"/>
      <c r="AK435" s="189"/>
      <c r="AL435" s="190"/>
      <c r="AM435" s="189"/>
      <c r="AN435" s="189"/>
      <c r="AO435" s="189"/>
      <c r="AP435" s="189"/>
      <c r="AQ435" s="521"/>
    </row>
    <row r="436" spans="1:43" s="422" customFormat="1" ht="88.5" customHeight="1" x14ac:dyDescent="0.25">
      <c r="A436" s="19"/>
      <c r="B436" s="19"/>
      <c r="C436" s="760"/>
      <c r="D436" s="763"/>
      <c r="E436" s="778"/>
      <c r="F436" s="781"/>
      <c r="G436" s="760"/>
      <c r="H436" s="775">
        <v>103</v>
      </c>
      <c r="I436" s="774" t="s">
        <v>533</v>
      </c>
      <c r="J436" s="57">
        <v>3</v>
      </c>
      <c r="K436" s="93">
        <v>4</v>
      </c>
      <c r="L436" s="963" t="s">
        <v>450</v>
      </c>
      <c r="M436" s="924" t="s">
        <v>534</v>
      </c>
      <c r="N436" s="858" t="s">
        <v>535</v>
      </c>
      <c r="O436" s="775" t="s">
        <v>34</v>
      </c>
      <c r="P436" s="26">
        <v>0</v>
      </c>
      <c r="Q436" s="26">
        <v>0</v>
      </c>
      <c r="R436" s="26">
        <v>0</v>
      </c>
      <c r="S436" s="26">
        <v>0</v>
      </c>
      <c r="T436" s="26">
        <v>0</v>
      </c>
      <c r="U436" s="26">
        <v>0</v>
      </c>
      <c r="V436" s="26">
        <v>21400000</v>
      </c>
      <c r="W436" s="26"/>
      <c r="X436" s="26"/>
      <c r="Y436" s="26"/>
      <c r="Z436" s="26">
        <v>0</v>
      </c>
      <c r="AA436" s="26"/>
      <c r="AB436" s="26">
        <v>0</v>
      </c>
      <c r="AC436" s="26">
        <v>0</v>
      </c>
      <c r="AD436" s="14"/>
      <c r="AE436" s="14"/>
      <c r="AF436" s="14"/>
      <c r="AG436" s="14"/>
      <c r="AH436" s="14"/>
      <c r="AI436" s="14"/>
      <c r="AJ436" s="26">
        <v>0</v>
      </c>
      <c r="AK436" s="26">
        <v>0</v>
      </c>
      <c r="AL436" s="116"/>
      <c r="AM436" s="816"/>
      <c r="AN436" s="26">
        <v>0</v>
      </c>
      <c r="AO436" s="27">
        <v>0</v>
      </c>
      <c r="AP436" s="27"/>
      <c r="AQ436" s="26">
        <f>P436+Q436+R436+S436+T436+U436+V436+W436+X436+Y436+Z436+AA436+AB436+AC436+AD436+AE436+AF436+AG436+AH436+AI436+AJ436+AK436+AL436+AM436+AN436+AP436+AO436</f>
        <v>21400000</v>
      </c>
    </row>
    <row r="437" spans="1:43" s="422" customFormat="1" ht="60" customHeight="1" x14ac:dyDescent="0.25">
      <c r="A437" s="19"/>
      <c r="B437" s="19"/>
      <c r="C437" s="761">
        <v>17</v>
      </c>
      <c r="D437" s="764" t="s">
        <v>536</v>
      </c>
      <c r="E437" s="779">
        <v>0.63270000000000004</v>
      </c>
      <c r="F437" s="782">
        <v>0.5</v>
      </c>
      <c r="G437" s="761"/>
      <c r="H437" s="775">
        <v>104</v>
      </c>
      <c r="I437" s="774" t="s">
        <v>537</v>
      </c>
      <c r="J437" s="57">
        <v>4</v>
      </c>
      <c r="K437" s="93">
        <v>27</v>
      </c>
      <c r="L437" s="964"/>
      <c r="M437" s="925"/>
      <c r="N437" s="860"/>
      <c r="O437" s="775" t="s">
        <v>34</v>
      </c>
      <c r="P437" s="26">
        <v>0</v>
      </c>
      <c r="Q437" s="26">
        <v>0</v>
      </c>
      <c r="R437" s="26">
        <v>0</v>
      </c>
      <c r="S437" s="26">
        <v>0</v>
      </c>
      <c r="T437" s="26">
        <v>0</v>
      </c>
      <c r="U437" s="26">
        <v>0</v>
      </c>
      <c r="V437" s="26">
        <v>32100000</v>
      </c>
      <c r="W437" s="26"/>
      <c r="X437" s="26"/>
      <c r="Y437" s="26"/>
      <c r="Z437" s="26">
        <v>0</v>
      </c>
      <c r="AA437" s="26"/>
      <c r="AB437" s="26">
        <v>0</v>
      </c>
      <c r="AC437" s="26">
        <v>0</v>
      </c>
      <c r="AD437" s="14"/>
      <c r="AE437" s="14"/>
      <c r="AF437" s="14"/>
      <c r="AG437" s="14"/>
      <c r="AH437" s="14"/>
      <c r="AI437" s="14"/>
      <c r="AJ437" s="26">
        <v>0</v>
      </c>
      <c r="AK437" s="26">
        <v>0</v>
      </c>
      <c r="AL437" s="113"/>
      <c r="AM437" s="41"/>
      <c r="AN437" s="26">
        <v>0</v>
      </c>
      <c r="AO437" s="27">
        <v>0</v>
      </c>
      <c r="AP437" s="27"/>
      <c r="AQ437" s="26">
        <f>P437+Q437+R437+S437+T437+U437+V437+W437+X437+Y437+Z437+AA437+AB437+AC437+AD437+AE437+AF437+AG437+AH437+AI437+AJ437+AK437+AL437+AM437+AN437+AP437+AO437</f>
        <v>32100000</v>
      </c>
    </row>
    <row r="438" spans="1:43" s="422" customFormat="1" ht="81" customHeight="1" x14ac:dyDescent="0.25">
      <c r="A438" s="19"/>
      <c r="B438" s="19"/>
      <c r="C438" s="761">
        <v>18</v>
      </c>
      <c r="D438" s="764" t="s">
        <v>538</v>
      </c>
      <c r="E438" s="770">
        <v>6</v>
      </c>
      <c r="F438" s="423">
        <v>12</v>
      </c>
      <c r="G438" s="761"/>
      <c r="H438" s="775">
        <v>105</v>
      </c>
      <c r="I438" s="774" t="s">
        <v>539</v>
      </c>
      <c r="J438" s="57">
        <v>43</v>
      </c>
      <c r="K438" s="93">
        <v>47</v>
      </c>
      <c r="L438" s="964"/>
      <c r="M438" s="925"/>
      <c r="N438" s="860"/>
      <c r="O438" s="775" t="s">
        <v>38</v>
      </c>
      <c r="P438" s="26">
        <v>0</v>
      </c>
      <c r="Q438" s="26">
        <v>0</v>
      </c>
      <c r="R438" s="26">
        <v>0</v>
      </c>
      <c r="S438" s="26">
        <v>0</v>
      </c>
      <c r="T438" s="26">
        <v>0</v>
      </c>
      <c r="U438" s="26">
        <v>0</v>
      </c>
      <c r="V438" s="26">
        <v>96618585</v>
      </c>
      <c r="W438" s="26"/>
      <c r="X438" s="26"/>
      <c r="Y438" s="26"/>
      <c r="Z438" s="26">
        <v>0</v>
      </c>
      <c r="AA438" s="26"/>
      <c r="AB438" s="26">
        <v>0</v>
      </c>
      <c r="AC438" s="26">
        <v>0</v>
      </c>
      <c r="AD438" s="14"/>
      <c r="AE438" s="14"/>
      <c r="AF438" s="14"/>
      <c r="AG438" s="14"/>
      <c r="AH438" s="14"/>
      <c r="AI438" s="14"/>
      <c r="AJ438" s="26">
        <v>0</v>
      </c>
      <c r="AK438" s="26">
        <v>0</v>
      </c>
      <c r="AL438" s="110">
        <v>32100000</v>
      </c>
      <c r="AM438" s="14"/>
      <c r="AN438" s="26">
        <v>0</v>
      </c>
      <c r="AO438" s="27">
        <v>0</v>
      </c>
      <c r="AP438" s="27"/>
      <c r="AQ438" s="26">
        <f>P438+Q438+R438+S438+T438+U438+V438+W438+X438+Y438+Z438+AA438+AB438+AC438+AD438+AE438+AF438+AG438+AH438+AI438+AJ438+AK438+AL438+AM438+AN438+AP438+AO438</f>
        <v>128718585</v>
      </c>
    </row>
    <row r="439" spans="1:43" s="422" customFormat="1" ht="60" customHeight="1" x14ac:dyDescent="0.25">
      <c r="A439" s="19"/>
      <c r="B439" s="19"/>
      <c r="C439" s="761">
        <v>20</v>
      </c>
      <c r="D439" s="764" t="s">
        <v>540</v>
      </c>
      <c r="E439" s="779" t="s">
        <v>541</v>
      </c>
      <c r="F439" s="779" t="s">
        <v>542</v>
      </c>
      <c r="G439" s="761"/>
      <c r="H439" s="760">
        <v>106</v>
      </c>
      <c r="I439" s="763" t="s">
        <v>543</v>
      </c>
      <c r="J439" s="60">
        <v>0</v>
      </c>
      <c r="K439" s="440">
        <v>1</v>
      </c>
      <c r="L439" s="964"/>
      <c r="M439" s="925"/>
      <c r="N439" s="860"/>
      <c r="O439" s="760" t="s">
        <v>38</v>
      </c>
      <c r="P439" s="81">
        <v>0</v>
      </c>
      <c r="Q439" s="81">
        <v>0</v>
      </c>
      <c r="R439" s="81">
        <v>0</v>
      </c>
      <c r="S439" s="81">
        <v>0</v>
      </c>
      <c r="T439" s="81">
        <v>0</v>
      </c>
      <c r="U439" s="81">
        <v>0</v>
      </c>
      <c r="V439" s="26">
        <v>49500000</v>
      </c>
      <c r="W439" s="81"/>
      <c r="X439" s="81"/>
      <c r="Y439" s="81"/>
      <c r="Z439" s="81">
        <v>0</v>
      </c>
      <c r="AA439" s="81"/>
      <c r="AB439" s="81">
        <v>0</v>
      </c>
      <c r="AC439" s="81">
        <v>0</v>
      </c>
      <c r="AD439" s="606"/>
      <c r="AE439" s="606"/>
      <c r="AF439" s="606"/>
      <c r="AG439" s="606"/>
      <c r="AH439" s="606"/>
      <c r="AI439" s="606"/>
      <c r="AJ439" s="81">
        <v>0</v>
      </c>
      <c r="AK439" s="81">
        <v>0</v>
      </c>
      <c r="AL439" s="115">
        <v>53600000</v>
      </c>
      <c r="AM439" s="606"/>
      <c r="AN439" s="81">
        <v>0</v>
      </c>
      <c r="AO439" s="82">
        <v>0</v>
      </c>
      <c r="AP439" s="82"/>
      <c r="AQ439" s="26">
        <f>P439+Q439+R439+S439+T439+U439+V439+W439+X439+Y439+Z439+AA439+AB439+AC439+AD439+AE439+AF439+AG439+AH439+AI439+AJ439+AK439+AL439+AM439+AN439+AP439+AO439</f>
        <v>103100000</v>
      </c>
    </row>
    <row r="440" spans="1:43" s="422" customFormat="1" ht="84" customHeight="1" x14ac:dyDescent="0.25">
      <c r="A440" s="19"/>
      <c r="B440" s="19"/>
      <c r="C440" s="775">
        <v>20</v>
      </c>
      <c r="D440" s="774" t="s">
        <v>540</v>
      </c>
      <c r="E440" s="84" t="s">
        <v>541</v>
      </c>
      <c r="F440" s="84" t="s">
        <v>907</v>
      </c>
      <c r="G440" s="775"/>
      <c r="H440" s="775">
        <v>107</v>
      </c>
      <c r="I440" s="774" t="s">
        <v>544</v>
      </c>
      <c r="J440" s="57">
        <v>1</v>
      </c>
      <c r="K440" s="65">
        <v>1</v>
      </c>
      <c r="L440" s="641" t="s">
        <v>450</v>
      </c>
      <c r="M440" s="642">
        <v>2017003630122</v>
      </c>
      <c r="N440" s="774" t="s">
        <v>906</v>
      </c>
      <c r="O440" s="775" t="s">
        <v>38</v>
      </c>
      <c r="P440" s="26"/>
      <c r="Q440" s="26"/>
      <c r="R440" s="26"/>
      <c r="S440" s="26"/>
      <c r="T440" s="26"/>
      <c r="U440" s="26"/>
      <c r="V440" s="26">
        <v>49500000</v>
      </c>
      <c r="W440" s="26"/>
      <c r="X440" s="26"/>
      <c r="Y440" s="26"/>
      <c r="Z440" s="26"/>
      <c r="AA440" s="26"/>
      <c r="AB440" s="26"/>
      <c r="AC440" s="26"/>
      <c r="AD440" s="14"/>
      <c r="AE440" s="14"/>
      <c r="AF440" s="14"/>
      <c r="AG440" s="14"/>
      <c r="AH440" s="14"/>
      <c r="AI440" s="14"/>
      <c r="AJ440" s="26"/>
      <c r="AK440" s="26"/>
      <c r="AL440" s="113">
        <v>4300000</v>
      </c>
      <c r="AM440" s="41"/>
      <c r="AN440" s="26"/>
      <c r="AO440" s="26"/>
      <c r="AP440" s="26"/>
      <c r="AQ440" s="26">
        <f>P440+Q440+R440+S440+T440+U440+V440+W440+X440+Y440+Z440+AA440+AB440+AC440+AD440+AE440+AF440+AG440+AH440+AI440+AJ440+AK440+AL440+AM440+AN440+AP440+AO440</f>
        <v>53800000</v>
      </c>
    </row>
    <row r="441" spans="1:43" s="425" customFormat="1" ht="15" x14ac:dyDescent="0.25">
      <c r="A441" s="19"/>
      <c r="B441" s="152"/>
      <c r="C441" s="325"/>
      <c r="D441" s="765"/>
      <c r="E441" s="780"/>
      <c r="F441" s="424"/>
      <c r="G441" s="492"/>
      <c r="H441" s="493"/>
      <c r="I441" s="492"/>
      <c r="J441" s="607"/>
      <c r="K441" s="608"/>
      <c r="L441" s="608"/>
      <c r="M441" s="609"/>
      <c r="N441" s="492"/>
      <c r="O441" s="493"/>
      <c r="P441" s="610">
        <f>SUM(P436:P440)</f>
        <v>0</v>
      </c>
      <c r="Q441" s="610">
        <f t="shared" ref="Q441:AK441" si="201">SUM(Q436:Q440)</f>
        <v>0</v>
      </c>
      <c r="R441" s="610">
        <f t="shared" si="201"/>
        <v>0</v>
      </c>
      <c r="S441" s="610">
        <f t="shared" si="201"/>
        <v>0</v>
      </c>
      <c r="T441" s="610">
        <f t="shared" si="201"/>
        <v>0</v>
      </c>
      <c r="U441" s="610">
        <f t="shared" si="201"/>
        <v>0</v>
      </c>
      <c r="V441" s="610">
        <f t="shared" si="201"/>
        <v>249118585</v>
      </c>
      <c r="W441" s="610">
        <f t="shared" si="201"/>
        <v>0</v>
      </c>
      <c r="X441" s="610">
        <f t="shared" si="201"/>
        <v>0</v>
      </c>
      <c r="Y441" s="610">
        <f t="shared" si="201"/>
        <v>0</v>
      </c>
      <c r="Z441" s="610">
        <f t="shared" si="201"/>
        <v>0</v>
      </c>
      <c r="AA441" s="610">
        <f t="shared" si="201"/>
        <v>0</v>
      </c>
      <c r="AB441" s="610">
        <f t="shared" si="201"/>
        <v>0</v>
      </c>
      <c r="AC441" s="610">
        <f t="shared" si="201"/>
        <v>0</v>
      </c>
      <c r="AD441" s="610">
        <f t="shared" si="201"/>
        <v>0</v>
      </c>
      <c r="AE441" s="610">
        <f t="shared" si="201"/>
        <v>0</v>
      </c>
      <c r="AF441" s="610">
        <f t="shared" si="201"/>
        <v>0</v>
      </c>
      <c r="AG441" s="610">
        <f t="shared" si="201"/>
        <v>0</v>
      </c>
      <c r="AH441" s="610">
        <f t="shared" si="201"/>
        <v>0</v>
      </c>
      <c r="AI441" s="610">
        <f t="shared" si="201"/>
        <v>0</v>
      </c>
      <c r="AJ441" s="610">
        <f t="shared" si="201"/>
        <v>0</v>
      </c>
      <c r="AK441" s="610">
        <f t="shared" si="201"/>
        <v>0</v>
      </c>
      <c r="AL441" s="610">
        <f t="shared" ref="AL441:AP441" si="202">SUM(AL436:AL440)</f>
        <v>90000000</v>
      </c>
      <c r="AM441" s="610">
        <f t="shared" si="202"/>
        <v>0</v>
      </c>
      <c r="AN441" s="610">
        <f t="shared" si="202"/>
        <v>0</v>
      </c>
      <c r="AO441" s="610">
        <f t="shared" si="202"/>
        <v>0</v>
      </c>
      <c r="AP441" s="610">
        <f t="shared" si="202"/>
        <v>0</v>
      </c>
      <c r="AQ441" s="158">
        <f>SUM(AQ436:AQ440)</f>
        <v>339118585</v>
      </c>
    </row>
    <row r="442" spans="1:43" s="425" customFormat="1" ht="15" x14ac:dyDescent="0.25">
      <c r="A442" s="20"/>
      <c r="B442" s="426"/>
      <c r="C442" s="162"/>
      <c r="D442" s="161"/>
      <c r="E442" s="405"/>
      <c r="F442" s="405"/>
      <c r="G442" s="161"/>
      <c r="H442" s="162"/>
      <c r="I442" s="161"/>
      <c r="J442" s="406"/>
      <c r="K442" s="427"/>
      <c r="L442" s="427"/>
      <c r="M442" s="164"/>
      <c r="N442" s="161"/>
      <c r="O442" s="162"/>
      <c r="P442" s="165">
        <f>P441+P433</f>
        <v>0</v>
      </c>
      <c r="Q442" s="165">
        <f t="shared" ref="Q442:AK442" si="203">Q441+Q433</f>
        <v>0</v>
      </c>
      <c r="R442" s="165">
        <f t="shared" si="203"/>
        <v>0</v>
      </c>
      <c r="S442" s="165">
        <f t="shared" si="203"/>
        <v>0</v>
      </c>
      <c r="T442" s="165">
        <f t="shared" si="203"/>
        <v>0</v>
      </c>
      <c r="U442" s="165">
        <f t="shared" si="203"/>
        <v>0</v>
      </c>
      <c r="V442" s="165">
        <f t="shared" si="203"/>
        <v>264268585</v>
      </c>
      <c r="W442" s="165">
        <f t="shared" si="203"/>
        <v>0</v>
      </c>
      <c r="X442" s="165">
        <f t="shared" si="203"/>
        <v>0</v>
      </c>
      <c r="Y442" s="165">
        <f t="shared" si="203"/>
        <v>0</v>
      </c>
      <c r="Z442" s="165">
        <f t="shared" si="203"/>
        <v>0</v>
      </c>
      <c r="AA442" s="165">
        <f t="shared" si="203"/>
        <v>0</v>
      </c>
      <c r="AB442" s="165">
        <f t="shared" si="203"/>
        <v>0</v>
      </c>
      <c r="AC442" s="165">
        <f t="shared" si="203"/>
        <v>0</v>
      </c>
      <c r="AD442" s="165">
        <f t="shared" si="203"/>
        <v>0</v>
      </c>
      <c r="AE442" s="165">
        <f t="shared" si="203"/>
        <v>0</v>
      </c>
      <c r="AF442" s="165">
        <f t="shared" si="203"/>
        <v>0</v>
      </c>
      <c r="AG442" s="165">
        <f t="shared" si="203"/>
        <v>0</v>
      </c>
      <c r="AH442" s="165">
        <f t="shared" si="203"/>
        <v>0</v>
      </c>
      <c r="AI442" s="165">
        <f t="shared" si="203"/>
        <v>0</v>
      </c>
      <c r="AJ442" s="165">
        <f t="shared" si="203"/>
        <v>0</v>
      </c>
      <c r="AK442" s="165">
        <f t="shared" si="203"/>
        <v>0</v>
      </c>
      <c r="AL442" s="165">
        <f t="shared" ref="AL442:AP442" si="204">AL441+AL433</f>
        <v>90000000</v>
      </c>
      <c r="AM442" s="165">
        <f t="shared" si="204"/>
        <v>0</v>
      </c>
      <c r="AN442" s="165">
        <f t="shared" si="204"/>
        <v>0</v>
      </c>
      <c r="AO442" s="165">
        <f t="shared" si="204"/>
        <v>0</v>
      </c>
      <c r="AP442" s="165">
        <f t="shared" si="204"/>
        <v>0</v>
      </c>
      <c r="AQ442" s="165">
        <f>AQ441+AQ433</f>
        <v>354268585</v>
      </c>
    </row>
    <row r="443" spans="1:43" s="422" customFormat="1" ht="15" x14ac:dyDescent="0.25">
      <c r="A443" s="20"/>
      <c r="B443" s="177"/>
      <c r="C443" s="795"/>
      <c r="D443" s="177"/>
      <c r="E443" s="399"/>
      <c r="F443" s="399"/>
      <c r="G443" s="177"/>
      <c r="H443" s="795"/>
      <c r="I443" s="177"/>
      <c r="J443" s="400"/>
      <c r="K443" s="400"/>
      <c r="L443" s="401"/>
      <c r="M443" s="234"/>
      <c r="N443" s="223"/>
      <c r="O443" s="795"/>
      <c r="P443" s="180"/>
      <c r="Q443" s="180"/>
      <c r="R443" s="180"/>
      <c r="S443" s="180"/>
      <c r="T443" s="180"/>
      <c r="U443" s="180"/>
      <c r="V443" s="106"/>
      <c r="W443" s="180"/>
      <c r="X443" s="180"/>
      <c r="Y443" s="180"/>
      <c r="Z443" s="180"/>
      <c r="AA443" s="180"/>
      <c r="AB443" s="180"/>
      <c r="AC443" s="180"/>
      <c r="AD443" s="180"/>
      <c r="AE443" s="180"/>
      <c r="AF443" s="180"/>
      <c r="AG443" s="180"/>
      <c r="AH443" s="180"/>
      <c r="AI443" s="180"/>
      <c r="AJ443" s="180"/>
      <c r="AK443" s="180"/>
      <c r="AL443" s="291"/>
      <c r="AM443" s="106"/>
      <c r="AN443" s="180"/>
      <c r="AO443" s="180"/>
      <c r="AP443" s="180"/>
      <c r="AQ443" s="26"/>
    </row>
    <row r="444" spans="1:43" s="422" customFormat="1" ht="15" x14ac:dyDescent="0.25">
      <c r="A444" s="20"/>
      <c r="B444" s="243">
        <v>8</v>
      </c>
      <c r="C444" s="147" t="s">
        <v>545</v>
      </c>
      <c r="D444" s="146"/>
      <c r="E444" s="146"/>
      <c r="F444" s="146"/>
      <c r="G444" s="146"/>
      <c r="H444" s="147"/>
      <c r="I444" s="146"/>
      <c r="J444" s="146"/>
      <c r="K444" s="146"/>
      <c r="L444" s="146"/>
      <c r="M444" s="652"/>
      <c r="N444" s="146"/>
      <c r="O444" s="146"/>
      <c r="P444" s="146"/>
      <c r="Q444" s="146"/>
      <c r="R444" s="146"/>
      <c r="S444" s="146"/>
      <c r="T444" s="146"/>
      <c r="U444" s="146"/>
      <c r="V444" s="146"/>
      <c r="W444" s="146"/>
      <c r="X444" s="146"/>
      <c r="Y444" s="146"/>
      <c r="Z444" s="146"/>
      <c r="AA444" s="146"/>
      <c r="AB444" s="146"/>
      <c r="AC444" s="146"/>
      <c r="AD444" s="146"/>
      <c r="AE444" s="146"/>
      <c r="AF444" s="146"/>
      <c r="AG444" s="146"/>
      <c r="AH444" s="146"/>
      <c r="AI444" s="146"/>
      <c r="AJ444" s="146"/>
      <c r="AK444" s="146"/>
      <c r="AL444" s="148"/>
      <c r="AM444" s="146"/>
      <c r="AN444" s="146"/>
      <c r="AO444" s="146"/>
      <c r="AP444" s="146"/>
      <c r="AQ444" s="524"/>
    </row>
    <row r="445" spans="1:43" s="422" customFormat="1" ht="15" x14ac:dyDescent="0.25">
      <c r="A445" s="20"/>
      <c r="B445" s="185"/>
      <c r="C445" s="795"/>
      <c r="D445" s="177"/>
      <c r="E445" s="795"/>
      <c r="F445" s="773"/>
      <c r="G445" s="344">
        <v>25</v>
      </c>
      <c r="H445" s="189" t="s">
        <v>546</v>
      </c>
      <c r="I445" s="189"/>
      <c r="J445" s="189"/>
      <c r="K445" s="189"/>
      <c r="L445" s="189"/>
      <c r="M445" s="189"/>
      <c r="N445" s="189"/>
      <c r="O445" s="189"/>
      <c r="P445" s="189"/>
      <c r="Q445" s="189"/>
      <c r="R445" s="189"/>
      <c r="S445" s="189"/>
      <c r="T445" s="189"/>
      <c r="U445" s="189"/>
      <c r="V445" s="189"/>
      <c r="W445" s="189"/>
      <c r="X445" s="189"/>
      <c r="Y445" s="189"/>
      <c r="Z445" s="189"/>
      <c r="AA445" s="189"/>
      <c r="AB445" s="189"/>
      <c r="AC445" s="189"/>
      <c r="AD445" s="189"/>
      <c r="AE445" s="189"/>
      <c r="AF445" s="189"/>
      <c r="AG445" s="189"/>
      <c r="AH445" s="189"/>
      <c r="AI445" s="189"/>
      <c r="AJ445" s="189"/>
      <c r="AK445" s="189"/>
      <c r="AL445" s="190"/>
      <c r="AM445" s="189"/>
      <c r="AN445" s="189"/>
      <c r="AO445" s="189"/>
      <c r="AP445" s="189"/>
      <c r="AQ445" s="521"/>
    </row>
    <row r="446" spans="1:43" s="422" customFormat="1" ht="75.75" customHeight="1" x14ac:dyDescent="0.25">
      <c r="A446" s="20"/>
      <c r="B446" s="20"/>
      <c r="C446" s="861" t="s">
        <v>471</v>
      </c>
      <c r="D446" s="849" t="s">
        <v>472</v>
      </c>
      <c r="E446" s="954" t="s">
        <v>517</v>
      </c>
      <c r="F446" s="954" t="s">
        <v>518</v>
      </c>
      <c r="G446" s="23"/>
      <c r="H446" s="775">
        <v>108</v>
      </c>
      <c r="I446" s="774" t="s">
        <v>547</v>
      </c>
      <c r="J446" s="57">
        <v>4</v>
      </c>
      <c r="K446" s="88">
        <v>4</v>
      </c>
      <c r="L446" s="961" t="s">
        <v>450</v>
      </c>
      <c r="M446" s="854" t="s">
        <v>548</v>
      </c>
      <c r="N446" s="849" t="s">
        <v>549</v>
      </c>
      <c r="O446" s="775" t="s">
        <v>38</v>
      </c>
      <c r="P446" s="774">
        <v>0</v>
      </c>
      <c r="Q446" s="774">
        <v>0</v>
      </c>
      <c r="R446" s="774">
        <v>0</v>
      </c>
      <c r="S446" s="774">
        <v>0</v>
      </c>
      <c r="T446" s="774">
        <v>0</v>
      </c>
      <c r="U446" s="774">
        <v>0</v>
      </c>
      <c r="V446" s="774">
        <v>0</v>
      </c>
      <c r="W446" s="774"/>
      <c r="X446" s="774"/>
      <c r="Y446" s="774"/>
      <c r="Z446" s="774">
        <v>0</v>
      </c>
      <c r="AA446" s="774"/>
      <c r="AB446" s="774">
        <v>0</v>
      </c>
      <c r="AC446" s="774">
        <v>0</v>
      </c>
      <c r="AD446" s="774"/>
      <c r="AE446" s="774"/>
      <c r="AF446" s="774"/>
      <c r="AG446" s="774"/>
      <c r="AH446" s="774"/>
      <c r="AI446" s="774"/>
      <c r="AJ446" s="774">
        <v>0</v>
      </c>
      <c r="AK446" s="774">
        <v>0</v>
      </c>
      <c r="AL446" s="111">
        <v>10000000</v>
      </c>
      <c r="AM446" s="428"/>
      <c r="AN446" s="774">
        <v>0</v>
      </c>
      <c r="AO446" s="176">
        <v>0</v>
      </c>
      <c r="AP446" s="176"/>
      <c r="AQ446" s="26">
        <f>P446+Q446+R446+S446+T446+U446+V446+W446+X446+Y446+Z446+AA446+AB446+AC446+AD446+AE446+AF446+AG446+AH446+AI446+AJ446+AK446+AL446+AM446+AN446+AP446+AO446</f>
        <v>10000000</v>
      </c>
    </row>
    <row r="447" spans="1:43" s="422" customFormat="1" ht="71.25" x14ac:dyDescent="0.25">
      <c r="A447" s="20"/>
      <c r="B447" s="20"/>
      <c r="C447" s="862"/>
      <c r="D447" s="850"/>
      <c r="E447" s="955"/>
      <c r="F447" s="955"/>
      <c r="G447" s="30"/>
      <c r="H447" s="775">
        <v>109</v>
      </c>
      <c r="I447" s="774" t="s">
        <v>550</v>
      </c>
      <c r="J447" s="57">
        <v>0</v>
      </c>
      <c r="K447" s="88">
        <v>52</v>
      </c>
      <c r="L447" s="962"/>
      <c r="M447" s="856"/>
      <c r="N447" s="850"/>
      <c r="O447" s="775" t="s">
        <v>38</v>
      </c>
      <c r="P447" s="774">
        <v>0</v>
      </c>
      <c r="Q447" s="774">
        <v>0</v>
      </c>
      <c r="R447" s="774">
        <v>0</v>
      </c>
      <c r="S447" s="774">
        <v>0</v>
      </c>
      <c r="T447" s="774">
        <v>0</v>
      </c>
      <c r="U447" s="774">
        <v>0</v>
      </c>
      <c r="V447" s="774">
        <v>0</v>
      </c>
      <c r="W447" s="774"/>
      <c r="X447" s="774"/>
      <c r="Y447" s="774"/>
      <c r="Z447" s="774">
        <v>0</v>
      </c>
      <c r="AA447" s="774"/>
      <c r="AB447" s="774">
        <v>0</v>
      </c>
      <c r="AC447" s="774">
        <v>0</v>
      </c>
      <c r="AD447" s="774"/>
      <c r="AE447" s="774"/>
      <c r="AF447" s="774"/>
      <c r="AG447" s="774"/>
      <c r="AH447" s="774"/>
      <c r="AI447" s="774"/>
      <c r="AJ447" s="774">
        <v>0</v>
      </c>
      <c r="AK447" s="774">
        <v>0</v>
      </c>
      <c r="AL447" s="111">
        <v>70000000</v>
      </c>
      <c r="AM447" s="428"/>
      <c r="AN447" s="774">
        <v>0</v>
      </c>
      <c r="AO447" s="176">
        <v>0</v>
      </c>
      <c r="AP447" s="176"/>
      <c r="AQ447" s="26">
        <f>P447+Q447+R447+S447+T447+U447+V447+W447+X447+Y447+Z447+AA447+AB447+AC447+AD447+AE447+AF447+AG447+AH447+AI447+AJ447+AK447+AL447+AM447+AN447+AP447+AO447</f>
        <v>70000000</v>
      </c>
    </row>
    <row r="448" spans="1:43" s="425" customFormat="1" ht="15" x14ac:dyDescent="0.25">
      <c r="A448" s="20"/>
      <c r="B448" s="20"/>
      <c r="C448" s="773"/>
      <c r="D448" s="774"/>
      <c r="E448" s="80"/>
      <c r="F448" s="80"/>
      <c r="G448" s="154"/>
      <c r="H448" s="155"/>
      <c r="I448" s="154"/>
      <c r="J448" s="398"/>
      <c r="K448" s="411"/>
      <c r="L448" s="411"/>
      <c r="M448" s="157"/>
      <c r="N448" s="154"/>
      <c r="O448" s="155"/>
      <c r="P448" s="692">
        <f t="shared" ref="P448:AK448" si="205">SUM(P446:P447)</f>
        <v>0</v>
      </c>
      <c r="Q448" s="692">
        <f t="shared" si="205"/>
        <v>0</v>
      </c>
      <c r="R448" s="692">
        <f t="shared" si="205"/>
        <v>0</v>
      </c>
      <c r="S448" s="692">
        <f t="shared" si="205"/>
        <v>0</v>
      </c>
      <c r="T448" s="692">
        <f t="shared" si="205"/>
        <v>0</v>
      </c>
      <c r="U448" s="692">
        <f t="shared" si="205"/>
        <v>0</v>
      </c>
      <c r="V448" s="692">
        <f t="shared" si="205"/>
        <v>0</v>
      </c>
      <c r="W448" s="692">
        <f t="shared" si="205"/>
        <v>0</v>
      </c>
      <c r="X448" s="692">
        <f t="shared" si="205"/>
        <v>0</v>
      </c>
      <c r="Y448" s="692">
        <f t="shared" si="205"/>
        <v>0</v>
      </c>
      <c r="Z448" s="692">
        <f t="shared" si="205"/>
        <v>0</v>
      </c>
      <c r="AA448" s="692">
        <f t="shared" si="205"/>
        <v>0</v>
      </c>
      <c r="AB448" s="692">
        <f t="shared" si="205"/>
        <v>0</v>
      </c>
      <c r="AC448" s="692">
        <f t="shared" si="205"/>
        <v>0</v>
      </c>
      <c r="AD448" s="692">
        <f t="shared" si="205"/>
        <v>0</v>
      </c>
      <c r="AE448" s="692">
        <f t="shared" si="205"/>
        <v>0</v>
      </c>
      <c r="AF448" s="692">
        <f t="shared" si="205"/>
        <v>0</v>
      </c>
      <c r="AG448" s="692">
        <f t="shared" si="205"/>
        <v>0</v>
      </c>
      <c r="AH448" s="692">
        <f t="shared" si="205"/>
        <v>0</v>
      </c>
      <c r="AI448" s="692">
        <f t="shared" si="205"/>
        <v>0</v>
      </c>
      <c r="AJ448" s="692">
        <f t="shared" si="205"/>
        <v>0</v>
      </c>
      <c r="AK448" s="692">
        <f t="shared" si="205"/>
        <v>0</v>
      </c>
      <c r="AL448" s="692">
        <f t="shared" ref="AL448:AP448" si="206">SUM(AL446:AL447)</f>
        <v>80000000</v>
      </c>
      <c r="AM448" s="692">
        <f t="shared" si="206"/>
        <v>0</v>
      </c>
      <c r="AN448" s="692">
        <f t="shared" si="206"/>
        <v>0</v>
      </c>
      <c r="AO448" s="692">
        <f t="shared" si="206"/>
        <v>0</v>
      </c>
      <c r="AP448" s="692">
        <f t="shared" si="206"/>
        <v>0</v>
      </c>
      <c r="AQ448" s="692">
        <f>SUM(AQ446:AQ447)</f>
        <v>80000000</v>
      </c>
    </row>
    <row r="449" spans="1:43" s="425" customFormat="1" ht="15" x14ac:dyDescent="0.25">
      <c r="A449" s="20"/>
      <c r="B449" s="20"/>
      <c r="C449" s="795"/>
      <c r="D449" s="177"/>
      <c r="E449" s="399"/>
      <c r="F449" s="399"/>
      <c r="G449" s="177"/>
      <c r="H449" s="795"/>
      <c r="I449" s="177"/>
      <c r="J449" s="400"/>
      <c r="K449" s="400"/>
      <c r="L449" s="401"/>
      <c r="M449" s="234"/>
      <c r="N449" s="223"/>
      <c r="O449" s="795"/>
      <c r="P449" s="180"/>
      <c r="Q449" s="180"/>
      <c r="R449" s="180"/>
      <c r="S449" s="180"/>
      <c r="T449" s="180"/>
      <c r="U449" s="180"/>
      <c r="V449" s="106"/>
      <c r="W449" s="180"/>
      <c r="X449" s="180"/>
      <c r="Y449" s="180"/>
      <c r="Z449" s="180"/>
      <c r="AA449" s="180"/>
      <c r="AB449" s="180"/>
      <c r="AC449" s="180"/>
      <c r="AD449" s="180"/>
      <c r="AE449" s="180"/>
      <c r="AF449" s="180"/>
      <c r="AG449" s="180"/>
      <c r="AH449" s="180"/>
      <c r="AI449" s="180"/>
      <c r="AJ449" s="180"/>
      <c r="AK449" s="180"/>
      <c r="AL449" s="291"/>
      <c r="AM449" s="106"/>
      <c r="AN449" s="180"/>
      <c r="AO449" s="180"/>
      <c r="AP449" s="180"/>
      <c r="AQ449" s="26"/>
    </row>
    <row r="450" spans="1:43" s="425" customFormat="1" ht="15" x14ac:dyDescent="0.25">
      <c r="A450" s="20"/>
      <c r="B450" s="20"/>
      <c r="C450" s="773"/>
      <c r="D450" s="774"/>
      <c r="E450" s="80"/>
      <c r="F450" s="80"/>
      <c r="G450" s="344">
        <v>26</v>
      </c>
      <c r="H450" s="189" t="s">
        <v>551</v>
      </c>
      <c r="I450" s="189"/>
      <c r="J450" s="189"/>
      <c r="K450" s="189"/>
      <c r="L450" s="189"/>
      <c r="M450" s="189"/>
      <c r="N450" s="189"/>
      <c r="O450" s="189"/>
      <c r="P450" s="189"/>
      <c r="Q450" s="189"/>
      <c r="R450" s="189" t="s">
        <v>0</v>
      </c>
      <c r="S450" s="189"/>
      <c r="T450" s="189"/>
      <c r="U450" s="189"/>
      <c r="V450" s="189"/>
      <c r="W450" s="189"/>
      <c r="X450" s="189"/>
      <c r="Y450" s="189"/>
      <c r="Z450" s="189"/>
      <c r="AA450" s="189"/>
      <c r="AB450" s="189"/>
      <c r="AC450" s="189"/>
      <c r="AD450" s="189"/>
      <c r="AE450" s="189"/>
      <c r="AF450" s="189"/>
      <c r="AG450" s="189"/>
      <c r="AH450" s="189"/>
      <c r="AI450" s="189"/>
      <c r="AJ450" s="189"/>
      <c r="AK450" s="189"/>
      <c r="AL450" s="190"/>
      <c r="AM450" s="189"/>
      <c r="AN450" s="189"/>
      <c r="AO450" s="189"/>
      <c r="AP450" s="189"/>
      <c r="AQ450" s="521"/>
    </row>
    <row r="451" spans="1:43" s="425" customFormat="1" ht="96" customHeight="1" x14ac:dyDescent="0.25">
      <c r="A451" s="20"/>
      <c r="B451" s="20"/>
      <c r="C451" s="773" t="s">
        <v>552</v>
      </c>
      <c r="D451" s="153" t="s">
        <v>553</v>
      </c>
      <c r="E451" s="84" t="s">
        <v>554</v>
      </c>
      <c r="F451" s="84" t="s">
        <v>555</v>
      </c>
      <c r="G451" s="774"/>
      <c r="H451" s="775">
        <v>110</v>
      </c>
      <c r="I451" s="774" t="s">
        <v>556</v>
      </c>
      <c r="J451" s="57">
        <v>180</v>
      </c>
      <c r="K451" s="430">
        <v>200</v>
      </c>
      <c r="L451" s="430" t="s">
        <v>450</v>
      </c>
      <c r="M451" s="37" t="s">
        <v>557</v>
      </c>
      <c r="N451" s="774" t="s">
        <v>558</v>
      </c>
      <c r="O451" s="775" t="s">
        <v>38</v>
      </c>
      <c r="P451" s="774">
        <v>0</v>
      </c>
      <c r="Q451" s="774">
        <v>0</v>
      </c>
      <c r="R451" s="774">
        <v>0</v>
      </c>
      <c r="S451" s="774">
        <v>0</v>
      </c>
      <c r="T451" s="774">
        <v>0</v>
      </c>
      <c r="U451" s="774">
        <v>0</v>
      </c>
      <c r="V451" s="774">
        <v>0</v>
      </c>
      <c r="W451" s="774"/>
      <c r="X451" s="774"/>
      <c r="Y451" s="774"/>
      <c r="Z451" s="774">
        <v>0</v>
      </c>
      <c r="AA451" s="774"/>
      <c r="AB451" s="774">
        <v>0</v>
      </c>
      <c r="AC451" s="774">
        <v>0</v>
      </c>
      <c r="AD451" s="431"/>
      <c r="AE451" s="431"/>
      <c r="AF451" s="431"/>
      <c r="AG451" s="431"/>
      <c r="AH451" s="431"/>
      <c r="AI451" s="431">
        <v>488921512</v>
      </c>
      <c r="AJ451" s="774">
        <v>0</v>
      </c>
      <c r="AK451" s="774">
        <v>0</v>
      </c>
      <c r="AL451" s="432">
        <v>0</v>
      </c>
      <c r="AM451" s="246"/>
      <c r="AN451" s="153">
        <v>0</v>
      </c>
      <c r="AO451" s="48">
        <v>0</v>
      </c>
      <c r="AP451" s="48">
        <v>0</v>
      </c>
      <c r="AQ451" s="26">
        <f>P451+Q451+R451+S451+T451+U451+V451+W451+X451+Y451+Z451+AA451+AB451+AC451+AD451+AE451+AF451+AG451+AH451+AI451+AJ451+AK451+AL451+AM451+AN451+AP451+AO451</f>
        <v>488921512</v>
      </c>
    </row>
    <row r="452" spans="1:43" s="425" customFormat="1" ht="15" x14ac:dyDescent="0.25">
      <c r="A452" s="20"/>
      <c r="B452" s="20"/>
      <c r="C452" s="773"/>
      <c r="D452" s="153"/>
      <c r="E452" s="84"/>
      <c r="F452" s="84"/>
      <c r="G452" s="154"/>
      <c r="H452" s="155"/>
      <c r="I452" s="154"/>
      <c r="J452" s="398"/>
      <c r="K452" s="411"/>
      <c r="L452" s="411"/>
      <c r="M452" s="157"/>
      <c r="N452" s="154"/>
      <c r="O452" s="155"/>
      <c r="P452" s="154">
        <f>SUM(P451)</f>
        <v>0</v>
      </c>
      <c r="Q452" s="154">
        <f t="shared" ref="Q452:AK452" si="207">SUM(Q451)</f>
        <v>0</v>
      </c>
      <c r="R452" s="154">
        <f t="shared" si="207"/>
        <v>0</v>
      </c>
      <c r="S452" s="154">
        <f t="shared" si="207"/>
        <v>0</v>
      </c>
      <c r="T452" s="154">
        <f t="shared" si="207"/>
        <v>0</v>
      </c>
      <c r="U452" s="154">
        <f t="shared" si="207"/>
        <v>0</v>
      </c>
      <c r="V452" s="154">
        <f t="shared" si="207"/>
        <v>0</v>
      </c>
      <c r="W452" s="154">
        <f t="shared" si="207"/>
        <v>0</v>
      </c>
      <c r="X452" s="154">
        <f t="shared" si="207"/>
        <v>0</v>
      </c>
      <c r="Y452" s="154">
        <f t="shared" si="207"/>
        <v>0</v>
      </c>
      <c r="Z452" s="154">
        <f t="shared" si="207"/>
        <v>0</v>
      </c>
      <c r="AA452" s="154">
        <f t="shared" si="207"/>
        <v>0</v>
      </c>
      <c r="AB452" s="154">
        <f t="shared" si="207"/>
        <v>0</v>
      </c>
      <c r="AC452" s="154">
        <f t="shared" si="207"/>
        <v>0</v>
      </c>
      <c r="AD452" s="154">
        <f t="shared" si="207"/>
        <v>0</v>
      </c>
      <c r="AE452" s="154">
        <f t="shared" si="207"/>
        <v>0</v>
      </c>
      <c r="AF452" s="154">
        <f t="shared" si="207"/>
        <v>0</v>
      </c>
      <c r="AG452" s="154">
        <f t="shared" si="207"/>
        <v>0</v>
      </c>
      <c r="AH452" s="154">
        <f t="shared" si="207"/>
        <v>0</v>
      </c>
      <c r="AI452" s="398">
        <f t="shared" si="207"/>
        <v>488921512</v>
      </c>
      <c r="AJ452" s="154">
        <f t="shared" si="207"/>
        <v>0</v>
      </c>
      <c r="AK452" s="154">
        <f t="shared" si="207"/>
        <v>0</v>
      </c>
      <c r="AL452" s="154">
        <f t="shared" ref="AL452:AP452" si="208">SUM(AL451)</f>
        <v>0</v>
      </c>
      <c r="AM452" s="154">
        <f t="shared" si="208"/>
        <v>0</v>
      </c>
      <c r="AN452" s="154">
        <f t="shared" si="208"/>
        <v>0</v>
      </c>
      <c r="AO452" s="154">
        <f t="shared" si="208"/>
        <v>0</v>
      </c>
      <c r="AP452" s="154">
        <f t="shared" si="208"/>
        <v>0</v>
      </c>
      <c r="AQ452" s="692">
        <f>SUM(AQ451)</f>
        <v>488921512</v>
      </c>
    </row>
    <row r="453" spans="1:43" s="425" customFormat="1" ht="15" x14ac:dyDescent="0.25">
      <c r="A453" s="20"/>
      <c r="B453" s="20"/>
      <c r="C453" s="795"/>
      <c r="D453" s="177"/>
      <c r="E453" s="399"/>
      <c r="F453" s="399"/>
      <c r="G453" s="177"/>
      <c r="H453" s="795"/>
      <c r="I453" s="177"/>
      <c r="J453" s="400"/>
      <c r="K453" s="400"/>
      <c r="L453" s="401"/>
      <c r="M453" s="234"/>
      <c r="N453" s="223"/>
      <c r="O453" s="795"/>
      <c r="P453" s="180"/>
      <c r="Q453" s="180"/>
      <c r="R453" s="180"/>
      <c r="S453" s="180"/>
      <c r="T453" s="180"/>
      <c r="U453" s="180"/>
      <c r="V453" s="106"/>
      <c r="W453" s="180"/>
      <c r="X453" s="180"/>
      <c r="Y453" s="180"/>
      <c r="Z453" s="180"/>
      <c r="AA453" s="180"/>
      <c r="AB453" s="180"/>
      <c r="AC453" s="180"/>
      <c r="AD453" s="181"/>
      <c r="AE453" s="181"/>
      <c r="AF453" s="181"/>
      <c r="AG453" s="181"/>
      <c r="AH453" s="181"/>
      <c r="AI453" s="181"/>
      <c r="AJ453" s="180"/>
      <c r="AK453" s="180"/>
      <c r="AL453" s="291"/>
      <c r="AM453" s="106"/>
      <c r="AN453" s="180"/>
      <c r="AO453" s="180"/>
      <c r="AP453" s="180"/>
      <c r="AQ453" s="26"/>
    </row>
    <row r="454" spans="1:43" s="425" customFormat="1" ht="15" x14ac:dyDescent="0.25">
      <c r="A454" s="20"/>
      <c r="B454" s="20"/>
      <c r="C454" s="773"/>
      <c r="D454" s="774"/>
      <c r="E454" s="80"/>
      <c r="F454" s="80"/>
      <c r="G454" s="344">
        <v>27</v>
      </c>
      <c r="H454" s="189" t="s">
        <v>886</v>
      </c>
      <c r="I454" s="189"/>
      <c r="J454" s="189"/>
      <c r="K454" s="189"/>
      <c r="L454" s="189"/>
      <c r="M454" s="189"/>
      <c r="N454" s="189"/>
      <c r="O454" s="189"/>
      <c r="P454" s="189"/>
      <c r="Q454" s="189"/>
      <c r="R454" s="189"/>
      <c r="S454" s="189"/>
      <c r="T454" s="189"/>
      <c r="U454" s="189"/>
      <c r="V454" s="189"/>
      <c r="W454" s="189"/>
      <c r="X454" s="189"/>
      <c r="Y454" s="189"/>
      <c r="Z454" s="189"/>
      <c r="AA454" s="189"/>
      <c r="AB454" s="189"/>
      <c r="AC454" s="189"/>
      <c r="AD454" s="189"/>
      <c r="AE454" s="189"/>
      <c r="AF454" s="189"/>
      <c r="AG454" s="189"/>
      <c r="AH454" s="189"/>
      <c r="AI454" s="189"/>
      <c r="AJ454" s="189"/>
      <c r="AK454" s="189"/>
      <c r="AL454" s="190"/>
      <c r="AM454" s="189"/>
      <c r="AN454" s="189"/>
      <c r="AO454" s="189"/>
      <c r="AP454" s="189"/>
      <c r="AQ454" s="521"/>
    </row>
    <row r="455" spans="1:43" ht="92.25" customHeight="1" x14ac:dyDescent="0.25">
      <c r="A455" s="20"/>
      <c r="B455" s="20"/>
      <c r="C455" s="773" t="s">
        <v>471</v>
      </c>
      <c r="D455" s="153" t="s">
        <v>472</v>
      </c>
      <c r="E455" s="84" t="s">
        <v>517</v>
      </c>
      <c r="F455" s="84" t="s">
        <v>518</v>
      </c>
      <c r="G455" s="23"/>
      <c r="H455" s="775">
        <v>111</v>
      </c>
      <c r="I455" s="774" t="s">
        <v>559</v>
      </c>
      <c r="J455" s="434">
        <v>1</v>
      </c>
      <c r="K455" s="434">
        <v>1</v>
      </c>
      <c r="L455" s="53" t="s">
        <v>450</v>
      </c>
      <c r="M455" s="37" t="s">
        <v>560</v>
      </c>
      <c r="N455" s="809" t="s">
        <v>561</v>
      </c>
      <c r="O455" s="775" t="s">
        <v>38</v>
      </c>
      <c r="P455" s="774">
        <v>0</v>
      </c>
      <c r="Q455" s="774">
        <v>0</v>
      </c>
      <c r="R455" s="774">
        <v>0</v>
      </c>
      <c r="S455" s="774">
        <v>0</v>
      </c>
      <c r="T455" s="774">
        <v>0</v>
      </c>
      <c r="U455" s="774">
        <v>0</v>
      </c>
      <c r="V455" s="774">
        <v>0</v>
      </c>
      <c r="W455" s="774"/>
      <c r="X455" s="774"/>
      <c r="Y455" s="774"/>
      <c r="Z455" s="774">
        <v>0</v>
      </c>
      <c r="AA455" s="774"/>
      <c r="AB455" s="774">
        <v>0</v>
      </c>
      <c r="AC455" s="774">
        <v>0</v>
      </c>
      <c r="AD455" s="435"/>
      <c r="AE455" s="436">
        <v>18840890009</v>
      </c>
      <c r="AF455" s="436"/>
      <c r="AG455" s="435"/>
      <c r="AH455" s="435"/>
      <c r="AI455" s="435"/>
      <c r="AJ455" s="774">
        <v>0</v>
      </c>
      <c r="AK455" s="774">
        <v>0</v>
      </c>
      <c r="AL455" s="432">
        <v>0</v>
      </c>
      <c r="AM455" s="246"/>
      <c r="AN455" s="153">
        <v>0</v>
      </c>
      <c r="AO455" s="433">
        <v>0</v>
      </c>
      <c r="AP455" s="433"/>
      <c r="AQ455" s="26">
        <f>P455+Q455+R455+S455+T455+U455+V455+W455+X455+Y455+Z455+AA455+AB455+AC455+AD455+AE455+AF455+AG455+AH455+AI455+AJ455+AK455+AL455+AM455+AN455+AP455+AO455</f>
        <v>18840890009</v>
      </c>
    </row>
    <row r="456" spans="1:43" ht="15" x14ac:dyDescent="0.25">
      <c r="A456" s="20"/>
      <c r="B456" s="20"/>
      <c r="C456" s="773"/>
      <c r="D456" s="153"/>
      <c r="E456" s="80"/>
      <c r="F456" s="80"/>
      <c r="G456" s="154"/>
      <c r="H456" s="155"/>
      <c r="I456" s="154"/>
      <c r="J456" s="437"/>
      <c r="K456" s="437"/>
      <c r="L456" s="437"/>
      <c r="M456" s="157"/>
      <c r="N456" s="154"/>
      <c r="O456" s="155"/>
      <c r="P456" s="154">
        <f>SUM(P455:P455)</f>
        <v>0</v>
      </c>
      <c r="Q456" s="154">
        <f>SUM(Q455:Q455)</f>
        <v>0</v>
      </c>
      <c r="R456" s="154">
        <f t="shared" ref="R456:AL456" si="209">SUM(R455:R455)</f>
        <v>0</v>
      </c>
      <c r="S456" s="154">
        <f t="shared" si="209"/>
        <v>0</v>
      </c>
      <c r="T456" s="154">
        <f t="shared" si="209"/>
        <v>0</v>
      </c>
      <c r="U456" s="154">
        <f t="shared" si="209"/>
        <v>0</v>
      </c>
      <c r="V456" s="154">
        <f t="shared" si="209"/>
        <v>0</v>
      </c>
      <c r="W456" s="154">
        <f t="shared" si="209"/>
        <v>0</v>
      </c>
      <c r="X456" s="154">
        <f t="shared" si="209"/>
        <v>0</v>
      </c>
      <c r="Y456" s="154">
        <f t="shared" si="209"/>
        <v>0</v>
      </c>
      <c r="Z456" s="154">
        <f t="shared" si="209"/>
        <v>0</v>
      </c>
      <c r="AA456" s="154">
        <f t="shared" si="209"/>
        <v>0</v>
      </c>
      <c r="AB456" s="154">
        <f t="shared" si="209"/>
        <v>0</v>
      </c>
      <c r="AC456" s="154">
        <f t="shared" si="209"/>
        <v>0</v>
      </c>
      <c r="AD456" s="154">
        <f t="shared" si="209"/>
        <v>0</v>
      </c>
      <c r="AE456" s="398">
        <f t="shared" si="209"/>
        <v>18840890009</v>
      </c>
      <c r="AF456" s="154">
        <f t="shared" si="209"/>
        <v>0</v>
      </c>
      <c r="AG456" s="154">
        <f t="shared" si="209"/>
        <v>0</v>
      </c>
      <c r="AH456" s="154">
        <f t="shared" si="209"/>
        <v>0</v>
      </c>
      <c r="AI456" s="154">
        <f t="shared" si="209"/>
        <v>0</v>
      </c>
      <c r="AJ456" s="154">
        <f t="shared" si="209"/>
        <v>0</v>
      </c>
      <c r="AK456" s="154">
        <f t="shared" si="209"/>
        <v>0</v>
      </c>
      <c r="AL456" s="154">
        <f t="shared" si="209"/>
        <v>0</v>
      </c>
      <c r="AM456" s="154">
        <f t="shared" ref="AM456:AP456" si="210">SUM(AM455:AM455)</f>
        <v>0</v>
      </c>
      <c r="AN456" s="154">
        <f t="shared" si="210"/>
        <v>0</v>
      </c>
      <c r="AO456" s="154">
        <f t="shared" si="210"/>
        <v>0</v>
      </c>
      <c r="AP456" s="154">
        <f t="shared" si="210"/>
        <v>0</v>
      </c>
      <c r="AQ456" s="438">
        <f>SUM(AQ455:AQ455)</f>
        <v>18840890009</v>
      </c>
    </row>
    <row r="457" spans="1:43" ht="15" x14ac:dyDescent="0.25">
      <c r="A457" s="20"/>
      <c r="B457" s="20"/>
      <c r="C457" s="795"/>
      <c r="D457" s="177"/>
      <c r="E457" s="399"/>
      <c r="F457" s="399"/>
      <c r="G457" s="177"/>
      <c r="H457" s="795"/>
      <c r="I457" s="177"/>
      <c r="J457" s="400"/>
      <c r="K457" s="400"/>
      <c r="L457" s="401"/>
      <c r="M457" s="234"/>
      <c r="N457" s="223"/>
      <c r="O457" s="795"/>
      <c r="P457" s="180"/>
      <c r="Q457" s="180"/>
      <c r="R457" s="180"/>
      <c r="S457" s="180"/>
      <c r="T457" s="180"/>
      <c r="U457" s="180"/>
      <c r="V457" s="106"/>
      <c r="W457" s="180"/>
      <c r="X457" s="180"/>
      <c r="Y457" s="180"/>
      <c r="Z457" s="180"/>
      <c r="AA457" s="180"/>
      <c r="AB457" s="180"/>
      <c r="AC457" s="180"/>
      <c r="AD457" s="180"/>
      <c r="AE457" s="180"/>
      <c r="AF457" s="180"/>
      <c r="AG457" s="180"/>
      <c r="AH457" s="180"/>
      <c r="AI457" s="180"/>
      <c r="AJ457" s="180"/>
      <c r="AK457" s="180"/>
      <c r="AL457" s="291"/>
      <c r="AM457" s="106"/>
      <c r="AN457" s="180"/>
      <c r="AO457" s="180"/>
      <c r="AP457" s="180"/>
      <c r="AQ457" s="26"/>
    </row>
    <row r="458" spans="1:43" ht="15" x14ac:dyDescent="0.25">
      <c r="A458" s="20"/>
      <c r="B458" s="20"/>
      <c r="C458" s="773"/>
      <c r="D458" s="774"/>
      <c r="E458" s="80"/>
      <c r="F458" s="80"/>
      <c r="G458" s="344">
        <v>28</v>
      </c>
      <c r="H458" s="189" t="s">
        <v>562</v>
      </c>
      <c r="I458" s="189"/>
      <c r="J458" s="189"/>
      <c r="K458" s="189"/>
      <c r="L458" s="189"/>
      <c r="M458" s="189"/>
      <c r="N458" s="189"/>
      <c r="O458" s="189"/>
      <c r="P458" s="189"/>
      <c r="Q458" s="189"/>
      <c r="R458" s="189"/>
      <c r="S458" s="189"/>
      <c r="T458" s="189"/>
      <c r="U458" s="189"/>
      <c r="V458" s="189"/>
      <c r="W458" s="189"/>
      <c r="X458" s="189"/>
      <c r="Y458" s="189"/>
      <c r="Z458" s="189"/>
      <c r="AA458" s="189"/>
      <c r="AB458" s="189"/>
      <c r="AC458" s="189"/>
      <c r="AD458" s="189"/>
      <c r="AE458" s="189"/>
      <c r="AF458" s="189"/>
      <c r="AG458" s="189"/>
      <c r="AH458" s="189"/>
      <c r="AI458" s="189"/>
      <c r="AJ458" s="189"/>
      <c r="AK458" s="189"/>
      <c r="AL458" s="190"/>
      <c r="AM458" s="189"/>
      <c r="AN458" s="189"/>
      <c r="AO458" s="189"/>
      <c r="AP458" s="189"/>
      <c r="AQ458" s="521"/>
    </row>
    <row r="459" spans="1:43" ht="48" customHeight="1" x14ac:dyDescent="0.25">
      <c r="A459" s="20"/>
      <c r="B459" s="20"/>
      <c r="C459" s="861" t="s">
        <v>471</v>
      </c>
      <c r="D459" s="863" t="s">
        <v>472</v>
      </c>
      <c r="E459" s="954" t="s">
        <v>517</v>
      </c>
      <c r="F459" s="954" t="s">
        <v>518</v>
      </c>
      <c r="G459" s="23"/>
      <c r="H459" s="775">
        <v>112</v>
      </c>
      <c r="I459" s="774" t="s">
        <v>563</v>
      </c>
      <c r="J459" s="439">
        <v>0</v>
      </c>
      <c r="K459" s="93">
        <v>20</v>
      </c>
      <c r="L459" s="957">
        <v>1</v>
      </c>
      <c r="M459" s="959" t="s">
        <v>564</v>
      </c>
      <c r="N459" s="849" t="s">
        <v>565</v>
      </c>
      <c r="O459" s="775" t="s">
        <v>34</v>
      </c>
      <c r="P459" s="774">
        <v>0</v>
      </c>
      <c r="Q459" s="774">
        <v>0</v>
      </c>
      <c r="R459" s="774">
        <v>0</v>
      </c>
      <c r="S459" s="774">
        <v>0</v>
      </c>
      <c r="T459" s="774">
        <v>0</v>
      </c>
      <c r="U459" s="774">
        <v>0</v>
      </c>
      <c r="V459" s="254">
        <v>720000</v>
      </c>
      <c r="W459" s="774"/>
      <c r="X459" s="774"/>
      <c r="Y459" s="774"/>
      <c r="Z459" s="774">
        <v>0</v>
      </c>
      <c r="AA459" s="774"/>
      <c r="AB459" s="774">
        <v>0</v>
      </c>
      <c r="AC459" s="774">
        <v>0</v>
      </c>
      <c r="AD459" s="441"/>
      <c r="AE459" s="441"/>
      <c r="AF459" s="441"/>
      <c r="AG459" s="441"/>
      <c r="AH459" s="441"/>
      <c r="AI459" s="441"/>
      <c r="AJ459" s="774">
        <v>0</v>
      </c>
      <c r="AK459" s="774">
        <v>0</v>
      </c>
      <c r="AL459" s="111">
        <v>30000000</v>
      </c>
      <c r="AM459" s="428"/>
      <c r="AN459" s="153">
        <v>0</v>
      </c>
      <c r="AO459" s="433">
        <v>0</v>
      </c>
      <c r="AP459" s="433"/>
      <c r="AQ459" s="26">
        <f>P459+Q459+R459+S459+T459+U459+V459+W459+X459+Y459+Z459+AA459+AB459+AC459+AD459+AE459+AF459+AG459+AH459+AI459+AJ459+AK459+AL459+AM459+AN459+AP459+AO459</f>
        <v>30720000</v>
      </c>
    </row>
    <row r="460" spans="1:43" ht="68.25" customHeight="1" x14ac:dyDescent="0.25">
      <c r="A460" s="20"/>
      <c r="B460" s="20"/>
      <c r="C460" s="862"/>
      <c r="D460" s="864"/>
      <c r="E460" s="955"/>
      <c r="F460" s="955"/>
      <c r="G460" s="30"/>
      <c r="H460" s="775">
        <v>113</v>
      </c>
      <c r="I460" s="774" t="s">
        <v>566</v>
      </c>
      <c r="J460" s="439">
        <v>0</v>
      </c>
      <c r="K460" s="93">
        <v>3</v>
      </c>
      <c r="L460" s="958"/>
      <c r="M460" s="960"/>
      <c r="N460" s="850"/>
      <c r="O460" s="775" t="s">
        <v>34</v>
      </c>
      <c r="P460" s="774">
        <v>0</v>
      </c>
      <c r="Q460" s="774">
        <v>0</v>
      </c>
      <c r="R460" s="774">
        <v>0</v>
      </c>
      <c r="S460" s="774">
        <v>0</v>
      </c>
      <c r="T460" s="774">
        <v>0</v>
      </c>
      <c r="U460" s="774">
        <v>0</v>
      </c>
      <c r="V460" s="26">
        <f>11880000</f>
        <v>11880000</v>
      </c>
      <c r="W460" s="774"/>
      <c r="X460" s="774"/>
      <c r="Y460" s="774"/>
      <c r="Z460" s="774">
        <v>0</v>
      </c>
      <c r="AA460" s="774"/>
      <c r="AB460" s="774">
        <v>0</v>
      </c>
      <c r="AC460" s="774">
        <v>0</v>
      </c>
      <c r="AD460" s="16"/>
      <c r="AE460" s="16"/>
      <c r="AF460" s="16"/>
      <c r="AG460" s="16"/>
      <c r="AH460" s="16"/>
      <c r="AI460" s="16"/>
      <c r="AJ460" s="774">
        <v>0</v>
      </c>
      <c r="AK460" s="774">
        <v>0</v>
      </c>
      <c r="AL460" s="111"/>
      <c r="AM460" s="87"/>
      <c r="AN460" s="153">
        <v>0</v>
      </c>
      <c r="AO460" s="433">
        <v>0</v>
      </c>
      <c r="AP460" s="433"/>
      <c r="AQ460" s="26">
        <f>P460+Q460+R460+S460+T460+U460+V460+W460+X460+Y460+Z460+AA460+AB460+AC460+AD460+AE460+AF460+AG460+AH460+AI460+AJ460+AK460+AL460+AM460+AN460+AP460+AO460</f>
        <v>11880000</v>
      </c>
    </row>
    <row r="461" spans="1:43" s="447" customFormat="1" ht="20.25" x14ac:dyDescent="0.25">
      <c r="A461" s="442"/>
      <c r="B461" s="443"/>
      <c r="C461" s="773"/>
      <c r="D461" s="444"/>
      <c r="E461" s="445"/>
      <c r="F461" s="445"/>
      <c r="G461" s="429"/>
      <c r="H461" s="155"/>
      <c r="I461" s="429"/>
      <c r="J461" s="438"/>
      <c r="K461" s="446"/>
      <c r="L461" s="446"/>
      <c r="M461" s="157"/>
      <c r="N461" s="429"/>
      <c r="O461" s="429"/>
      <c r="P461" s="429">
        <f>SUM(P459:P460)</f>
        <v>0</v>
      </c>
      <c r="Q461" s="429">
        <f t="shared" ref="Q461:AK461" si="211">SUM(Q459:Q460)</f>
        <v>0</v>
      </c>
      <c r="R461" s="429">
        <f t="shared" si="211"/>
        <v>0</v>
      </c>
      <c r="S461" s="429">
        <f t="shared" si="211"/>
        <v>0</v>
      </c>
      <c r="T461" s="429">
        <f t="shared" si="211"/>
        <v>0</v>
      </c>
      <c r="U461" s="429">
        <f t="shared" si="211"/>
        <v>0</v>
      </c>
      <c r="V461" s="429">
        <f t="shared" si="211"/>
        <v>12600000</v>
      </c>
      <c r="W461" s="429">
        <f t="shared" si="211"/>
        <v>0</v>
      </c>
      <c r="X461" s="429">
        <f t="shared" si="211"/>
        <v>0</v>
      </c>
      <c r="Y461" s="429">
        <f t="shared" si="211"/>
        <v>0</v>
      </c>
      <c r="Z461" s="429">
        <f t="shared" si="211"/>
        <v>0</v>
      </c>
      <c r="AA461" s="429">
        <f t="shared" si="211"/>
        <v>0</v>
      </c>
      <c r="AB461" s="429">
        <f t="shared" si="211"/>
        <v>0</v>
      </c>
      <c r="AC461" s="429">
        <f t="shared" si="211"/>
        <v>0</v>
      </c>
      <c r="AD461" s="429">
        <f t="shared" si="211"/>
        <v>0</v>
      </c>
      <c r="AE461" s="429">
        <f t="shared" si="211"/>
        <v>0</v>
      </c>
      <c r="AF461" s="429">
        <f t="shared" si="211"/>
        <v>0</v>
      </c>
      <c r="AG461" s="429">
        <f t="shared" si="211"/>
        <v>0</v>
      </c>
      <c r="AH461" s="429">
        <f t="shared" si="211"/>
        <v>0</v>
      </c>
      <c r="AI461" s="429">
        <f t="shared" si="211"/>
        <v>0</v>
      </c>
      <c r="AJ461" s="429">
        <f t="shared" si="211"/>
        <v>0</v>
      </c>
      <c r="AK461" s="429">
        <f t="shared" si="211"/>
        <v>0</v>
      </c>
      <c r="AL461" s="429">
        <f t="shared" ref="AL461:AP461" si="212">SUM(AL459:AL460)</f>
        <v>30000000</v>
      </c>
      <c r="AM461" s="429">
        <f t="shared" si="212"/>
        <v>0</v>
      </c>
      <c r="AN461" s="429">
        <f t="shared" si="212"/>
        <v>0</v>
      </c>
      <c r="AO461" s="429">
        <f t="shared" si="212"/>
        <v>0</v>
      </c>
      <c r="AP461" s="429">
        <f t="shared" si="212"/>
        <v>0</v>
      </c>
      <c r="AQ461" s="693">
        <f>SUM(AQ459:AQ460)</f>
        <v>42600000</v>
      </c>
    </row>
    <row r="462" spans="1:43" s="452" customFormat="1" ht="15" x14ac:dyDescent="0.25">
      <c r="A462" s="442"/>
      <c r="B462" s="448"/>
      <c r="C462" s="162"/>
      <c r="D462" s="449"/>
      <c r="E462" s="449"/>
      <c r="F462" s="449"/>
      <c r="G462" s="449"/>
      <c r="H462" s="162"/>
      <c r="I462" s="449"/>
      <c r="J462" s="450"/>
      <c r="K462" s="451"/>
      <c r="L462" s="451"/>
      <c r="M462" s="164"/>
      <c r="N462" s="449"/>
      <c r="O462" s="449"/>
      <c r="P462" s="449">
        <f>P461+P456+P452+P448</f>
        <v>0</v>
      </c>
      <c r="Q462" s="449">
        <f t="shared" ref="Q462:AK462" si="213">Q461+Q456+Q452+Q448</f>
        <v>0</v>
      </c>
      <c r="R462" s="449">
        <f t="shared" si="213"/>
        <v>0</v>
      </c>
      <c r="S462" s="449">
        <f t="shared" si="213"/>
        <v>0</v>
      </c>
      <c r="T462" s="449">
        <f t="shared" si="213"/>
        <v>0</v>
      </c>
      <c r="U462" s="449">
        <f t="shared" si="213"/>
        <v>0</v>
      </c>
      <c r="V462" s="449">
        <f t="shared" si="213"/>
        <v>12600000</v>
      </c>
      <c r="W462" s="449">
        <f t="shared" si="213"/>
        <v>0</v>
      </c>
      <c r="X462" s="449">
        <f t="shared" si="213"/>
        <v>0</v>
      </c>
      <c r="Y462" s="449">
        <f t="shared" si="213"/>
        <v>0</v>
      </c>
      <c r="Z462" s="449">
        <f t="shared" si="213"/>
        <v>0</v>
      </c>
      <c r="AA462" s="449">
        <f t="shared" si="213"/>
        <v>0</v>
      </c>
      <c r="AB462" s="449">
        <f t="shared" si="213"/>
        <v>0</v>
      </c>
      <c r="AC462" s="449">
        <f t="shared" si="213"/>
        <v>0</v>
      </c>
      <c r="AD462" s="449">
        <f t="shared" si="213"/>
        <v>0</v>
      </c>
      <c r="AE462" s="449">
        <f t="shared" si="213"/>
        <v>18840890009</v>
      </c>
      <c r="AF462" s="449">
        <f t="shared" si="213"/>
        <v>0</v>
      </c>
      <c r="AG462" s="449">
        <f t="shared" si="213"/>
        <v>0</v>
      </c>
      <c r="AH462" s="449">
        <f t="shared" si="213"/>
        <v>0</v>
      </c>
      <c r="AI462" s="449">
        <f t="shared" si="213"/>
        <v>488921512</v>
      </c>
      <c r="AJ462" s="449">
        <f t="shared" si="213"/>
        <v>0</v>
      </c>
      <c r="AK462" s="449">
        <f t="shared" si="213"/>
        <v>0</v>
      </c>
      <c r="AL462" s="449">
        <f t="shared" ref="AL462:AP462" si="214">AL461+AL456+AL452+AL448</f>
        <v>110000000</v>
      </c>
      <c r="AM462" s="449">
        <f t="shared" si="214"/>
        <v>0</v>
      </c>
      <c r="AN462" s="449">
        <f t="shared" si="214"/>
        <v>0</v>
      </c>
      <c r="AO462" s="449">
        <f t="shared" si="214"/>
        <v>0</v>
      </c>
      <c r="AP462" s="449">
        <f t="shared" si="214"/>
        <v>0</v>
      </c>
      <c r="AQ462" s="449">
        <f>AQ461+AQ456+AQ452+AQ448</f>
        <v>19452411521</v>
      </c>
    </row>
    <row r="463" spans="1:43" ht="15" x14ac:dyDescent="0.25">
      <c r="A463" s="20"/>
      <c r="B463" s="177"/>
      <c r="C463" s="795"/>
      <c r="D463" s="177"/>
      <c r="E463" s="399"/>
      <c r="F463" s="399"/>
      <c r="G463" s="177"/>
      <c r="H463" s="795"/>
      <c r="I463" s="177"/>
      <c r="J463" s="400"/>
      <c r="K463" s="400"/>
      <c r="L463" s="401"/>
      <c r="M463" s="234"/>
      <c r="N463" s="223"/>
      <c r="O463" s="795"/>
      <c r="P463" s="180"/>
      <c r="Q463" s="180"/>
      <c r="R463" s="180"/>
      <c r="S463" s="180"/>
      <c r="T463" s="180"/>
      <c r="U463" s="180"/>
      <c r="V463" s="106"/>
      <c r="W463" s="180"/>
      <c r="X463" s="180"/>
      <c r="Y463" s="180"/>
      <c r="Z463" s="180"/>
      <c r="AA463" s="180"/>
      <c r="AB463" s="180"/>
      <c r="AC463" s="180"/>
      <c r="AD463" s="180"/>
      <c r="AE463" s="180"/>
      <c r="AF463" s="180"/>
      <c r="AG463" s="180"/>
      <c r="AH463" s="180"/>
      <c r="AI463" s="180"/>
      <c r="AJ463" s="180"/>
      <c r="AK463" s="180"/>
      <c r="AL463" s="291"/>
      <c r="AM463" s="106"/>
      <c r="AN463" s="180"/>
      <c r="AO463" s="180"/>
      <c r="AP463" s="180"/>
      <c r="AQ463" s="26"/>
    </row>
    <row r="464" spans="1:43" ht="15" x14ac:dyDescent="0.25">
      <c r="A464" s="20"/>
      <c r="B464" s="243">
        <v>16</v>
      </c>
      <c r="C464" s="145" t="s">
        <v>567</v>
      </c>
      <c r="D464" s="146"/>
      <c r="E464" s="146"/>
      <c r="F464" s="146"/>
      <c r="G464" s="146"/>
      <c r="H464" s="147"/>
      <c r="I464" s="146"/>
      <c r="J464" s="146"/>
      <c r="K464" s="146"/>
      <c r="L464" s="146"/>
      <c r="M464" s="652"/>
      <c r="N464" s="146"/>
      <c r="O464" s="146"/>
      <c r="P464" s="146"/>
      <c r="Q464" s="146"/>
      <c r="R464" s="146"/>
      <c r="S464" s="146"/>
      <c r="T464" s="146"/>
      <c r="U464" s="146"/>
      <c r="V464" s="146"/>
      <c r="W464" s="146"/>
      <c r="X464" s="146"/>
      <c r="Y464" s="146"/>
      <c r="Z464" s="146"/>
      <c r="AA464" s="146"/>
      <c r="AB464" s="146"/>
      <c r="AC464" s="146"/>
      <c r="AD464" s="146"/>
      <c r="AE464" s="146"/>
      <c r="AF464" s="146"/>
      <c r="AG464" s="146"/>
      <c r="AH464" s="146"/>
      <c r="AI464" s="146"/>
      <c r="AJ464" s="146"/>
      <c r="AK464" s="146"/>
      <c r="AL464" s="148"/>
      <c r="AM464" s="146"/>
      <c r="AN464" s="146"/>
      <c r="AO464" s="146"/>
      <c r="AP464" s="146"/>
      <c r="AQ464" s="524"/>
    </row>
    <row r="465" spans="1:43" ht="15" x14ac:dyDescent="0.25">
      <c r="A465" s="20"/>
      <c r="B465" s="185"/>
      <c r="C465" s="795"/>
      <c r="D465" s="177"/>
      <c r="E465" s="795"/>
      <c r="F465" s="773"/>
      <c r="G465" s="344">
        <v>57</v>
      </c>
      <c r="H465" s="189" t="s">
        <v>568</v>
      </c>
      <c r="I465" s="189"/>
      <c r="J465" s="189"/>
      <c r="K465" s="189"/>
      <c r="L465" s="189"/>
      <c r="M465" s="189"/>
      <c r="N465" s="189"/>
      <c r="O465" s="189"/>
      <c r="P465" s="189"/>
      <c r="Q465" s="189"/>
      <c r="R465" s="189"/>
      <c r="S465" s="189"/>
      <c r="T465" s="189"/>
      <c r="U465" s="189"/>
      <c r="V465" s="189"/>
      <c r="W465" s="189"/>
      <c r="X465" s="189"/>
      <c r="Y465" s="189"/>
      <c r="Z465" s="189"/>
      <c r="AA465" s="189"/>
      <c r="AB465" s="189"/>
      <c r="AC465" s="189"/>
      <c r="AD465" s="189"/>
      <c r="AE465" s="189"/>
      <c r="AF465" s="189"/>
      <c r="AG465" s="189"/>
      <c r="AH465" s="189"/>
      <c r="AI465" s="189"/>
      <c r="AJ465" s="189"/>
      <c r="AK465" s="189"/>
      <c r="AL465" s="190"/>
      <c r="AM465" s="189"/>
      <c r="AN465" s="189"/>
      <c r="AO465" s="189"/>
      <c r="AP465" s="189"/>
      <c r="AQ465" s="521"/>
    </row>
    <row r="466" spans="1:43" ht="196.5" customHeight="1" x14ac:dyDescent="0.25">
      <c r="A466" s="20"/>
      <c r="B466" s="20"/>
      <c r="C466" s="453" t="s">
        <v>569</v>
      </c>
      <c r="D466" s="454" t="s">
        <v>570</v>
      </c>
      <c r="E466" s="84" t="s">
        <v>571</v>
      </c>
      <c r="F466" s="84" t="s">
        <v>572</v>
      </c>
      <c r="G466" s="774"/>
      <c r="H466" s="775">
        <v>182</v>
      </c>
      <c r="I466" s="774" t="s">
        <v>573</v>
      </c>
      <c r="J466" s="439">
        <v>1</v>
      </c>
      <c r="K466" s="57">
        <v>1</v>
      </c>
      <c r="L466" s="57" t="s">
        <v>450</v>
      </c>
      <c r="M466" s="37" t="s">
        <v>574</v>
      </c>
      <c r="N466" s="774" t="s">
        <v>575</v>
      </c>
      <c r="O466" s="775" t="s">
        <v>38</v>
      </c>
      <c r="P466" s="26">
        <v>0</v>
      </c>
      <c r="Q466" s="26">
        <v>0</v>
      </c>
      <c r="R466" s="26">
        <v>0</v>
      </c>
      <c r="S466" s="26">
        <v>0</v>
      </c>
      <c r="T466" s="26">
        <v>0</v>
      </c>
      <c r="U466" s="26">
        <v>0</v>
      </c>
      <c r="V466" s="26">
        <v>0</v>
      </c>
      <c r="W466" s="26"/>
      <c r="X466" s="26"/>
      <c r="Y466" s="26"/>
      <c r="Z466" s="26">
        <v>0</v>
      </c>
      <c r="AA466" s="26"/>
      <c r="AB466" s="26">
        <v>0</v>
      </c>
      <c r="AC466" s="26">
        <v>0</v>
      </c>
      <c r="AD466" s="254"/>
      <c r="AE466" s="254"/>
      <c r="AF466" s="254"/>
      <c r="AG466" s="254"/>
      <c r="AH466" s="254"/>
      <c r="AI466" s="254"/>
      <c r="AJ466" s="26">
        <v>0</v>
      </c>
      <c r="AK466" s="26">
        <v>0</v>
      </c>
      <c r="AL466" s="110">
        <v>40000000</v>
      </c>
      <c r="AM466" s="38"/>
      <c r="AN466" s="324">
        <v>0</v>
      </c>
      <c r="AO466" s="293">
        <v>0</v>
      </c>
      <c r="AP466" s="293"/>
      <c r="AQ466" s="26">
        <f>P466+Q466+R466+S466+T466+U466+V466+W466+X466+Y466+Z466+AA466+AB466+AC466+AD466+AE466+AF466+AG466+AH466+AI466+AJ466+AK466+AL466+AM466+AN466+AP466+AO466</f>
        <v>40000000</v>
      </c>
    </row>
    <row r="467" spans="1:43" ht="19.5" customHeight="1" x14ac:dyDescent="0.25">
      <c r="A467" s="20"/>
      <c r="B467" s="152"/>
      <c r="C467" s="453"/>
      <c r="D467" s="455"/>
      <c r="E467" s="84"/>
      <c r="F467" s="84"/>
      <c r="G467" s="154"/>
      <c r="H467" s="155"/>
      <c r="I467" s="154"/>
      <c r="J467" s="398"/>
      <c r="K467" s="398"/>
      <c r="L467" s="398"/>
      <c r="M467" s="157"/>
      <c r="N467" s="154"/>
      <c r="O467" s="155"/>
      <c r="P467" s="158">
        <f t="shared" ref="P467:AK467" si="215">SUM(P466)</f>
        <v>0</v>
      </c>
      <c r="Q467" s="158">
        <f t="shared" si="215"/>
        <v>0</v>
      </c>
      <c r="R467" s="158">
        <f t="shared" si="215"/>
        <v>0</v>
      </c>
      <c r="S467" s="158">
        <f t="shared" si="215"/>
        <v>0</v>
      </c>
      <c r="T467" s="158">
        <f t="shared" si="215"/>
        <v>0</v>
      </c>
      <c r="U467" s="158">
        <f t="shared" si="215"/>
        <v>0</v>
      </c>
      <c r="V467" s="158">
        <f t="shared" si="215"/>
        <v>0</v>
      </c>
      <c r="W467" s="158">
        <f t="shared" si="215"/>
        <v>0</v>
      </c>
      <c r="X467" s="158">
        <f t="shared" si="215"/>
        <v>0</v>
      </c>
      <c r="Y467" s="158">
        <f t="shared" si="215"/>
        <v>0</v>
      </c>
      <c r="Z467" s="158">
        <f t="shared" si="215"/>
        <v>0</v>
      </c>
      <c r="AA467" s="158">
        <f t="shared" si="215"/>
        <v>0</v>
      </c>
      <c r="AB467" s="158">
        <f t="shared" si="215"/>
        <v>0</v>
      </c>
      <c r="AC467" s="158">
        <f t="shared" si="215"/>
        <v>0</v>
      </c>
      <c r="AD467" s="158">
        <f t="shared" si="215"/>
        <v>0</v>
      </c>
      <c r="AE467" s="158">
        <f t="shared" si="215"/>
        <v>0</v>
      </c>
      <c r="AF467" s="158">
        <f t="shared" si="215"/>
        <v>0</v>
      </c>
      <c r="AG467" s="158">
        <f t="shared" si="215"/>
        <v>0</v>
      </c>
      <c r="AH467" s="158">
        <f t="shared" si="215"/>
        <v>0</v>
      </c>
      <c r="AI467" s="158">
        <f t="shared" si="215"/>
        <v>0</v>
      </c>
      <c r="AJ467" s="158">
        <f t="shared" si="215"/>
        <v>0</v>
      </c>
      <c r="AK467" s="158">
        <f t="shared" si="215"/>
        <v>0</v>
      </c>
      <c r="AL467" s="158">
        <f t="shared" ref="AL467:AP467" si="216">SUM(AL466)</f>
        <v>40000000</v>
      </c>
      <c r="AM467" s="158">
        <f t="shared" si="216"/>
        <v>0</v>
      </c>
      <c r="AN467" s="158">
        <f t="shared" si="216"/>
        <v>0</v>
      </c>
      <c r="AO467" s="158">
        <f t="shared" si="216"/>
        <v>0</v>
      </c>
      <c r="AP467" s="158">
        <f t="shared" si="216"/>
        <v>0</v>
      </c>
      <c r="AQ467" s="158">
        <f>SUM(AQ466)</f>
        <v>40000000</v>
      </c>
    </row>
    <row r="468" spans="1:43" s="459" customFormat="1" ht="23.25" customHeight="1" x14ac:dyDescent="0.25">
      <c r="A468" s="152"/>
      <c r="B468" s="456"/>
      <c r="C468" s="457"/>
      <c r="D468" s="458"/>
      <c r="E468" s="405"/>
      <c r="F468" s="405"/>
      <c r="G468" s="161"/>
      <c r="H468" s="162"/>
      <c r="I468" s="161"/>
      <c r="J468" s="406"/>
      <c r="K468" s="406"/>
      <c r="L468" s="406"/>
      <c r="M468" s="164"/>
      <c r="N468" s="161"/>
      <c r="O468" s="162"/>
      <c r="P468" s="165">
        <f t="shared" ref="P468:AK468" si="217">P467</f>
        <v>0</v>
      </c>
      <c r="Q468" s="165">
        <f t="shared" si="217"/>
        <v>0</v>
      </c>
      <c r="R468" s="165">
        <f t="shared" si="217"/>
        <v>0</v>
      </c>
      <c r="S468" s="165">
        <f t="shared" si="217"/>
        <v>0</v>
      </c>
      <c r="T468" s="165">
        <f t="shared" si="217"/>
        <v>0</v>
      </c>
      <c r="U468" s="165">
        <f t="shared" si="217"/>
        <v>0</v>
      </c>
      <c r="V468" s="165">
        <f t="shared" si="217"/>
        <v>0</v>
      </c>
      <c r="W468" s="165">
        <f t="shared" si="217"/>
        <v>0</v>
      </c>
      <c r="X468" s="165">
        <f t="shared" si="217"/>
        <v>0</v>
      </c>
      <c r="Y468" s="165">
        <f t="shared" si="217"/>
        <v>0</v>
      </c>
      <c r="Z468" s="165">
        <f t="shared" si="217"/>
        <v>0</v>
      </c>
      <c r="AA468" s="165">
        <f t="shared" si="217"/>
        <v>0</v>
      </c>
      <c r="AB468" s="165">
        <f t="shared" si="217"/>
        <v>0</v>
      </c>
      <c r="AC468" s="165">
        <f t="shared" si="217"/>
        <v>0</v>
      </c>
      <c r="AD468" s="165">
        <f t="shared" si="217"/>
        <v>0</v>
      </c>
      <c r="AE468" s="165">
        <f t="shared" si="217"/>
        <v>0</v>
      </c>
      <c r="AF468" s="165">
        <f t="shared" si="217"/>
        <v>0</v>
      </c>
      <c r="AG468" s="165">
        <f t="shared" si="217"/>
        <v>0</v>
      </c>
      <c r="AH468" s="165">
        <f t="shared" si="217"/>
        <v>0</v>
      </c>
      <c r="AI468" s="165">
        <f t="shared" si="217"/>
        <v>0</v>
      </c>
      <c r="AJ468" s="165">
        <f t="shared" si="217"/>
        <v>0</v>
      </c>
      <c r="AK468" s="165">
        <f t="shared" si="217"/>
        <v>0</v>
      </c>
      <c r="AL468" s="165">
        <f t="shared" ref="AL468:AP468" si="218">AL467</f>
        <v>40000000</v>
      </c>
      <c r="AM468" s="165">
        <f t="shared" si="218"/>
        <v>0</v>
      </c>
      <c r="AN468" s="165">
        <f t="shared" si="218"/>
        <v>0</v>
      </c>
      <c r="AO468" s="165">
        <f t="shared" si="218"/>
        <v>0</v>
      </c>
      <c r="AP468" s="165">
        <f t="shared" si="218"/>
        <v>0</v>
      </c>
      <c r="AQ468" s="165">
        <f>AQ467</f>
        <v>40000000</v>
      </c>
    </row>
    <row r="469" spans="1:43" ht="23.25" customHeight="1" x14ac:dyDescent="0.25">
      <c r="A469" s="262"/>
      <c r="B469" s="460"/>
      <c r="C469" s="461"/>
      <c r="D469" s="460"/>
      <c r="E469" s="462"/>
      <c r="F469" s="462"/>
      <c r="G469" s="166"/>
      <c r="H469" s="167"/>
      <c r="I469" s="166"/>
      <c r="J469" s="463"/>
      <c r="K469" s="463"/>
      <c r="L469" s="463"/>
      <c r="M469" s="169"/>
      <c r="N469" s="166"/>
      <c r="O469" s="167"/>
      <c r="P469" s="170">
        <f t="shared" ref="P469:AK469" si="219">P468+P462+P442+P424+P387</f>
        <v>0</v>
      </c>
      <c r="Q469" s="170">
        <f t="shared" si="219"/>
        <v>0</v>
      </c>
      <c r="R469" s="170">
        <f t="shared" si="219"/>
        <v>0</v>
      </c>
      <c r="S469" s="170">
        <f t="shared" si="219"/>
        <v>0</v>
      </c>
      <c r="T469" s="170">
        <f t="shared" si="219"/>
        <v>0</v>
      </c>
      <c r="U469" s="170">
        <f t="shared" si="219"/>
        <v>0</v>
      </c>
      <c r="V469" s="170">
        <f t="shared" si="219"/>
        <v>6480123642</v>
      </c>
      <c r="W469" s="170">
        <f t="shared" si="219"/>
        <v>0</v>
      </c>
      <c r="X469" s="170">
        <f t="shared" si="219"/>
        <v>0</v>
      </c>
      <c r="Y469" s="170">
        <f t="shared" si="219"/>
        <v>0</v>
      </c>
      <c r="Z469" s="170">
        <f t="shared" si="219"/>
        <v>0</v>
      </c>
      <c r="AA469" s="170">
        <f t="shared" si="219"/>
        <v>0</v>
      </c>
      <c r="AB469" s="170">
        <f t="shared" si="219"/>
        <v>0</v>
      </c>
      <c r="AC469" s="170">
        <f t="shared" si="219"/>
        <v>0</v>
      </c>
      <c r="AD469" s="170">
        <f t="shared" si="219"/>
        <v>107645394041</v>
      </c>
      <c r="AE469" s="170">
        <f t="shared" si="219"/>
        <v>18840890009</v>
      </c>
      <c r="AF469" s="170">
        <f t="shared" si="219"/>
        <v>1165770164</v>
      </c>
      <c r="AG469" s="170">
        <f t="shared" si="219"/>
        <v>6431354</v>
      </c>
      <c r="AH469" s="170">
        <f t="shared" si="219"/>
        <v>1341180171</v>
      </c>
      <c r="AI469" s="170">
        <f t="shared" si="219"/>
        <v>488921512</v>
      </c>
      <c r="AJ469" s="170">
        <f t="shared" si="219"/>
        <v>9011218541</v>
      </c>
      <c r="AK469" s="170">
        <f t="shared" si="219"/>
        <v>0</v>
      </c>
      <c r="AL469" s="170">
        <f t="shared" ref="AL469:AP469" si="220">AL468+AL462+AL442+AL424+AL387</f>
        <v>4425700205</v>
      </c>
      <c r="AM469" s="170">
        <f t="shared" si="220"/>
        <v>0</v>
      </c>
      <c r="AN469" s="170">
        <f t="shared" si="220"/>
        <v>0</v>
      </c>
      <c r="AO469" s="170">
        <f t="shared" si="220"/>
        <v>0</v>
      </c>
      <c r="AP469" s="170">
        <f t="shared" si="220"/>
        <v>0</v>
      </c>
      <c r="AQ469" s="170">
        <f>AQ468+AQ462+AQ442+AQ424+AQ387</f>
        <v>149405629639</v>
      </c>
    </row>
    <row r="470" spans="1:43" ht="15" x14ac:dyDescent="0.25">
      <c r="A470" s="171"/>
      <c r="B470" s="171"/>
      <c r="C470" s="172"/>
      <c r="D470" s="171"/>
      <c r="E470" s="172"/>
      <c r="F470" s="172"/>
      <c r="G470" s="171"/>
      <c r="H470" s="172"/>
      <c r="I470" s="171"/>
      <c r="J470" s="173"/>
      <c r="K470" s="173"/>
      <c r="L470" s="173"/>
      <c r="M470" s="174"/>
      <c r="N470" s="171"/>
      <c r="O470" s="172"/>
      <c r="P470" s="175">
        <f t="shared" ref="P470:Z470" si="221">+P469</f>
        <v>0</v>
      </c>
      <c r="Q470" s="175">
        <f t="shared" si="221"/>
        <v>0</v>
      </c>
      <c r="R470" s="175">
        <f t="shared" si="221"/>
        <v>0</v>
      </c>
      <c r="S470" s="175">
        <f t="shared" si="221"/>
        <v>0</v>
      </c>
      <c r="T470" s="175">
        <f t="shared" si="221"/>
        <v>0</v>
      </c>
      <c r="U470" s="175">
        <f t="shared" si="221"/>
        <v>0</v>
      </c>
      <c r="V470" s="175">
        <f t="shared" si="221"/>
        <v>6480123642</v>
      </c>
      <c r="W470" s="175">
        <f t="shared" si="221"/>
        <v>0</v>
      </c>
      <c r="X470" s="175">
        <f t="shared" si="221"/>
        <v>0</v>
      </c>
      <c r="Y470" s="175">
        <f t="shared" si="221"/>
        <v>0</v>
      </c>
      <c r="Z470" s="175">
        <f t="shared" si="221"/>
        <v>0</v>
      </c>
      <c r="AA470" s="175">
        <f t="shared" ref="AA470:AK470" si="222">+AA469</f>
        <v>0</v>
      </c>
      <c r="AB470" s="175">
        <f t="shared" si="222"/>
        <v>0</v>
      </c>
      <c r="AC470" s="175">
        <f t="shared" si="222"/>
        <v>0</v>
      </c>
      <c r="AD470" s="175">
        <f t="shared" si="222"/>
        <v>107645394041</v>
      </c>
      <c r="AE470" s="175">
        <f t="shared" si="222"/>
        <v>18840890009</v>
      </c>
      <c r="AF470" s="175">
        <f t="shared" si="222"/>
        <v>1165770164</v>
      </c>
      <c r="AG470" s="175">
        <f t="shared" si="222"/>
        <v>6431354</v>
      </c>
      <c r="AH470" s="175">
        <f t="shared" si="222"/>
        <v>1341180171</v>
      </c>
      <c r="AI470" s="175">
        <f t="shared" si="222"/>
        <v>488921512</v>
      </c>
      <c r="AJ470" s="175">
        <f t="shared" si="222"/>
        <v>9011218541</v>
      </c>
      <c r="AK470" s="175">
        <f t="shared" si="222"/>
        <v>0</v>
      </c>
      <c r="AL470" s="175">
        <f t="shared" ref="AL470:AQ470" si="223">+AL469</f>
        <v>4425700205</v>
      </c>
      <c r="AM470" s="175">
        <f t="shared" si="223"/>
        <v>0</v>
      </c>
      <c r="AN470" s="175">
        <f t="shared" si="223"/>
        <v>0</v>
      </c>
      <c r="AO470" s="175">
        <f t="shared" si="223"/>
        <v>0</v>
      </c>
      <c r="AP470" s="175">
        <f t="shared" si="223"/>
        <v>0</v>
      </c>
      <c r="AQ470" s="711">
        <f t="shared" si="223"/>
        <v>149405629639</v>
      </c>
    </row>
    <row r="471" spans="1:43" s="28" customFormat="1" ht="15" x14ac:dyDescent="0.25">
      <c r="A471" s="176"/>
      <c r="B471" s="177"/>
      <c r="C471" s="795"/>
      <c r="D471" s="177"/>
      <c r="E471" s="795"/>
      <c r="F471" s="795"/>
      <c r="G471" s="177"/>
      <c r="H471" s="795"/>
      <c r="I471" s="177"/>
      <c r="J471" s="178"/>
      <c r="K471" s="178"/>
      <c r="L471" s="178"/>
      <c r="M471" s="179"/>
      <c r="N471" s="177"/>
      <c r="O471" s="795"/>
      <c r="P471" s="180"/>
      <c r="Q471" s="180"/>
      <c r="R471" s="180"/>
      <c r="S471" s="180"/>
      <c r="T471" s="180"/>
      <c r="U471" s="180"/>
      <c r="V471" s="180"/>
      <c r="W471" s="180"/>
      <c r="X471" s="180"/>
      <c r="Y471" s="180"/>
      <c r="Z471" s="180"/>
      <c r="AA471" s="180"/>
      <c r="AB471" s="180"/>
      <c r="AC471" s="180"/>
      <c r="AD471" s="181"/>
      <c r="AE471" s="181"/>
      <c r="AF471" s="181"/>
      <c r="AG471" s="181"/>
      <c r="AH471" s="181"/>
      <c r="AI471" s="181"/>
      <c r="AJ471" s="180"/>
      <c r="AK471" s="180"/>
      <c r="AL471" s="182"/>
      <c r="AM471" s="183"/>
      <c r="AN471" s="180"/>
      <c r="AO471" s="180"/>
      <c r="AP471" s="180"/>
      <c r="AQ471" s="694"/>
    </row>
    <row r="472" spans="1:43" ht="20.25" x14ac:dyDescent="0.25">
      <c r="A472" s="134" t="s">
        <v>576</v>
      </c>
      <c r="B472" s="135"/>
      <c r="C472" s="136"/>
      <c r="D472" s="135"/>
      <c r="E472" s="135"/>
      <c r="F472" s="135"/>
      <c r="G472" s="135"/>
      <c r="H472" s="136"/>
      <c r="I472" s="135"/>
      <c r="J472" s="135"/>
      <c r="K472" s="135"/>
      <c r="L472" s="135"/>
      <c r="M472" s="650"/>
      <c r="N472" s="135"/>
      <c r="O472" s="136"/>
      <c r="P472" s="135"/>
      <c r="Q472" s="135"/>
      <c r="R472" s="135"/>
      <c r="S472" s="135"/>
      <c r="T472" s="135"/>
      <c r="U472" s="135"/>
      <c r="V472" s="135"/>
      <c r="W472" s="135"/>
      <c r="X472" s="135"/>
      <c r="Y472" s="135"/>
      <c r="Z472" s="135"/>
      <c r="AA472" s="135"/>
      <c r="AB472" s="135"/>
      <c r="AC472" s="135"/>
      <c r="AD472" s="135"/>
      <c r="AE472" s="135"/>
      <c r="AF472" s="135"/>
      <c r="AG472" s="135"/>
      <c r="AH472" s="135"/>
      <c r="AI472" s="135"/>
      <c r="AJ472" s="135"/>
      <c r="AK472" s="135"/>
      <c r="AL472" s="137"/>
      <c r="AM472" s="138"/>
      <c r="AN472" s="135"/>
      <c r="AO472" s="135"/>
      <c r="AP472" s="135"/>
      <c r="AQ472" s="564"/>
    </row>
    <row r="473" spans="1:43" ht="15" x14ac:dyDescent="0.25">
      <c r="A473" s="139">
        <v>3</v>
      </c>
      <c r="B473" s="140" t="s">
        <v>239</v>
      </c>
      <c r="C473" s="141"/>
      <c r="D473" s="140"/>
      <c r="E473" s="140"/>
      <c r="F473" s="140"/>
      <c r="G473" s="140"/>
      <c r="H473" s="141"/>
      <c r="I473" s="140"/>
      <c r="J473" s="140"/>
      <c r="K473" s="140"/>
      <c r="L473" s="140"/>
      <c r="M473" s="651"/>
      <c r="N473" s="140"/>
      <c r="O473" s="140"/>
      <c r="P473" s="140"/>
      <c r="Q473" s="140"/>
      <c r="R473" s="140"/>
      <c r="S473" s="140"/>
      <c r="T473" s="140"/>
      <c r="U473" s="140"/>
      <c r="V473" s="140"/>
      <c r="W473" s="140"/>
      <c r="X473" s="140"/>
      <c r="Y473" s="140"/>
      <c r="Z473" s="140"/>
      <c r="AA473" s="140"/>
      <c r="AB473" s="140"/>
      <c r="AC473" s="140"/>
      <c r="AD473" s="140"/>
      <c r="AE473" s="140"/>
      <c r="AF473" s="140"/>
      <c r="AG473" s="140"/>
      <c r="AH473" s="140"/>
      <c r="AI473" s="140"/>
      <c r="AJ473" s="140"/>
      <c r="AK473" s="140"/>
      <c r="AL473" s="142"/>
      <c r="AM473" s="140"/>
      <c r="AN473" s="140"/>
      <c r="AO473" s="140"/>
      <c r="AP473" s="140"/>
      <c r="AQ473" s="538"/>
    </row>
    <row r="474" spans="1:43" ht="15" x14ac:dyDescent="0.25">
      <c r="A474" s="185"/>
      <c r="B474" s="243">
        <v>16</v>
      </c>
      <c r="C474" s="147" t="s">
        <v>567</v>
      </c>
      <c r="D474" s="146"/>
      <c r="E474" s="146"/>
      <c r="F474" s="146"/>
      <c r="G474" s="146"/>
      <c r="H474" s="147"/>
      <c r="I474" s="146"/>
      <c r="J474" s="146"/>
      <c r="K474" s="146"/>
      <c r="L474" s="146"/>
      <c r="M474" s="652"/>
      <c r="N474" s="146"/>
      <c r="O474" s="146"/>
      <c r="P474" s="146"/>
      <c r="Q474" s="146"/>
      <c r="R474" s="146"/>
      <c r="S474" s="146"/>
      <c r="T474" s="146"/>
      <c r="U474" s="146"/>
      <c r="V474" s="146"/>
      <c r="W474" s="146"/>
      <c r="X474" s="146"/>
      <c r="Y474" s="146"/>
      <c r="Z474" s="146"/>
      <c r="AA474" s="146"/>
      <c r="AB474" s="146"/>
      <c r="AC474" s="146"/>
      <c r="AD474" s="146"/>
      <c r="AE474" s="146"/>
      <c r="AF474" s="146"/>
      <c r="AG474" s="146"/>
      <c r="AH474" s="146"/>
      <c r="AI474" s="146"/>
      <c r="AJ474" s="146"/>
      <c r="AK474" s="146"/>
      <c r="AL474" s="148"/>
      <c r="AM474" s="146"/>
      <c r="AN474" s="146"/>
      <c r="AO474" s="146"/>
      <c r="AP474" s="146"/>
      <c r="AQ474" s="524"/>
    </row>
    <row r="475" spans="1:43" ht="15" x14ac:dyDescent="0.25">
      <c r="A475" s="20"/>
      <c r="B475" s="464"/>
      <c r="C475" s="795"/>
      <c r="D475" s="177"/>
      <c r="E475" s="795"/>
      <c r="F475" s="773"/>
      <c r="G475" s="344">
        <v>56</v>
      </c>
      <c r="H475" s="189" t="s">
        <v>577</v>
      </c>
      <c r="I475" s="189"/>
      <c r="J475" s="189"/>
      <c r="K475" s="189"/>
      <c r="L475" s="189"/>
      <c r="M475" s="659"/>
      <c r="N475" s="189"/>
      <c r="O475" s="189"/>
      <c r="P475" s="189"/>
      <c r="Q475" s="189"/>
      <c r="R475" s="189"/>
      <c r="S475" s="189"/>
      <c r="T475" s="189"/>
      <c r="U475" s="189"/>
      <c r="V475" s="189"/>
      <c r="W475" s="189"/>
      <c r="X475" s="189"/>
      <c r="Y475" s="189"/>
      <c r="Z475" s="189"/>
      <c r="AA475" s="189"/>
      <c r="AB475" s="189"/>
      <c r="AC475" s="189"/>
      <c r="AD475" s="189"/>
      <c r="AE475" s="189"/>
      <c r="AF475" s="189"/>
      <c r="AG475" s="189"/>
      <c r="AH475" s="189"/>
      <c r="AI475" s="189"/>
      <c r="AJ475" s="189"/>
      <c r="AK475" s="189"/>
      <c r="AL475" s="190"/>
      <c r="AM475" s="189"/>
      <c r="AN475" s="189"/>
      <c r="AO475" s="189"/>
      <c r="AP475" s="189"/>
      <c r="AQ475" s="521"/>
    </row>
    <row r="476" spans="1:43" s="28" customFormat="1" ht="85.5" x14ac:dyDescent="0.25">
      <c r="A476" s="20"/>
      <c r="B476" s="185"/>
      <c r="C476" s="950" t="s">
        <v>911</v>
      </c>
      <c r="D476" s="952" t="s">
        <v>570</v>
      </c>
      <c r="E476" s="954" t="s">
        <v>571</v>
      </c>
      <c r="F476" s="954" t="s">
        <v>572</v>
      </c>
      <c r="G476" s="23"/>
      <c r="H476" s="775">
        <v>180</v>
      </c>
      <c r="I476" s="774" t="s">
        <v>578</v>
      </c>
      <c r="J476" s="775">
        <v>0</v>
      </c>
      <c r="K476" s="775">
        <v>1</v>
      </c>
      <c r="L476" s="849" t="s">
        <v>579</v>
      </c>
      <c r="M476" s="854" t="s">
        <v>580</v>
      </c>
      <c r="N476" s="849" t="s">
        <v>581</v>
      </c>
      <c r="O476" s="775" t="s">
        <v>38</v>
      </c>
      <c r="P476" s="26">
        <v>0</v>
      </c>
      <c r="Q476" s="26">
        <v>0</v>
      </c>
      <c r="R476" s="26">
        <v>0</v>
      </c>
      <c r="S476" s="26">
        <v>0</v>
      </c>
      <c r="T476" s="26">
        <v>0</v>
      </c>
      <c r="U476" s="26">
        <v>0</v>
      </c>
      <c r="V476" s="26">
        <v>0</v>
      </c>
      <c r="W476" s="26"/>
      <c r="X476" s="26"/>
      <c r="Y476" s="26"/>
      <c r="Z476" s="26">
        <v>0</v>
      </c>
      <c r="AA476" s="26"/>
      <c r="AB476" s="26">
        <v>0</v>
      </c>
      <c r="AC476" s="26">
        <v>0</v>
      </c>
      <c r="AD476" s="26"/>
      <c r="AE476" s="26"/>
      <c r="AF476" s="26"/>
      <c r="AG476" s="26"/>
      <c r="AH476" s="26"/>
      <c r="AI476" s="26"/>
      <c r="AJ476" s="26">
        <v>0</v>
      </c>
      <c r="AK476" s="26">
        <v>0</v>
      </c>
      <c r="AL476" s="112">
        <f>47500000+200000000</f>
        <v>247500000</v>
      </c>
      <c r="AM476" s="10"/>
      <c r="AN476" s="26">
        <v>0</v>
      </c>
      <c r="AO476" s="27">
        <v>0</v>
      </c>
      <c r="AP476" s="27"/>
      <c r="AQ476" s="26">
        <f>P476+Q476+R476+S476+T476+U476+V476+W476+X476+Y476+Z476+AA476+AB476+AC476+AD476+AE476+AF476+AG476+AH476+AI476+AJ476+AK476+AL476+AM476+AN476+AP476+AO476</f>
        <v>247500000</v>
      </c>
    </row>
    <row r="477" spans="1:43" s="28" customFormat="1" ht="54" customHeight="1" x14ac:dyDescent="0.25">
      <c r="A477" s="20"/>
      <c r="B477" s="152"/>
      <c r="C477" s="951"/>
      <c r="D477" s="953"/>
      <c r="E477" s="955"/>
      <c r="F477" s="955"/>
      <c r="G477" s="30"/>
      <c r="H477" s="775">
        <v>181</v>
      </c>
      <c r="I477" s="774" t="s">
        <v>582</v>
      </c>
      <c r="J477" s="775">
        <v>6</v>
      </c>
      <c r="K477" s="775">
        <v>6</v>
      </c>
      <c r="L477" s="850"/>
      <c r="M477" s="856"/>
      <c r="N477" s="850"/>
      <c r="O477" s="775" t="s">
        <v>38</v>
      </c>
      <c r="P477" s="26">
        <v>0</v>
      </c>
      <c r="Q477" s="26">
        <v>0</v>
      </c>
      <c r="R477" s="26">
        <v>0</v>
      </c>
      <c r="S477" s="26">
        <v>0</v>
      </c>
      <c r="T477" s="26">
        <v>0</v>
      </c>
      <c r="U477" s="26">
        <v>0</v>
      </c>
      <c r="V477" s="26">
        <v>0</v>
      </c>
      <c r="W477" s="26"/>
      <c r="X477" s="26"/>
      <c r="Y477" s="26"/>
      <c r="Z477" s="26">
        <v>0</v>
      </c>
      <c r="AA477" s="26"/>
      <c r="AB477" s="26">
        <v>0</v>
      </c>
      <c r="AC477" s="26">
        <v>0</v>
      </c>
      <c r="AD477" s="26"/>
      <c r="AE477" s="26"/>
      <c r="AF477" s="26"/>
      <c r="AG477" s="26"/>
      <c r="AH477" s="26"/>
      <c r="AI477" s="26"/>
      <c r="AJ477" s="26">
        <v>0</v>
      </c>
      <c r="AK477" s="26">
        <v>0</v>
      </c>
      <c r="AL477" s="112">
        <v>12500000</v>
      </c>
      <c r="AM477" s="10"/>
      <c r="AN477" s="26">
        <v>0</v>
      </c>
      <c r="AO477" s="27">
        <v>0</v>
      </c>
      <c r="AP477" s="27"/>
      <c r="AQ477" s="26">
        <f>P477+Q477+R477+S477+T477+U477+V477+W477+X477+Y477+Z477+AA477+AB477+AC477+AD477+AE477+AF477+AG477+AH477+AI477+AJ477+AK477+AL477+AM477+AN477+AP477+AO477</f>
        <v>12500000</v>
      </c>
    </row>
    <row r="478" spans="1:43" ht="15" x14ac:dyDescent="0.25">
      <c r="A478" s="20"/>
      <c r="B478" s="464"/>
      <c r="C478" s="453"/>
      <c r="D478" s="153"/>
      <c r="E478" s="579"/>
      <c r="F478" s="579"/>
      <c r="G478" s="154"/>
      <c r="H478" s="155"/>
      <c r="I478" s="154"/>
      <c r="J478" s="155"/>
      <c r="K478" s="155"/>
      <c r="L478" s="155"/>
      <c r="M478" s="157"/>
      <c r="N478" s="154"/>
      <c r="O478" s="155"/>
      <c r="P478" s="158">
        <f t="shared" ref="P478:AK478" si="224">SUM(P476:P477)</f>
        <v>0</v>
      </c>
      <c r="Q478" s="158">
        <f t="shared" si="224"/>
        <v>0</v>
      </c>
      <c r="R478" s="158">
        <f t="shared" si="224"/>
        <v>0</v>
      </c>
      <c r="S478" s="158">
        <f t="shared" si="224"/>
        <v>0</v>
      </c>
      <c r="T478" s="158">
        <f t="shared" si="224"/>
        <v>0</v>
      </c>
      <c r="U478" s="158">
        <f t="shared" si="224"/>
        <v>0</v>
      </c>
      <c r="V478" s="158">
        <f t="shared" si="224"/>
        <v>0</v>
      </c>
      <c r="W478" s="158">
        <f t="shared" si="224"/>
        <v>0</v>
      </c>
      <c r="X478" s="158">
        <f t="shared" si="224"/>
        <v>0</v>
      </c>
      <c r="Y478" s="158">
        <f t="shared" si="224"/>
        <v>0</v>
      </c>
      <c r="Z478" s="158">
        <f t="shared" si="224"/>
        <v>0</v>
      </c>
      <c r="AA478" s="158">
        <f t="shared" si="224"/>
        <v>0</v>
      </c>
      <c r="AB478" s="158">
        <f t="shared" si="224"/>
        <v>0</v>
      </c>
      <c r="AC478" s="158">
        <f t="shared" si="224"/>
        <v>0</v>
      </c>
      <c r="AD478" s="158">
        <f t="shared" si="224"/>
        <v>0</v>
      </c>
      <c r="AE478" s="158">
        <f t="shared" si="224"/>
        <v>0</v>
      </c>
      <c r="AF478" s="158">
        <f t="shared" si="224"/>
        <v>0</v>
      </c>
      <c r="AG478" s="158">
        <f t="shared" si="224"/>
        <v>0</v>
      </c>
      <c r="AH478" s="158">
        <f t="shared" si="224"/>
        <v>0</v>
      </c>
      <c r="AI478" s="158">
        <f t="shared" si="224"/>
        <v>0</v>
      </c>
      <c r="AJ478" s="158">
        <f t="shared" si="224"/>
        <v>0</v>
      </c>
      <c r="AK478" s="158">
        <f t="shared" si="224"/>
        <v>0</v>
      </c>
      <c r="AL478" s="158">
        <f t="shared" ref="AL478:AP478" si="225">SUM(AL476:AL477)</f>
        <v>260000000</v>
      </c>
      <c r="AM478" s="158">
        <f t="shared" si="225"/>
        <v>0</v>
      </c>
      <c r="AN478" s="158">
        <f t="shared" si="225"/>
        <v>0</v>
      </c>
      <c r="AO478" s="158">
        <f t="shared" si="225"/>
        <v>0</v>
      </c>
      <c r="AP478" s="158">
        <f t="shared" si="225"/>
        <v>0</v>
      </c>
      <c r="AQ478" s="158">
        <f>SUM(AQ476:AQ477)</f>
        <v>260000000</v>
      </c>
    </row>
    <row r="479" spans="1:43" s="28" customFormat="1" ht="15" x14ac:dyDescent="0.25">
      <c r="A479" s="20"/>
      <c r="B479" s="456"/>
      <c r="C479" s="457"/>
      <c r="D479" s="161"/>
      <c r="E479" s="162"/>
      <c r="F479" s="162"/>
      <c r="G479" s="161"/>
      <c r="H479" s="162"/>
      <c r="I479" s="161"/>
      <c r="J479" s="162"/>
      <c r="K479" s="162"/>
      <c r="L479" s="162"/>
      <c r="M479" s="164"/>
      <c r="N479" s="161"/>
      <c r="O479" s="162"/>
      <c r="P479" s="165">
        <f t="shared" ref="P479:AK479" si="226">P478</f>
        <v>0</v>
      </c>
      <c r="Q479" s="165">
        <f t="shared" si="226"/>
        <v>0</v>
      </c>
      <c r="R479" s="165">
        <f t="shared" si="226"/>
        <v>0</v>
      </c>
      <c r="S479" s="165">
        <f t="shared" si="226"/>
        <v>0</v>
      </c>
      <c r="T479" s="165">
        <f t="shared" si="226"/>
        <v>0</v>
      </c>
      <c r="U479" s="165">
        <f t="shared" si="226"/>
        <v>0</v>
      </c>
      <c r="V479" s="165">
        <f t="shared" si="226"/>
        <v>0</v>
      </c>
      <c r="W479" s="165">
        <f t="shared" si="226"/>
        <v>0</v>
      </c>
      <c r="X479" s="165">
        <f t="shared" si="226"/>
        <v>0</v>
      </c>
      <c r="Y479" s="165">
        <f t="shared" si="226"/>
        <v>0</v>
      </c>
      <c r="Z479" s="165">
        <f t="shared" si="226"/>
        <v>0</v>
      </c>
      <c r="AA479" s="165">
        <f t="shared" si="226"/>
        <v>0</v>
      </c>
      <c r="AB479" s="165">
        <f t="shared" si="226"/>
        <v>0</v>
      </c>
      <c r="AC479" s="165">
        <f t="shared" si="226"/>
        <v>0</v>
      </c>
      <c r="AD479" s="165">
        <f t="shared" si="226"/>
        <v>0</v>
      </c>
      <c r="AE479" s="165">
        <f t="shared" si="226"/>
        <v>0</v>
      </c>
      <c r="AF479" s="165">
        <f t="shared" si="226"/>
        <v>0</v>
      </c>
      <c r="AG479" s="165">
        <f t="shared" si="226"/>
        <v>0</v>
      </c>
      <c r="AH479" s="165">
        <f t="shared" si="226"/>
        <v>0</v>
      </c>
      <c r="AI479" s="165">
        <f t="shared" si="226"/>
        <v>0</v>
      </c>
      <c r="AJ479" s="165">
        <f t="shared" si="226"/>
        <v>0</v>
      </c>
      <c r="AK479" s="165">
        <f t="shared" si="226"/>
        <v>0</v>
      </c>
      <c r="AL479" s="165">
        <f t="shared" ref="AL479:AP479" si="227">AL478</f>
        <v>260000000</v>
      </c>
      <c r="AM479" s="165">
        <f t="shared" si="227"/>
        <v>0</v>
      </c>
      <c r="AN479" s="165">
        <f t="shared" si="227"/>
        <v>0</v>
      </c>
      <c r="AO479" s="165">
        <f t="shared" si="227"/>
        <v>0</v>
      </c>
      <c r="AP479" s="165">
        <f t="shared" si="227"/>
        <v>0</v>
      </c>
      <c r="AQ479" s="165">
        <f>AQ478</f>
        <v>260000000</v>
      </c>
    </row>
    <row r="480" spans="1:43" s="28" customFormat="1" ht="15" x14ac:dyDescent="0.25">
      <c r="A480" s="20"/>
      <c r="B480" s="465"/>
      <c r="C480" s="466"/>
      <c r="D480" s="177"/>
      <c r="E480" s="795"/>
      <c r="F480" s="795"/>
      <c r="G480" s="177"/>
      <c r="H480" s="795"/>
      <c r="I480" s="177"/>
      <c r="J480" s="795"/>
      <c r="K480" s="795"/>
      <c r="L480" s="795"/>
      <c r="M480" s="179"/>
      <c r="N480" s="177"/>
      <c r="O480" s="795"/>
      <c r="P480" s="180"/>
      <c r="Q480" s="180"/>
      <c r="R480" s="180"/>
      <c r="S480" s="180"/>
      <c r="T480" s="180"/>
      <c r="U480" s="180"/>
      <c r="V480" s="180"/>
      <c r="W480" s="180"/>
      <c r="X480" s="180"/>
      <c r="Y480" s="180"/>
      <c r="Z480" s="180"/>
      <c r="AA480" s="180"/>
      <c r="AB480" s="180"/>
      <c r="AC480" s="180"/>
      <c r="AD480" s="181"/>
      <c r="AE480" s="181"/>
      <c r="AF480" s="181"/>
      <c r="AG480" s="181"/>
      <c r="AH480" s="181"/>
      <c r="AI480" s="181"/>
      <c r="AJ480" s="180"/>
      <c r="AK480" s="180"/>
      <c r="AL480" s="182"/>
      <c r="AM480" s="183"/>
      <c r="AN480" s="180"/>
      <c r="AO480" s="180"/>
      <c r="AP480" s="180"/>
      <c r="AQ480" s="26"/>
    </row>
    <row r="481" spans="1:43" s="28" customFormat="1" ht="15" x14ac:dyDescent="0.25">
      <c r="A481" s="20"/>
      <c r="B481" s="243">
        <v>17</v>
      </c>
      <c r="C481" s="147" t="s">
        <v>583</v>
      </c>
      <c r="D481" s="146"/>
      <c r="E481" s="146"/>
      <c r="F481" s="146"/>
      <c r="G481" s="146"/>
      <c r="H481" s="147"/>
      <c r="I481" s="146"/>
      <c r="J481" s="146"/>
      <c r="K481" s="146"/>
      <c r="L481" s="146"/>
      <c r="M481" s="652"/>
      <c r="N481" s="146"/>
      <c r="O481" s="146"/>
      <c r="P481" s="146"/>
      <c r="Q481" s="146"/>
      <c r="R481" s="146"/>
      <c r="S481" s="146"/>
      <c r="T481" s="146"/>
      <c r="U481" s="146"/>
      <c r="V481" s="146"/>
      <c r="W481" s="146"/>
      <c r="X481" s="146"/>
      <c r="Y481" s="146"/>
      <c r="Z481" s="146"/>
      <c r="AA481" s="146"/>
      <c r="AB481" s="146"/>
      <c r="AC481" s="146"/>
      <c r="AD481" s="146"/>
      <c r="AE481" s="146"/>
      <c r="AF481" s="146"/>
      <c r="AG481" s="146"/>
      <c r="AH481" s="146"/>
      <c r="AI481" s="146"/>
      <c r="AJ481" s="146"/>
      <c r="AK481" s="146"/>
      <c r="AL481" s="148"/>
      <c r="AM481" s="146"/>
      <c r="AN481" s="146"/>
      <c r="AO481" s="146"/>
      <c r="AP481" s="146"/>
      <c r="AQ481" s="524"/>
    </row>
    <row r="482" spans="1:43" ht="15" x14ac:dyDescent="0.25">
      <c r="A482" s="20"/>
      <c r="B482" s="467"/>
      <c r="C482" s="453"/>
      <c r="D482" s="153"/>
      <c r="E482" s="579"/>
      <c r="F482" s="579"/>
      <c r="G482" s="344">
        <v>58</v>
      </c>
      <c r="H482" s="189" t="s">
        <v>584</v>
      </c>
      <c r="I482" s="189"/>
      <c r="J482" s="189"/>
      <c r="K482" s="189"/>
      <c r="L482" s="189"/>
      <c r="M482" s="659"/>
      <c r="N482" s="189"/>
      <c r="O482" s="189"/>
      <c r="P482" s="189"/>
      <c r="Q482" s="189"/>
      <c r="R482" s="189"/>
      <c r="S482" s="189"/>
      <c r="T482" s="189"/>
      <c r="U482" s="189"/>
      <c r="V482" s="189"/>
      <c r="W482" s="189"/>
      <c r="X482" s="189"/>
      <c r="Y482" s="189"/>
      <c r="Z482" s="189"/>
      <c r="AA482" s="189"/>
      <c r="AB482" s="189"/>
      <c r="AC482" s="189"/>
      <c r="AD482" s="189"/>
      <c r="AE482" s="189"/>
      <c r="AF482" s="189"/>
      <c r="AG482" s="189"/>
      <c r="AH482" s="189"/>
      <c r="AI482" s="189"/>
      <c r="AJ482" s="189"/>
      <c r="AK482" s="189"/>
      <c r="AL482" s="190"/>
      <c r="AM482" s="189"/>
      <c r="AN482" s="189"/>
      <c r="AO482" s="189"/>
      <c r="AP482" s="189"/>
      <c r="AQ482" s="521"/>
    </row>
    <row r="483" spans="1:43" ht="54.95" customHeight="1" x14ac:dyDescent="0.25">
      <c r="A483" s="20"/>
      <c r="B483" s="468"/>
      <c r="C483" s="469">
        <v>22</v>
      </c>
      <c r="D483" s="153" t="s">
        <v>941</v>
      </c>
      <c r="E483" s="579" t="s">
        <v>585</v>
      </c>
      <c r="F483" s="579" t="s">
        <v>586</v>
      </c>
      <c r="G483" s="23"/>
      <c r="H483" s="775">
        <v>183</v>
      </c>
      <c r="I483" s="774" t="s">
        <v>587</v>
      </c>
      <c r="J483" s="31">
        <v>0</v>
      </c>
      <c r="K483" s="31">
        <v>1</v>
      </c>
      <c r="L483" s="70" t="s">
        <v>579</v>
      </c>
      <c r="M483" s="37" t="s">
        <v>588</v>
      </c>
      <c r="N483" s="774" t="s">
        <v>589</v>
      </c>
      <c r="O483" s="775" t="s">
        <v>38</v>
      </c>
      <c r="P483" s="26"/>
      <c r="Q483" s="26"/>
      <c r="R483" s="26"/>
      <c r="S483" s="26"/>
      <c r="T483" s="26"/>
      <c r="U483" s="26"/>
      <c r="V483" s="26"/>
      <c r="W483" s="26"/>
      <c r="X483" s="26"/>
      <c r="Y483" s="26"/>
      <c r="Z483" s="26"/>
      <c r="AA483" s="26"/>
      <c r="AB483" s="26"/>
      <c r="AC483" s="26"/>
      <c r="AD483" s="254"/>
      <c r="AE483" s="254"/>
      <c r="AF483" s="254"/>
      <c r="AG483" s="254"/>
      <c r="AH483" s="254"/>
      <c r="AI483" s="254"/>
      <c r="AJ483" s="26"/>
      <c r="AK483" s="26"/>
      <c r="AL483" s="110">
        <f>80000000+100000000</f>
        <v>180000000</v>
      </c>
      <c r="AM483" s="14"/>
      <c r="AN483" s="26"/>
      <c r="AO483" s="470"/>
      <c r="AP483" s="470"/>
      <c r="AQ483" s="26">
        <f>P483+Q483+R483+S483+T483+U483+V483+W483+X483+Y483+Z483+AA483+AB483+AC483+AD483+AE483+AF483+AG483+AH483+AI483+AJ483+AK483+AL483+AM483+AN483+AP483+AO483</f>
        <v>180000000</v>
      </c>
    </row>
    <row r="484" spans="1:43" ht="15" x14ac:dyDescent="0.25">
      <c r="A484" s="20"/>
      <c r="B484" s="468"/>
      <c r="C484" s="469"/>
      <c r="D484" s="153"/>
      <c r="E484" s="579"/>
      <c r="F484" s="579"/>
      <c r="G484" s="154"/>
      <c r="H484" s="155"/>
      <c r="I484" s="154"/>
      <c r="J484" s="316"/>
      <c r="K484" s="316"/>
      <c r="L484" s="316"/>
      <c r="M484" s="157"/>
      <c r="N484" s="154"/>
      <c r="O484" s="155"/>
      <c r="P484" s="158">
        <f>SUM(P483:P483)</f>
        <v>0</v>
      </c>
      <c r="Q484" s="158">
        <f t="shared" ref="Q484:AK484" si="228">SUM(Q483:Q483)</f>
        <v>0</v>
      </c>
      <c r="R484" s="158">
        <f t="shared" si="228"/>
        <v>0</v>
      </c>
      <c r="S484" s="158">
        <f t="shared" si="228"/>
        <v>0</v>
      </c>
      <c r="T484" s="158">
        <f t="shared" si="228"/>
        <v>0</v>
      </c>
      <c r="U484" s="158">
        <f t="shared" si="228"/>
        <v>0</v>
      </c>
      <c r="V484" s="158">
        <f t="shared" si="228"/>
        <v>0</v>
      </c>
      <c r="W484" s="158">
        <f t="shared" si="228"/>
        <v>0</v>
      </c>
      <c r="X484" s="158">
        <f t="shared" si="228"/>
        <v>0</v>
      </c>
      <c r="Y484" s="158">
        <f t="shared" si="228"/>
        <v>0</v>
      </c>
      <c r="Z484" s="158">
        <f t="shared" si="228"/>
        <v>0</v>
      </c>
      <c r="AA484" s="158">
        <f t="shared" si="228"/>
        <v>0</v>
      </c>
      <c r="AB484" s="158">
        <f t="shared" si="228"/>
        <v>0</v>
      </c>
      <c r="AC484" s="158">
        <f t="shared" si="228"/>
        <v>0</v>
      </c>
      <c r="AD484" s="158">
        <f t="shared" si="228"/>
        <v>0</v>
      </c>
      <c r="AE484" s="158">
        <f t="shared" si="228"/>
        <v>0</v>
      </c>
      <c r="AF484" s="158">
        <f t="shared" si="228"/>
        <v>0</v>
      </c>
      <c r="AG484" s="158">
        <f t="shared" si="228"/>
        <v>0</v>
      </c>
      <c r="AH484" s="158">
        <f t="shared" si="228"/>
        <v>0</v>
      </c>
      <c r="AI484" s="158">
        <f t="shared" si="228"/>
        <v>0</v>
      </c>
      <c r="AJ484" s="158">
        <f t="shared" si="228"/>
        <v>0</v>
      </c>
      <c r="AK484" s="158">
        <f t="shared" si="228"/>
        <v>0</v>
      </c>
      <c r="AL484" s="158">
        <f t="shared" ref="AL484:AP484" si="229">SUM(AL483:AL483)</f>
        <v>180000000</v>
      </c>
      <c r="AM484" s="158">
        <f t="shared" si="229"/>
        <v>0</v>
      </c>
      <c r="AN484" s="158">
        <f t="shared" si="229"/>
        <v>0</v>
      </c>
      <c r="AO484" s="158">
        <f t="shared" si="229"/>
        <v>0</v>
      </c>
      <c r="AP484" s="158">
        <f t="shared" si="229"/>
        <v>0</v>
      </c>
      <c r="AQ484" s="158">
        <f>SUM(AQ483:AQ483)</f>
        <v>180000000</v>
      </c>
    </row>
    <row r="485" spans="1:43" ht="15" x14ac:dyDescent="0.25">
      <c r="A485" s="20"/>
      <c r="B485" s="468"/>
      <c r="C485" s="471"/>
      <c r="D485" s="419"/>
      <c r="E485" s="471"/>
      <c r="F485" s="471"/>
      <c r="G485" s="419"/>
      <c r="H485" s="471"/>
      <c r="I485" s="419"/>
      <c r="J485" s="472"/>
      <c r="K485" s="472"/>
      <c r="L485" s="472"/>
      <c r="M485" s="418"/>
      <c r="N485" s="419"/>
      <c r="O485" s="471"/>
      <c r="P485" s="106"/>
      <c r="Q485" s="106"/>
      <c r="R485" s="106"/>
      <c r="S485" s="106"/>
      <c r="T485" s="106"/>
      <c r="U485" s="106"/>
      <c r="V485" s="106"/>
      <c r="W485" s="106"/>
      <c r="X485" s="106"/>
      <c r="Y485" s="106"/>
      <c r="Z485" s="106"/>
      <c r="AA485" s="106"/>
      <c r="AB485" s="106"/>
      <c r="AC485" s="106"/>
      <c r="AD485" s="106"/>
      <c r="AE485" s="106"/>
      <c r="AF485" s="106"/>
      <c r="AG485" s="106"/>
      <c r="AH485" s="106"/>
      <c r="AI485" s="106"/>
      <c r="AJ485" s="106"/>
      <c r="AK485" s="106"/>
      <c r="AL485" s="291"/>
      <c r="AM485" s="292"/>
      <c r="AN485" s="106"/>
      <c r="AO485" s="106"/>
      <c r="AP485" s="106"/>
      <c r="AQ485" s="26"/>
    </row>
    <row r="486" spans="1:43" ht="15" x14ac:dyDescent="0.25">
      <c r="A486" s="20"/>
      <c r="B486" s="468"/>
      <c r="C486" s="784"/>
      <c r="D486" s="798"/>
      <c r="E486" s="790"/>
      <c r="F486" s="473"/>
      <c r="G486" s="188">
        <v>59</v>
      </c>
      <c r="H486" s="189" t="s">
        <v>590</v>
      </c>
      <c r="I486" s="189"/>
      <c r="J486" s="189"/>
      <c r="K486" s="189"/>
      <c r="L486" s="189"/>
      <c r="M486" s="659"/>
      <c r="N486" s="189"/>
      <c r="O486" s="189"/>
      <c r="P486" s="189"/>
      <c r="Q486" s="189"/>
      <c r="R486" s="189"/>
      <c r="S486" s="189"/>
      <c r="T486" s="189"/>
      <c r="U486" s="189"/>
      <c r="V486" s="189"/>
      <c r="W486" s="189"/>
      <c r="X486" s="189"/>
      <c r="Y486" s="189"/>
      <c r="Z486" s="189"/>
      <c r="AA486" s="189"/>
      <c r="AB486" s="189"/>
      <c r="AC486" s="189"/>
      <c r="AD486" s="189"/>
      <c r="AE486" s="189"/>
      <c r="AF486" s="189"/>
      <c r="AG486" s="189"/>
      <c r="AH486" s="189"/>
      <c r="AI486" s="189"/>
      <c r="AJ486" s="189"/>
      <c r="AK486" s="189"/>
      <c r="AL486" s="190"/>
      <c r="AM486" s="189"/>
      <c r="AN486" s="189"/>
      <c r="AO486" s="189"/>
      <c r="AP486" s="189"/>
      <c r="AQ486" s="521"/>
    </row>
    <row r="487" spans="1:43" s="28" customFormat="1" ht="55.5" customHeight="1" x14ac:dyDescent="0.25">
      <c r="A487" s="20"/>
      <c r="B487" s="474"/>
      <c r="C487" s="905" t="s">
        <v>591</v>
      </c>
      <c r="D487" s="863" t="s">
        <v>592</v>
      </c>
      <c r="E487" s="870" t="s">
        <v>593</v>
      </c>
      <c r="F487" s="870" t="s">
        <v>594</v>
      </c>
      <c r="G487" s="29"/>
      <c r="H487" s="775">
        <v>184</v>
      </c>
      <c r="I487" s="774" t="s">
        <v>595</v>
      </c>
      <c r="J487" s="31">
        <v>1</v>
      </c>
      <c r="K487" s="31">
        <v>1</v>
      </c>
      <c r="L487" s="947" t="s">
        <v>579</v>
      </c>
      <c r="M487" s="854" t="s">
        <v>596</v>
      </c>
      <c r="N487" s="935" t="s">
        <v>597</v>
      </c>
      <c r="O487" s="57" t="s">
        <v>38</v>
      </c>
      <c r="P487" s="26"/>
      <c r="Q487" s="26"/>
      <c r="R487" s="26"/>
      <c r="S487" s="26"/>
      <c r="T487" s="26"/>
      <c r="U487" s="26"/>
      <c r="V487" s="26"/>
      <c r="W487" s="26"/>
      <c r="X487" s="26"/>
      <c r="Y487" s="26"/>
      <c r="Z487" s="26"/>
      <c r="AA487" s="26"/>
      <c r="AB487" s="26"/>
      <c r="AC487" s="26"/>
      <c r="AD487" s="26"/>
      <c r="AE487" s="26"/>
      <c r="AF487" s="26"/>
      <c r="AG487" s="26"/>
      <c r="AH487" s="26"/>
      <c r="AI487" s="26"/>
      <c r="AJ487" s="26"/>
      <c r="AK487" s="26"/>
      <c r="AL487" s="112">
        <f>25000000+100000000+300000000</f>
        <v>425000000</v>
      </c>
      <c r="AM487" s="10"/>
      <c r="AN487" s="26"/>
      <c r="AO487" s="27"/>
      <c r="AP487" s="27"/>
      <c r="AQ487" s="26">
        <f>P487+Q487+R487+S487+T487+U487+V487+W487+X487+Y487+Z487+AA487+AB487+AC487+AD487+AE487+AF487+AG487+AH487+AI487+AJ487+AK487+AL487+AM487+AN487+AP487+AO487</f>
        <v>425000000</v>
      </c>
    </row>
    <row r="488" spans="1:43" ht="81" customHeight="1" x14ac:dyDescent="0.25">
      <c r="A488" s="20"/>
      <c r="B488" s="468"/>
      <c r="C488" s="906"/>
      <c r="D488" s="956"/>
      <c r="E488" s="871"/>
      <c r="F488" s="871"/>
      <c r="G488" s="29"/>
      <c r="H488" s="775">
        <v>185</v>
      </c>
      <c r="I488" s="774" t="s">
        <v>598</v>
      </c>
      <c r="J488" s="31" t="s">
        <v>30</v>
      </c>
      <c r="K488" s="31">
        <v>1</v>
      </c>
      <c r="L488" s="948"/>
      <c r="M488" s="855"/>
      <c r="N488" s="936"/>
      <c r="O488" s="775" t="s">
        <v>38</v>
      </c>
      <c r="P488" s="26">
        <v>0</v>
      </c>
      <c r="Q488" s="26">
        <v>0</v>
      </c>
      <c r="R488" s="26">
        <v>0</v>
      </c>
      <c r="S488" s="26">
        <v>0</v>
      </c>
      <c r="T488" s="26">
        <v>0</v>
      </c>
      <c r="U488" s="26">
        <v>0</v>
      </c>
      <c r="V488" s="26">
        <v>0</v>
      </c>
      <c r="W488" s="26"/>
      <c r="X488" s="26"/>
      <c r="Y488" s="26"/>
      <c r="Z488" s="26">
        <v>0</v>
      </c>
      <c r="AA488" s="26"/>
      <c r="AB488" s="26">
        <v>0</v>
      </c>
      <c r="AC488" s="26">
        <v>0</v>
      </c>
      <c r="AD488" s="254"/>
      <c r="AE488" s="254"/>
      <c r="AF488" s="254"/>
      <c r="AG488" s="254"/>
      <c r="AH488" s="254"/>
      <c r="AI488" s="254"/>
      <c r="AJ488" s="26">
        <v>0</v>
      </c>
      <c r="AK488" s="26">
        <v>0</v>
      </c>
      <c r="AL488" s="112">
        <v>16500000</v>
      </c>
      <c r="AM488" s="10"/>
      <c r="AN488" s="26">
        <v>0</v>
      </c>
      <c r="AO488" s="293">
        <v>0</v>
      </c>
      <c r="AP488" s="293"/>
      <c r="AQ488" s="26">
        <f>P488+Q488+R488+S488+T488+U488+V488+W488+X488+Y488+Z488+AA488+AB488+AC488+AD488+AE488+AF488+AG488+AH488+AI488+AJ488+AK488+AL488+AM488+AN488+AP488+AO488</f>
        <v>16500000</v>
      </c>
    </row>
    <row r="489" spans="1:43" ht="100.5" customHeight="1" x14ac:dyDescent="0.25">
      <c r="A489" s="20"/>
      <c r="B489" s="468"/>
      <c r="C489" s="907"/>
      <c r="D489" s="864"/>
      <c r="E489" s="938"/>
      <c r="F489" s="938"/>
      <c r="G489" s="30"/>
      <c r="H489" s="775">
        <v>186</v>
      </c>
      <c r="I489" s="774" t="s">
        <v>599</v>
      </c>
      <c r="J489" s="31" t="s">
        <v>30</v>
      </c>
      <c r="K489" s="31">
        <v>1</v>
      </c>
      <c r="L489" s="949"/>
      <c r="M489" s="856"/>
      <c r="N489" s="937"/>
      <c r="O489" s="775" t="s">
        <v>38</v>
      </c>
      <c r="P489" s="26"/>
      <c r="Q489" s="26"/>
      <c r="R489" s="26"/>
      <c r="S489" s="26"/>
      <c r="T489" s="26"/>
      <c r="U489" s="26"/>
      <c r="V489" s="26"/>
      <c r="W489" s="26"/>
      <c r="X489" s="26"/>
      <c r="Y489" s="26"/>
      <c r="Z489" s="26"/>
      <c r="AA489" s="26"/>
      <c r="AB489" s="26"/>
      <c r="AC489" s="26"/>
      <c r="AD489" s="254"/>
      <c r="AE489" s="254"/>
      <c r="AF489" s="254"/>
      <c r="AG489" s="254"/>
      <c r="AH489" s="254"/>
      <c r="AI489" s="254"/>
      <c r="AJ489" s="26"/>
      <c r="AK489" s="26"/>
      <c r="AL489" s="112">
        <v>28500000</v>
      </c>
      <c r="AM489" s="10"/>
      <c r="AN489" s="26"/>
      <c r="AO489" s="293"/>
      <c r="AP489" s="293"/>
      <c r="AQ489" s="26">
        <f>P489+Q489+R489+S489+T489+U489+V489+W489+X489+Y489+Z489+AA489+AB489+AC489+AD489+AE489+AF489+AG489+AH489+AI489+AJ489+AK489+AL489+AM489+AN489+AP489+AO489</f>
        <v>28500000</v>
      </c>
    </row>
    <row r="490" spans="1:43" ht="15" x14ac:dyDescent="0.25">
      <c r="A490" s="20"/>
      <c r="B490" s="468"/>
      <c r="C490" s="469"/>
      <c r="D490" s="153"/>
      <c r="E490" s="579"/>
      <c r="F490" s="579"/>
      <c r="G490" s="154"/>
      <c r="H490" s="155"/>
      <c r="I490" s="154"/>
      <c r="J490" s="316"/>
      <c r="K490" s="316"/>
      <c r="L490" s="316"/>
      <c r="M490" s="157"/>
      <c r="N490" s="154"/>
      <c r="O490" s="155"/>
      <c r="P490" s="158">
        <f>SUM(P487:P489)</f>
        <v>0</v>
      </c>
      <c r="Q490" s="158">
        <f t="shared" ref="Q490:AK490" si="230">SUM(Q487:Q489)</f>
        <v>0</v>
      </c>
      <c r="R490" s="158">
        <f t="shared" si="230"/>
        <v>0</v>
      </c>
      <c r="S490" s="158">
        <f t="shared" si="230"/>
        <v>0</v>
      </c>
      <c r="T490" s="158">
        <f t="shared" si="230"/>
        <v>0</v>
      </c>
      <c r="U490" s="158">
        <f t="shared" si="230"/>
        <v>0</v>
      </c>
      <c r="V490" s="158">
        <f t="shared" si="230"/>
        <v>0</v>
      </c>
      <c r="W490" s="158">
        <f t="shared" si="230"/>
        <v>0</v>
      </c>
      <c r="X490" s="158">
        <f t="shared" si="230"/>
        <v>0</v>
      </c>
      <c r="Y490" s="158">
        <f t="shared" si="230"/>
        <v>0</v>
      </c>
      <c r="Z490" s="158">
        <f t="shared" si="230"/>
        <v>0</v>
      </c>
      <c r="AA490" s="158">
        <f t="shared" si="230"/>
        <v>0</v>
      </c>
      <c r="AB490" s="158">
        <f t="shared" si="230"/>
        <v>0</v>
      </c>
      <c r="AC490" s="158">
        <f t="shared" si="230"/>
        <v>0</v>
      </c>
      <c r="AD490" s="158">
        <f t="shared" si="230"/>
        <v>0</v>
      </c>
      <c r="AE490" s="158">
        <f t="shared" si="230"/>
        <v>0</v>
      </c>
      <c r="AF490" s="158">
        <f t="shared" si="230"/>
        <v>0</v>
      </c>
      <c r="AG490" s="158">
        <f t="shared" si="230"/>
        <v>0</v>
      </c>
      <c r="AH490" s="158">
        <f t="shared" si="230"/>
        <v>0</v>
      </c>
      <c r="AI490" s="158">
        <f t="shared" si="230"/>
        <v>0</v>
      </c>
      <c r="AJ490" s="158">
        <f t="shared" si="230"/>
        <v>0</v>
      </c>
      <c r="AK490" s="158">
        <f t="shared" si="230"/>
        <v>0</v>
      </c>
      <c r="AL490" s="158">
        <f t="shared" ref="AL490:AP490" si="231">SUM(AL487:AL489)</f>
        <v>470000000</v>
      </c>
      <c r="AM490" s="158">
        <f t="shared" si="231"/>
        <v>0</v>
      </c>
      <c r="AN490" s="158">
        <f t="shared" si="231"/>
        <v>0</v>
      </c>
      <c r="AO490" s="158">
        <f t="shared" si="231"/>
        <v>0</v>
      </c>
      <c r="AP490" s="158">
        <f t="shared" si="231"/>
        <v>0</v>
      </c>
      <c r="AQ490" s="158">
        <f>SUM(AQ487:AQ489)</f>
        <v>470000000</v>
      </c>
    </row>
    <row r="491" spans="1:43" ht="15" x14ac:dyDescent="0.25">
      <c r="A491" s="20"/>
      <c r="B491" s="468"/>
      <c r="C491" s="471"/>
      <c r="D491" s="419"/>
      <c r="E491" s="471"/>
      <c r="F491" s="471"/>
      <c r="G491" s="419"/>
      <c r="H491" s="471"/>
      <c r="I491" s="419"/>
      <c r="J491" s="472"/>
      <c r="K491" s="472"/>
      <c r="L491" s="472"/>
      <c r="M491" s="418"/>
      <c r="N491" s="419"/>
      <c r="O491" s="471"/>
      <c r="P491" s="106"/>
      <c r="Q491" s="106"/>
      <c r="R491" s="106"/>
      <c r="S491" s="106"/>
      <c r="T491" s="106"/>
      <c r="U491" s="106"/>
      <c r="V491" s="106"/>
      <c r="W491" s="106"/>
      <c r="X491" s="106"/>
      <c r="Y491" s="106"/>
      <c r="Z491" s="106"/>
      <c r="AA491" s="106"/>
      <c r="AB491" s="106"/>
      <c r="AC491" s="106"/>
      <c r="AD491" s="106"/>
      <c r="AE491" s="106"/>
      <c r="AF491" s="106"/>
      <c r="AG491" s="106"/>
      <c r="AH491" s="106"/>
      <c r="AI491" s="106"/>
      <c r="AJ491" s="106"/>
      <c r="AK491" s="106"/>
      <c r="AL491" s="291"/>
      <c r="AM491" s="292"/>
      <c r="AN491" s="106"/>
      <c r="AO491" s="106"/>
      <c r="AP491" s="106"/>
      <c r="AQ491" s="26"/>
    </row>
    <row r="492" spans="1:43" ht="15" x14ac:dyDescent="0.25">
      <c r="A492" s="20"/>
      <c r="B492" s="468"/>
      <c r="C492" s="784"/>
      <c r="D492" s="798"/>
      <c r="E492" s="790"/>
      <c r="F492" s="473"/>
      <c r="G492" s="188">
        <v>60</v>
      </c>
      <c r="H492" s="189" t="s">
        <v>600</v>
      </c>
      <c r="I492" s="189"/>
      <c r="J492" s="189"/>
      <c r="K492" s="189"/>
      <c r="L492" s="189"/>
      <c r="M492" s="659"/>
      <c r="N492" s="189"/>
      <c r="O492" s="189"/>
      <c r="P492" s="189"/>
      <c r="Q492" s="189"/>
      <c r="R492" s="189"/>
      <c r="S492" s="189"/>
      <c r="T492" s="189"/>
      <c r="U492" s="189"/>
      <c r="V492" s="189"/>
      <c r="W492" s="189"/>
      <c r="X492" s="189"/>
      <c r="Y492" s="189"/>
      <c r="Z492" s="189"/>
      <c r="AA492" s="189"/>
      <c r="AB492" s="189"/>
      <c r="AC492" s="189"/>
      <c r="AD492" s="189"/>
      <c r="AE492" s="189"/>
      <c r="AF492" s="189"/>
      <c r="AG492" s="189"/>
      <c r="AH492" s="189"/>
      <c r="AI492" s="189"/>
      <c r="AJ492" s="189"/>
      <c r="AK492" s="189"/>
      <c r="AL492" s="190"/>
      <c r="AM492" s="189"/>
      <c r="AN492" s="189"/>
      <c r="AO492" s="189"/>
      <c r="AP492" s="189"/>
      <c r="AQ492" s="521"/>
    </row>
    <row r="493" spans="1:43" s="459" customFormat="1" ht="54.95" customHeight="1" x14ac:dyDescent="0.25">
      <c r="A493" s="20"/>
      <c r="B493" s="468"/>
      <c r="C493" s="469">
        <v>22</v>
      </c>
      <c r="D493" s="153" t="s">
        <v>601</v>
      </c>
      <c r="E493" s="580" t="s">
        <v>602</v>
      </c>
      <c r="F493" s="580" t="s">
        <v>603</v>
      </c>
      <c r="G493" s="23"/>
      <c r="H493" s="775">
        <v>187</v>
      </c>
      <c r="I493" s="774" t="s">
        <v>604</v>
      </c>
      <c r="J493" s="31">
        <v>1</v>
      </c>
      <c r="K493" s="31">
        <v>1</v>
      </c>
      <c r="L493" s="947" t="s">
        <v>579</v>
      </c>
      <c r="M493" s="854" t="s">
        <v>605</v>
      </c>
      <c r="N493" s="849" t="s">
        <v>606</v>
      </c>
      <c r="O493" s="775" t="s">
        <v>38</v>
      </c>
      <c r="P493" s="26">
        <v>0</v>
      </c>
      <c r="Q493" s="26">
        <v>0</v>
      </c>
      <c r="R493" s="26">
        <v>0</v>
      </c>
      <c r="S493" s="26">
        <v>0</v>
      </c>
      <c r="T493" s="26">
        <v>0</v>
      </c>
      <c r="U493" s="26">
        <v>0</v>
      </c>
      <c r="V493" s="26">
        <v>0</v>
      </c>
      <c r="W493" s="26"/>
      <c r="X493" s="26"/>
      <c r="Y493" s="26"/>
      <c r="Z493" s="26">
        <v>0</v>
      </c>
      <c r="AA493" s="26"/>
      <c r="AB493" s="26">
        <v>0</v>
      </c>
      <c r="AC493" s="26">
        <v>0</v>
      </c>
      <c r="AD493" s="254"/>
      <c r="AE493" s="254"/>
      <c r="AF493" s="254"/>
      <c r="AG493" s="254"/>
      <c r="AH493" s="254"/>
      <c r="AI493" s="254"/>
      <c r="AJ493" s="26">
        <v>0</v>
      </c>
      <c r="AK493" s="26">
        <v>0</v>
      </c>
      <c r="AL493" s="112">
        <f>24350000</f>
        <v>24350000</v>
      </c>
      <c r="AM493" s="10"/>
      <c r="AN493" s="324">
        <v>0</v>
      </c>
      <c r="AO493" s="293">
        <v>0</v>
      </c>
      <c r="AP493" s="293"/>
      <c r="AQ493" s="26">
        <f>P493+Q493+R493+S493+T493+U493+V493+W493+X493+Y493+Z493+AA493+AB493+AC493+AD493+AE493+AF493+AG493+AH493+AI493+AJ493+AK493+AL493+AM493+AN493+AP493+AO493</f>
        <v>24350000</v>
      </c>
    </row>
    <row r="494" spans="1:43" s="459" customFormat="1" ht="78" customHeight="1" x14ac:dyDescent="0.25">
      <c r="A494" s="20"/>
      <c r="B494" s="468"/>
      <c r="C494" s="469">
        <v>31</v>
      </c>
      <c r="D494" s="475" t="s">
        <v>607</v>
      </c>
      <c r="E494" s="476">
        <v>0.249</v>
      </c>
      <c r="F494" s="477">
        <v>0.2</v>
      </c>
      <c r="G494" s="29"/>
      <c r="H494" s="775">
        <v>188</v>
      </c>
      <c r="I494" s="774" t="s">
        <v>608</v>
      </c>
      <c r="J494" s="31" t="s">
        <v>30</v>
      </c>
      <c r="K494" s="31">
        <v>2</v>
      </c>
      <c r="L494" s="948"/>
      <c r="M494" s="855"/>
      <c r="N494" s="857"/>
      <c r="O494" s="775" t="s">
        <v>38</v>
      </c>
      <c r="P494" s="26">
        <v>0</v>
      </c>
      <c r="Q494" s="26">
        <v>0</v>
      </c>
      <c r="R494" s="26">
        <v>0</v>
      </c>
      <c r="S494" s="26">
        <v>0</v>
      </c>
      <c r="T494" s="26">
        <v>0</v>
      </c>
      <c r="U494" s="26">
        <v>0</v>
      </c>
      <c r="V494" s="26">
        <v>0</v>
      </c>
      <c r="W494" s="26"/>
      <c r="X494" s="26"/>
      <c r="Y494" s="26"/>
      <c r="Z494" s="26">
        <v>0</v>
      </c>
      <c r="AA494" s="26"/>
      <c r="AB494" s="26">
        <v>0</v>
      </c>
      <c r="AC494" s="26">
        <v>0</v>
      </c>
      <c r="AD494" s="254"/>
      <c r="AE494" s="254"/>
      <c r="AF494" s="254"/>
      <c r="AG494" s="254"/>
      <c r="AH494" s="254"/>
      <c r="AI494" s="254"/>
      <c r="AJ494" s="26">
        <v>0</v>
      </c>
      <c r="AK494" s="26">
        <v>0</v>
      </c>
      <c r="AL494" s="118">
        <v>31650000</v>
      </c>
      <c r="AM494" s="7"/>
      <c r="AN494" s="324">
        <v>0</v>
      </c>
      <c r="AO494" s="293">
        <v>0</v>
      </c>
      <c r="AP494" s="293"/>
      <c r="AQ494" s="26">
        <f>P494+Q494+R494+S494+T494+U494+V494+W494+X494+Y494+Z494+AA494+AB494+AC494+AD494+AE494+AF494+AG494+AH494+AI494+AJ494+AK494+AL494+AM494+AN494+AP494+AO494</f>
        <v>31650000</v>
      </c>
    </row>
    <row r="495" spans="1:43" s="28" customFormat="1" ht="81" customHeight="1" x14ac:dyDescent="0.25">
      <c r="A495" s="20"/>
      <c r="B495" s="474"/>
      <c r="C495" s="773">
        <v>32</v>
      </c>
      <c r="D495" s="54" t="s">
        <v>898</v>
      </c>
      <c r="E495" s="478" t="s">
        <v>609</v>
      </c>
      <c r="F495" s="775" t="s">
        <v>610</v>
      </c>
      <c r="G495" s="29"/>
      <c r="H495" s="775">
        <v>189</v>
      </c>
      <c r="I495" s="774" t="s">
        <v>611</v>
      </c>
      <c r="J495" s="31" t="s">
        <v>30</v>
      </c>
      <c r="K495" s="31">
        <v>1</v>
      </c>
      <c r="L495" s="949"/>
      <c r="M495" s="856"/>
      <c r="N495" s="850"/>
      <c r="O495" s="775" t="s">
        <v>38</v>
      </c>
      <c r="P495" s="26">
        <v>0</v>
      </c>
      <c r="Q495" s="26">
        <v>0</v>
      </c>
      <c r="R495" s="26">
        <v>0</v>
      </c>
      <c r="S495" s="26">
        <v>0</v>
      </c>
      <c r="T495" s="26">
        <v>0</v>
      </c>
      <c r="U495" s="26">
        <v>0</v>
      </c>
      <c r="V495" s="26">
        <v>0</v>
      </c>
      <c r="W495" s="26"/>
      <c r="X495" s="26"/>
      <c r="Y495" s="26"/>
      <c r="Z495" s="26">
        <v>0</v>
      </c>
      <c r="AA495" s="26"/>
      <c r="AB495" s="26">
        <v>0</v>
      </c>
      <c r="AC495" s="26">
        <v>0</v>
      </c>
      <c r="AD495" s="26"/>
      <c r="AE495" s="26"/>
      <c r="AF495" s="26"/>
      <c r="AG495" s="26"/>
      <c r="AH495" s="26"/>
      <c r="AI495" s="26"/>
      <c r="AJ495" s="26">
        <v>0</v>
      </c>
      <c r="AK495" s="26">
        <v>0</v>
      </c>
      <c r="AL495" s="112">
        <f>44000000+60000000</f>
        <v>104000000</v>
      </c>
      <c r="AM495" s="10"/>
      <c r="AN495" s="26">
        <v>0</v>
      </c>
      <c r="AO495" s="27">
        <v>0</v>
      </c>
      <c r="AP495" s="27"/>
      <c r="AQ495" s="26">
        <f>P495+Q495+R495+S495+T495+U495+V495+W495+X495+Y495+Z495+AA495+AB495+AC495+AD495+AE495+AF495+AG495+AH495+AI495+AJ495+AK495+AL495+AM495+AN495+AP495+AO495</f>
        <v>104000000</v>
      </c>
    </row>
    <row r="496" spans="1:43" ht="15" x14ac:dyDescent="0.25">
      <c r="A496" s="20"/>
      <c r="B496" s="468"/>
      <c r="C496" s="469"/>
      <c r="D496" s="153"/>
      <c r="E496" s="579"/>
      <c r="F496" s="579"/>
      <c r="G496" s="154"/>
      <c r="H496" s="155"/>
      <c r="I496" s="154"/>
      <c r="J496" s="316"/>
      <c r="K496" s="316"/>
      <c r="L496" s="316"/>
      <c r="M496" s="157"/>
      <c r="N496" s="154"/>
      <c r="O496" s="155"/>
      <c r="P496" s="158">
        <f>SUM(P493:P495)</f>
        <v>0</v>
      </c>
      <c r="Q496" s="158">
        <f t="shared" ref="Q496:AK496" si="232">SUM(Q493:Q495)</f>
        <v>0</v>
      </c>
      <c r="R496" s="158">
        <f t="shared" si="232"/>
        <v>0</v>
      </c>
      <c r="S496" s="158">
        <f t="shared" si="232"/>
        <v>0</v>
      </c>
      <c r="T496" s="158">
        <f t="shared" si="232"/>
        <v>0</v>
      </c>
      <c r="U496" s="158">
        <f t="shared" si="232"/>
        <v>0</v>
      </c>
      <c r="V496" s="158">
        <f t="shared" si="232"/>
        <v>0</v>
      </c>
      <c r="W496" s="158">
        <f t="shared" si="232"/>
        <v>0</v>
      </c>
      <c r="X496" s="158">
        <f t="shared" si="232"/>
        <v>0</v>
      </c>
      <c r="Y496" s="158">
        <f t="shared" si="232"/>
        <v>0</v>
      </c>
      <c r="Z496" s="158">
        <f t="shared" si="232"/>
        <v>0</v>
      </c>
      <c r="AA496" s="158">
        <f t="shared" si="232"/>
        <v>0</v>
      </c>
      <c r="AB496" s="158">
        <f t="shared" si="232"/>
        <v>0</v>
      </c>
      <c r="AC496" s="158">
        <f t="shared" si="232"/>
        <v>0</v>
      </c>
      <c r="AD496" s="158">
        <f t="shared" si="232"/>
        <v>0</v>
      </c>
      <c r="AE496" s="158">
        <f t="shared" si="232"/>
        <v>0</v>
      </c>
      <c r="AF496" s="158">
        <f t="shared" si="232"/>
        <v>0</v>
      </c>
      <c r="AG496" s="158">
        <f t="shared" si="232"/>
        <v>0</v>
      </c>
      <c r="AH496" s="158">
        <f t="shared" si="232"/>
        <v>0</v>
      </c>
      <c r="AI496" s="158">
        <f t="shared" si="232"/>
        <v>0</v>
      </c>
      <c r="AJ496" s="158">
        <f t="shared" si="232"/>
        <v>0</v>
      </c>
      <c r="AK496" s="158">
        <f t="shared" si="232"/>
        <v>0</v>
      </c>
      <c r="AL496" s="158">
        <f t="shared" ref="AL496:AP496" si="233">SUM(AL493:AL495)</f>
        <v>160000000</v>
      </c>
      <c r="AM496" s="158">
        <f t="shared" si="233"/>
        <v>0</v>
      </c>
      <c r="AN496" s="158">
        <f t="shared" si="233"/>
        <v>0</v>
      </c>
      <c r="AO496" s="158">
        <f t="shared" si="233"/>
        <v>0</v>
      </c>
      <c r="AP496" s="158">
        <f t="shared" si="233"/>
        <v>0</v>
      </c>
      <c r="AQ496" s="158">
        <f>SUM(AQ493:AQ495)</f>
        <v>160000000</v>
      </c>
    </row>
    <row r="497" spans="1:43" ht="15" x14ac:dyDescent="0.25">
      <c r="A497" s="20"/>
      <c r="B497" s="468"/>
      <c r="C497" s="471"/>
      <c r="D497" s="419"/>
      <c r="E497" s="471"/>
      <c r="F497" s="471"/>
      <c r="G497" s="419"/>
      <c r="H497" s="471"/>
      <c r="I497" s="419"/>
      <c r="J497" s="472"/>
      <c r="K497" s="472"/>
      <c r="L497" s="472"/>
      <c r="M497" s="418"/>
      <c r="N497" s="419"/>
      <c r="O497" s="471"/>
      <c r="P497" s="106"/>
      <c r="Q497" s="106"/>
      <c r="R497" s="106"/>
      <c r="S497" s="106"/>
      <c r="T497" s="106"/>
      <c r="U497" s="106"/>
      <c r="V497" s="106"/>
      <c r="W497" s="106"/>
      <c r="X497" s="106"/>
      <c r="Y497" s="106"/>
      <c r="Z497" s="106"/>
      <c r="AA497" s="106"/>
      <c r="AB497" s="106"/>
      <c r="AC497" s="106"/>
      <c r="AD497" s="106"/>
      <c r="AE497" s="106"/>
      <c r="AF497" s="106"/>
      <c r="AG497" s="106"/>
      <c r="AH497" s="106"/>
      <c r="AI497" s="106"/>
      <c r="AJ497" s="106"/>
      <c r="AK497" s="106"/>
      <c r="AL497" s="291"/>
      <c r="AM497" s="292"/>
      <c r="AN497" s="106"/>
      <c r="AO497" s="106"/>
      <c r="AP497" s="106"/>
      <c r="AQ497" s="26"/>
    </row>
    <row r="498" spans="1:43" ht="15" x14ac:dyDescent="0.25">
      <c r="A498" s="20"/>
      <c r="B498" s="468"/>
      <c r="C498" s="784"/>
      <c r="D498" s="798"/>
      <c r="E498" s="790"/>
      <c r="F498" s="473"/>
      <c r="G498" s="188">
        <v>61</v>
      </c>
      <c r="H498" s="189" t="s">
        <v>612</v>
      </c>
      <c r="I498" s="189"/>
      <c r="J498" s="189"/>
      <c r="K498" s="189"/>
      <c r="L498" s="189"/>
      <c r="M498" s="659"/>
      <c r="N498" s="189"/>
      <c r="O498" s="189"/>
      <c r="P498" s="189"/>
      <c r="Q498" s="189"/>
      <c r="R498" s="189"/>
      <c r="S498" s="189"/>
      <c r="T498" s="189"/>
      <c r="U498" s="189"/>
      <c r="V498" s="189"/>
      <c r="W498" s="189"/>
      <c r="X498" s="189"/>
      <c r="Y498" s="189"/>
      <c r="Z498" s="189"/>
      <c r="AA498" s="189"/>
      <c r="AB498" s="189"/>
      <c r="AC498" s="189"/>
      <c r="AD498" s="189"/>
      <c r="AE498" s="189"/>
      <c r="AF498" s="189"/>
      <c r="AG498" s="189"/>
      <c r="AH498" s="189"/>
      <c r="AI498" s="189"/>
      <c r="AJ498" s="189"/>
      <c r="AK498" s="189"/>
      <c r="AL498" s="190"/>
      <c r="AM498" s="189"/>
      <c r="AN498" s="189"/>
      <c r="AO498" s="189"/>
      <c r="AP498" s="189"/>
      <c r="AQ498" s="521"/>
    </row>
    <row r="499" spans="1:43" ht="54.95" customHeight="1" x14ac:dyDescent="0.25">
      <c r="A499" s="20"/>
      <c r="B499" s="468"/>
      <c r="C499" s="469">
        <v>34</v>
      </c>
      <c r="D499" s="475" t="s">
        <v>613</v>
      </c>
      <c r="E499" s="580" t="s">
        <v>30</v>
      </c>
      <c r="F499" s="579">
        <v>40</v>
      </c>
      <c r="G499" s="23"/>
      <c r="H499" s="775">
        <v>190</v>
      </c>
      <c r="I499" s="774" t="s">
        <v>614</v>
      </c>
      <c r="J499" s="11">
        <v>1</v>
      </c>
      <c r="K499" s="11">
        <v>1</v>
      </c>
      <c r="L499" s="774" t="s">
        <v>579</v>
      </c>
      <c r="M499" s="37" t="s">
        <v>615</v>
      </c>
      <c r="N499" s="774" t="s">
        <v>616</v>
      </c>
      <c r="O499" s="775" t="s">
        <v>38</v>
      </c>
      <c r="P499" s="26"/>
      <c r="Q499" s="26"/>
      <c r="R499" s="26"/>
      <c r="S499" s="26"/>
      <c r="T499" s="26"/>
      <c r="U499" s="26"/>
      <c r="V499" s="26"/>
      <c r="W499" s="26"/>
      <c r="X499" s="26"/>
      <c r="Y499" s="26"/>
      <c r="Z499" s="26"/>
      <c r="AA499" s="26"/>
      <c r="AB499" s="26"/>
      <c r="AC499" s="26"/>
      <c r="AD499" s="254"/>
      <c r="AE499" s="254"/>
      <c r="AF499" s="254"/>
      <c r="AG499" s="254"/>
      <c r="AH499" s="254"/>
      <c r="AI499" s="254"/>
      <c r="AJ499" s="26"/>
      <c r="AK499" s="26"/>
      <c r="AL499" s="110">
        <v>190000000</v>
      </c>
      <c r="AM499" s="14"/>
      <c r="AN499" s="26"/>
      <c r="AO499" s="470"/>
      <c r="AP499" s="470"/>
      <c r="AQ499" s="26">
        <f>P499+Q499+R499+S499+T499+U499+V499+W499+X499+Y499+Z499+AA499+AB499+AC499+AD499+AE499+AF499+AG499+AH499+AI499+AJ499+AK499+AL499+AM499+AN499+AP499+AO499</f>
        <v>190000000</v>
      </c>
    </row>
    <row r="500" spans="1:43" ht="15" x14ac:dyDescent="0.25">
      <c r="A500" s="20"/>
      <c r="B500" s="479"/>
      <c r="C500" s="469"/>
      <c r="D500" s="153"/>
      <c r="E500" s="579"/>
      <c r="F500" s="579"/>
      <c r="G500" s="154"/>
      <c r="H500" s="155"/>
      <c r="I500" s="154"/>
      <c r="J500" s="253"/>
      <c r="K500" s="253"/>
      <c r="L500" s="253"/>
      <c r="M500" s="157"/>
      <c r="N500" s="154"/>
      <c r="O500" s="155"/>
      <c r="P500" s="158">
        <f>SUM(P499:P499)</f>
        <v>0</v>
      </c>
      <c r="Q500" s="158">
        <f t="shared" ref="Q500:AK500" si="234">SUM(Q499:Q499)</f>
        <v>0</v>
      </c>
      <c r="R500" s="158">
        <f t="shared" si="234"/>
        <v>0</v>
      </c>
      <c r="S500" s="158">
        <f t="shared" si="234"/>
        <v>0</v>
      </c>
      <c r="T500" s="158">
        <f t="shared" si="234"/>
        <v>0</v>
      </c>
      <c r="U500" s="158">
        <f t="shared" si="234"/>
        <v>0</v>
      </c>
      <c r="V500" s="158">
        <f t="shared" si="234"/>
        <v>0</v>
      </c>
      <c r="W500" s="158">
        <f t="shared" si="234"/>
        <v>0</v>
      </c>
      <c r="X500" s="158">
        <f t="shared" si="234"/>
        <v>0</v>
      </c>
      <c r="Y500" s="158">
        <f t="shared" si="234"/>
        <v>0</v>
      </c>
      <c r="Z500" s="158">
        <f t="shared" si="234"/>
        <v>0</v>
      </c>
      <c r="AA500" s="158">
        <f t="shared" si="234"/>
        <v>0</v>
      </c>
      <c r="AB500" s="158">
        <f t="shared" si="234"/>
        <v>0</v>
      </c>
      <c r="AC500" s="158">
        <f t="shared" si="234"/>
        <v>0</v>
      </c>
      <c r="AD500" s="158">
        <f t="shared" si="234"/>
        <v>0</v>
      </c>
      <c r="AE500" s="158">
        <f t="shared" si="234"/>
        <v>0</v>
      </c>
      <c r="AF500" s="158">
        <f t="shared" si="234"/>
        <v>0</v>
      </c>
      <c r="AG500" s="158">
        <f t="shared" si="234"/>
        <v>0</v>
      </c>
      <c r="AH500" s="158">
        <f t="shared" si="234"/>
        <v>0</v>
      </c>
      <c r="AI500" s="158">
        <f t="shared" si="234"/>
        <v>0</v>
      </c>
      <c r="AJ500" s="158">
        <f t="shared" si="234"/>
        <v>0</v>
      </c>
      <c r="AK500" s="158">
        <f t="shared" si="234"/>
        <v>0</v>
      </c>
      <c r="AL500" s="158">
        <f t="shared" ref="AL500:AP500" si="235">SUM(AL499:AL499)</f>
        <v>190000000</v>
      </c>
      <c r="AM500" s="158">
        <f t="shared" si="235"/>
        <v>0</v>
      </c>
      <c r="AN500" s="158">
        <f t="shared" si="235"/>
        <v>0</v>
      </c>
      <c r="AO500" s="158">
        <f t="shared" si="235"/>
        <v>0</v>
      </c>
      <c r="AP500" s="158">
        <f t="shared" si="235"/>
        <v>0</v>
      </c>
      <c r="AQ500" s="158">
        <f>SUM(AQ499:AQ499)</f>
        <v>190000000</v>
      </c>
    </row>
    <row r="501" spans="1:43" ht="15" x14ac:dyDescent="0.25">
      <c r="A501" s="20"/>
      <c r="B501" s="218"/>
      <c r="C501" s="162"/>
      <c r="D501" s="161"/>
      <c r="E501" s="162"/>
      <c r="F501" s="162"/>
      <c r="G501" s="161"/>
      <c r="H501" s="162"/>
      <c r="I501" s="161"/>
      <c r="J501" s="261"/>
      <c r="K501" s="261"/>
      <c r="L501" s="261"/>
      <c r="M501" s="164"/>
      <c r="N501" s="161"/>
      <c r="O501" s="162"/>
      <c r="P501" s="165">
        <f>P500+P496+P490+P484</f>
        <v>0</v>
      </c>
      <c r="Q501" s="165">
        <f t="shared" ref="Q501:AK501" si="236">Q500+Q496+Q490+Q484</f>
        <v>0</v>
      </c>
      <c r="R501" s="165">
        <f t="shared" si="236"/>
        <v>0</v>
      </c>
      <c r="S501" s="165">
        <f t="shared" si="236"/>
        <v>0</v>
      </c>
      <c r="T501" s="165">
        <f t="shared" si="236"/>
        <v>0</v>
      </c>
      <c r="U501" s="165">
        <f t="shared" si="236"/>
        <v>0</v>
      </c>
      <c r="V501" s="165">
        <f t="shared" si="236"/>
        <v>0</v>
      </c>
      <c r="W501" s="165">
        <f t="shared" si="236"/>
        <v>0</v>
      </c>
      <c r="X501" s="165">
        <f t="shared" si="236"/>
        <v>0</v>
      </c>
      <c r="Y501" s="165">
        <f t="shared" si="236"/>
        <v>0</v>
      </c>
      <c r="Z501" s="165">
        <f t="shared" si="236"/>
        <v>0</v>
      </c>
      <c r="AA501" s="165">
        <f t="shared" si="236"/>
        <v>0</v>
      </c>
      <c r="AB501" s="165">
        <f t="shared" si="236"/>
        <v>0</v>
      </c>
      <c r="AC501" s="165">
        <f t="shared" si="236"/>
        <v>0</v>
      </c>
      <c r="AD501" s="165">
        <f t="shared" si="236"/>
        <v>0</v>
      </c>
      <c r="AE501" s="165">
        <f t="shared" si="236"/>
        <v>0</v>
      </c>
      <c r="AF501" s="165">
        <f t="shared" si="236"/>
        <v>0</v>
      </c>
      <c r="AG501" s="165">
        <f t="shared" si="236"/>
        <v>0</v>
      </c>
      <c r="AH501" s="165">
        <f t="shared" si="236"/>
        <v>0</v>
      </c>
      <c r="AI501" s="165">
        <f t="shared" si="236"/>
        <v>0</v>
      </c>
      <c r="AJ501" s="165">
        <f t="shared" si="236"/>
        <v>0</v>
      </c>
      <c r="AK501" s="165">
        <f t="shared" si="236"/>
        <v>0</v>
      </c>
      <c r="AL501" s="165">
        <f t="shared" ref="AL501:AP501" si="237">AL500+AL496+AL490+AL484</f>
        <v>1000000000</v>
      </c>
      <c r="AM501" s="165">
        <f t="shared" si="237"/>
        <v>0</v>
      </c>
      <c r="AN501" s="165">
        <f t="shared" si="237"/>
        <v>0</v>
      </c>
      <c r="AO501" s="165">
        <f t="shared" si="237"/>
        <v>0</v>
      </c>
      <c r="AP501" s="165">
        <f t="shared" si="237"/>
        <v>0</v>
      </c>
      <c r="AQ501" s="165">
        <f>AQ500+AQ496+AQ490+AQ484</f>
        <v>1000000000</v>
      </c>
    </row>
    <row r="502" spans="1:43" s="28" customFormat="1" ht="15" x14ac:dyDescent="0.25">
      <c r="A502" s="20"/>
      <c r="B502" s="465"/>
      <c r="C502" s="466"/>
      <c r="D502" s="177"/>
      <c r="E502" s="795"/>
      <c r="F502" s="795"/>
      <c r="G502" s="177"/>
      <c r="H502" s="795"/>
      <c r="I502" s="177"/>
      <c r="J502" s="795"/>
      <c r="K502" s="795"/>
      <c r="L502" s="795"/>
      <c r="M502" s="179"/>
      <c r="N502" s="177"/>
      <c r="O502" s="795"/>
      <c r="P502" s="180"/>
      <c r="Q502" s="180"/>
      <c r="R502" s="180"/>
      <c r="S502" s="180"/>
      <c r="T502" s="180"/>
      <c r="U502" s="180"/>
      <c r="V502" s="180"/>
      <c r="W502" s="180"/>
      <c r="X502" s="180"/>
      <c r="Y502" s="180"/>
      <c r="Z502" s="180"/>
      <c r="AA502" s="180"/>
      <c r="AB502" s="180"/>
      <c r="AC502" s="180"/>
      <c r="AD502" s="181"/>
      <c r="AE502" s="181"/>
      <c r="AF502" s="181"/>
      <c r="AG502" s="181"/>
      <c r="AH502" s="181"/>
      <c r="AI502" s="181"/>
      <c r="AJ502" s="180"/>
      <c r="AK502" s="180"/>
      <c r="AL502" s="182"/>
      <c r="AM502" s="183"/>
      <c r="AN502" s="180"/>
      <c r="AO502" s="180"/>
      <c r="AP502" s="180"/>
      <c r="AQ502" s="26"/>
    </row>
    <row r="503" spans="1:43" s="28" customFormat="1" ht="15" x14ac:dyDescent="0.25">
      <c r="A503" s="20"/>
      <c r="B503" s="243">
        <v>18</v>
      </c>
      <c r="C503" s="147" t="s">
        <v>617</v>
      </c>
      <c r="D503" s="146"/>
      <c r="E503" s="146"/>
      <c r="F503" s="146"/>
      <c r="G503" s="146"/>
      <c r="H503" s="147"/>
      <c r="I503" s="146"/>
      <c r="J503" s="146"/>
      <c r="K503" s="146"/>
      <c r="L503" s="146"/>
      <c r="M503" s="652"/>
      <c r="N503" s="146"/>
      <c r="O503" s="146"/>
      <c r="P503" s="146"/>
      <c r="Q503" s="146"/>
      <c r="R503" s="146"/>
      <c r="S503" s="146"/>
      <c r="T503" s="146"/>
      <c r="U503" s="146"/>
      <c r="V503" s="146"/>
      <c r="W503" s="146"/>
      <c r="X503" s="146"/>
      <c r="Y503" s="146"/>
      <c r="Z503" s="146"/>
      <c r="AA503" s="146"/>
      <c r="AB503" s="146"/>
      <c r="AC503" s="146"/>
      <c r="AD503" s="146"/>
      <c r="AE503" s="146"/>
      <c r="AF503" s="146"/>
      <c r="AG503" s="146"/>
      <c r="AH503" s="146"/>
      <c r="AI503" s="146"/>
      <c r="AJ503" s="146"/>
      <c r="AK503" s="146"/>
      <c r="AL503" s="148"/>
      <c r="AM503" s="146"/>
      <c r="AN503" s="146"/>
      <c r="AO503" s="146"/>
      <c r="AP503" s="146"/>
      <c r="AQ503" s="524"/>
    </row>
    <row r="504" spans="1:43" s="28" customFormat="1" ht="15" x14ac:dyDescent="0.25">
      <c r="A504" s="20"/>
      <c r="B504" s="467"/>
      <c r="C504" s="453"/>
      <c r="D504" s="153"/>
      <c r="E504" s="579"/>
      <c r="F504" s="579"/>
      <c r="G504" s="344">
        <v>62</v>
      </c>
      <c r="H504" s="189" t="s">
        <v>618</v>
      </c>
      <c r="I504" s="189"/>
      <c r="J504" s="189"/>
      <c r="K504" s="189"/>
      <c r="L504" s="189"/>
      <c r="M504" s="659"/>
      <c r="N504" s="189"/>
      <c r="O504" s="189"/>
      <c r="P504" s="189"/>
      <c r="Q504" s="189"/>
      <c r="R504" s="189"/>
      <c r="S504" s="189"/>
      <c r="T504" s="189"/>
      <c r="U504" s="189"/>
      <c r="V504" s="189"/>
      <c r="W504" s="189"/>
      <c r="X504" s="189"/>
      <c r="Y504" s="189"/>
      <c r="Z504" s="189"/>
      <c r="AA504" s="189"/>
      <c r="AB504" s="189"/>
      <c r="AC504" s="189"/>
      <c r="AD504" s="189"/>
      <c r="AE504" s="189"/>
      <c r="AF504" s="189"/>
      <c r="AG504" s="189"/>
      <c r="AH504" s="189"/>
      <c r="AI504" s="189"/>
      <c r="AJ504" s="189"/>
      <c r="AK504" s="189"/>
      <c r="AL504" s="190"/>
      <c r="AM504" s="189"/>
      <c r="AN504" s="189"/>
      <c r="AO504" s="189"/>
      <c r="AP504" s="189"/>
      <c r="AQ504" s="521"/>
    </row>
    <row r="505" spans="1:43" ht="54.95" customHeight="1" x14ac:dyDescent="0.25">
      <c r="A505" s="20"/>
      <c r="B505" s="468"/>
      <c r="C505" s="469">
        <v>22</v>
      </c>
      <c r="D505" s="475" t="s">
        <v>601</v>
      </c>
      <c r="E505" s="580" t="s">
        <v>602</v>
      </c>
      <c r="F505" s="579" t="s">
        <v>603</v>
      </c>
      <c r="G505" s="23"/>
      <c r="H505" s="775">
        <v>191</v>
      </c>
      <c r="I505" s="480" t="s">
        <v>619</v>
      </c>
      <c r="J505" s="775" t="s">
        <v>30</v>
      </c>
      <c r="K505" s="775">
        <v>1</v>
      </c>
      <c r="L505" s="774" t="s">
        <v>579</v>
      </c>
      <c r="M505" s="37" t="s">
        <v>620</v>
      </c>
      <c r="N505" s="6" t="s">
        <v>621</v>
      </c>
      <c r="O505" s="57" t="s">
        <v>38</v>
      </c>
      <c r="P505" s="26">
        <v>0</v>
      </c>
      <c r="Q505" s="26">
        <v>0</v>
      </c>
      <c r="R505" s="26">
        <v>0</v>
      </c>
      <c r="S505" s="26">
        <v>0</v>
      </c>
      <c r="T505" s="26">
        <v>0</v>
      </c>
      <c r="U505" s="26">
        <v>0</v>
      </c>
      <c r="V505" s="26">
        <v>0</v>
      </c>
      <c r="W505" s="26"/>
      <c r="X505" s="26"/>
      <c r="Y505" s="26"/>
      <c r="Z505" s="26">
        <v>0</v>
      </c>
      <c r="AA505" s="26"/>
      <c r="AB505" s="26">
        <v>0</v>
      </c>
      <c r="AC505" s="26">
        <v>0</v>
      </c>
      <c r="AD505" s="254"/>
      <c r="AE505" s="254"/>
      <c r="AF505" s="254"/>
      <c r="AG505" s="254"/>
      <c r="AH505" s="254"/>
      <c r="AI505" s="254"/>
      <c r="AJ505" s="26">
        <v>0</v>
      </c>
      <c r="AK505" s="26">
        <v>0</v>
      </c>
      <c r="AL505" s="114">
        <f>10000000+150000000+1000000000-60000000</f>
        <v>1100000000</v>
      </c>
      <c r="AM505" s="333"/>
      <c r="AN505" s="324">
        <v>0</v>
      </c>
      <c r="AO505" s="293">
        <v>0</v>
      </c>
      <c r="AP505" s="293"/>
      <c r="AQ505" s="26">
        <f>P505+Q505+R505+S505+T505+U505+V505+W505+X505+Y505+Z505+AA505+AB505+AC505+AD505+AE505+AF505+AG505+AH505+AI505+AJ505+AK505+AL505+AM505+AN505+AP505+AO505</f>
        <v>1100000000</v>
      </c>
    </row>
    <row r="506" spans="1:43" s="28" customFormat="1" ht="60" customHeight="1" x14ac:dyDescent="0.25">
      <c r="A506" s="20"/>
      <c r="B506" s="474"/>
      <c r="C506" s="773">
        <v>22</v>
      </c>
      <c r="D506" s="54" t="s">
        <v>601</v>
      </c>
      <c r="E506" s="478" t="s">
        <v>602</v>
      </c>
      <c r="F506" s="775" t="s">
        <v>603</v>
      </c>
      <c r="G506" s="29"/>
      <c r="H506" s="775">
        <v>192</v>
      </c>
      <c r="I506" s="774" t="s">
        <v>622</v>
      </c>
      <c r="J506" s="775">
        <v>1</v>
      </c>
      <c r="K506" s="775">
        <v>1</v>
      </c>
      <c r="L506" s="774" t="s">
        <v>579</v>
      </c>
      <c r="M506" s="37" t="s">
        <v>623</v>
      </c>
      <c r="N506" s="774" t="s">
        <v>624</v>
      </c>
      <c r="O506" s="57" t="s">
        <v>38</v>
      </c>
      <c r="P506" s="26">
        <v>0</v>
      </c>
      <c r="Q506" s="26">
        <v>0</v>
      </c>
      <c r="R506" s="26">
        <v>0</v>
      </c>
      <c r="S506" s="26">
        <v>0</v>
      </c>
      <c r="T506" s="26">
        <v>0</v>
      </c>
      <c r="U506" s="26">
        <v>0</v>
      </c>
      <c r="V506" s="26">
        <v>0</v>
      </c>
      <c r="W506" s="26"/>
      <c r="X506" s="26"/>
      <c r="Y506" s="26"/>
      <c r="Z506" s="26">
        <v>0</v>
      </c>
      <c r="AA506" s="26"/>
      <c r="AB506" s="26">
        <v>0</v>
      </c>
      <c r="AC506" s="26">
        <v>0</v>
      </c>
      <c r="AD506" s="26"/>
      <c r="AE506" s="26"/>
      <c r="AF506" s="26"/>
      <c r="AG506" s="26"/>
      <c r="AH506" s="26"/>
      <c r="AI506" s="26"/>
      <c r="AJ506" s="26">
        <v>0</v>
      </c>
      <c r="AK506" s="26">
        <v>0</v>
      </c>
      <c r="AL506" s="110">
        <f>60000000+15000000+7000000</f>
        <v>82000000</v>
      </c>
      <c r="AM506" s="38"/>
      <c r="AN506" s="26">
        <v>0</v>
      </c>
      <c r="AO506" s="27">
        <v>0</v>
      </c>
      <c r="AP506" s="27"/>
      <c r="AQ506" s="26">
        <f>P506+Q506+R506+S506+T506+U506+V506+W506+X506+Y506+Z506+AA506+AB506+AC506+AD506+AE506+AF506+AG506+AH506+AI506+AJ506+AK506+AL506+AM506+AN506+AP506+AO506</f>
        <v>82000000</v>
      </c>
    </row>
    <row r="507" spans="1:43" ht="15" x14ac:dyDescent="0.25">
      <c r="A507" s="20"/>
      <c r="B507" s="468"/>
      <c r="C507" s="469"/>
      <c r="D507" s="153"/>
      <c r="E507" s="579"/>
      <c r="F507" s="579"/>
      <c r="G507" s="154"/>
      <c r="H507" s="155"/>
      <c r="I507" s="154"/>
      <c r="J507" s="155"/>
      <c r="K507" s="155"/>
      <c r="L507" s="155"/>
      <c r="M507" s="157"/>
      <c r="N507" s="154"/>
      <c r="O507" s="155"/>
      <c r="P507" s="158">
        <f>SUM(P505:P506)</f>
        <v>0</v>
      </c>
      <c r="Q507" s="158">
        <f t="shared" ref="Q507:AK507" si="238">SUM(Q505:Q506)</f>
        <v>0</v>
      </c>
      <c r="R507" s="158">
        <f t="shared" si="238"/>
        <v>0</v>
      </c>
      <c r="S507" s="158">
        <f t="shared" si="238"/>
        <v>0</v>
      </c>
      <c r="T507" s="158">
        <f t="shared" si="238"/>
        <v>0</v>
      </c>
      <c r="U507" s="158">
        <f t="shared" si="238"/>
        <v>0</v>
      </c>
      <c r="V507" s="158">
        <f t="shared" si="238"/>
        <v>0</v>
      </c>
      <c r="W507" s="158">
        <f t="shared" si="238"/>
        <v>0</v>
      </c>
      <c r="X507" s="158">
        <f t="shared" si="238"/>
        <v>0</v>
      </c>
      <c r="Y507" s="158">
        <f t="shared" si="238"/>
        <v>0</v>
      </c>
      <c r="Z507" s="158">
        <f t="shared" si="238"/>
        <v>0</v>
      </c>
      <c r="AA507" s="158">
        <f t="shared" si="238"/>
        <v>0</v>
      </c>
      <c r="AB507" s="158">
        <f t="shared" si="238"/>
        <v>0</v>
      </c>
      <c r="AC507" s="158">
        <f t="shared" si="238"/>
        <v>0</v>
      </c>
      <c r="AD507" s="158">
        <f t="shared" si="238"/>
        <v>0</v>
      </c>
      <c r="AE507" s="158">
        <f t="shared" si="238"/>
        <v>0</v>
      </c>
      <c r="AF507" s="158">
        <f t="shared" si="238"/>
        <v>0</v>
      </c>
      <c r="AG507" s="158">
        <f t="shared" si="238"/>
        <v>0</v>
      </c>
      <c r="AH507" s="158">
        <f t="shared" si="238"/>
        <v>0</v>
      </c>
      <c r="AI507" s="158">
        <f t="shared" si="238"/>
        <v>0</v>
      </c>
      <c r="AJ507" s="158">
        <f t="shared" si="238"/>
        <v>0</v>
      </c>
      <c r="AK507" s="158">
        <f t="shared" si="238"/>
        <v>0</v>
      </c>
      <c r="AL507" s="247">
        <f t="shared" ref="AL507:AQ507" si="239">SUM(AL505:AL506)</f>
        <v>1182000000</v>
      </c>
      <c r="AM507" s="247">
        <f t="shared" si="239"/>
        <v>0</v>
      </c>
      <c r="AN507" s="247">
        <f t="shared" si="239"/>
        <v>0</v>
      </c>
      <c r="AO507" s="247">
        <f t="shared" si="239"/>
        <v>0</v>
      </c>
      <c r="AP507" s="247">
        <f t="shared" si="239"/>
        <v>0</v>
      </c>
      <c r="AQ507" s="158">
        <f t="shared" si="239"/>
        <v>1182000000</v>
      </c>
    </row>
    <row r="508" spans="1:43" ht="15" x14ac:dyDescent="0.25">
      <c r="A508" s="20"/>
      <c r="B508" s="468"/>
      <c r="C508" s="471"/>
      <c r="D508" s="419"/>
      <c r="E508" s="471"/>
      <c r="F508" s="471"/>
      <c r="G508" s="419"/>
      <c r="H508" s="471"/>
      <c r="I508" s="419"/>
      <c r="J508" s="472"/>
      <c r="K508" s="472"/>
      <c r="L508" s="472"/>
      <c r="M508" s="418"/>
      <c r="N508" s="419"/>
      <c r="O508" s="471"/>
      <c r="P508" s="106"/>
      <c r="Q508" s="106"/>
      <c r="R508" s="106"/>
      <c r="S508" s="106"/>
      <c r="T508" s="106"/>
      <c r="U508" s="106"/>
      <c r="V508" s="106"/>
      <c r="W508" s="106"/>
      <c r="X508" s="106"/>
      <c r="Y508" s="106"/>
      <c r="Z508" s="106"/>
      <c r="AA508" s="106"/>
      <c r="AB508" s="106"/>
      <c r="AC508" s="106"/>
      <c r="AD508" s="106"/>
      <c r="AE508" s="106"/>
      <c r="AF508" s="106"/>
      <c r="AG508" s="106"/>
      <c r="AH508" s="106"/>
      <c r="AI508" s="106"/>
      <c r="AJ508" s="106"/>
      <c r="AK508" s="106"/>
      <c r="AL508" s="291"/>
      <c r="AM508" s="292"/>
      <c r="AN508" s="106"/>
      <c r="AO508" s="106"/>
      <c r="AP508" s="106"/>
      <c r="AQ508" s="26"/>
    </row>
    <row r="509" spans="1:43" ht="15" x14ac:dyDescent="0.25">
      <c r="A509" s="20"/>
      <c r="B509" s="468"/>
      <c r="C509" s="784"/>
      <c r="D509" s="798"/>
      <c r="E509" s="790"/>
      <c r="F509" s="473"/>
      <c r="G509" s="188">
        <v>63</v>
      </c>
      <c r="H509" s="189" t="s">
        <v>625</v>
      </c>
      <c r="I509" s="189"/>
      <c r="J509" s="189"/>
      <c r="K509" s="189"/>
      <c r="L509" s="189"/>
      <c r="M509" s="659"/>
      <c r="N509" s="189"/>
      <c r="O509" s="189"/>
      <c r="P509" s="189"/>
      <c r="Q509" s="189"/>
      <c r="R509" s="189"/>
      <c r="S509" s="189"/>
      <c r="T509" s="189"/>
      <c r="U509" s="189"/>
      <c r="V509" s="189"/>
      <c r="W509" s="189"/>
      <c r="X509" s="189"/>
      <c r="Y509" s="189"/>
      <c r="Z509" s="189"/>
      <c r="AA509" s="189"/>
      <c r="AB509" s="189"/>
      <c r="AC509" s="189"/>
      <c r="AD509" s="189"/>
      <c r="AE509" s="189"/>
      <c r="AF509" s="189"/>
      <c r="AG509" s="189"/>
      <c r="AH509" s="189"/>
      <c r="AI509" s="189"/>
      <c r="AJ509" s="189"/>
      <c r="AK509" s="189"/>
      <c r="AL509" s="190"/>
      <c r="AM509" s="189"/>
      <c r="AN509" s="189"/>
      <c r="AO509" s="189"/>
      <c r="AP509" s="189"/>
      <c r="AQ509" s="521"/>
    </row>
    <row r="510" spans="1:43" ht="60" customHeight="1" x14ac:dyDescent="0.25">
      <c r="A510" s="20"/>
      <c r="B510" s="468"/>
      <c r="C510" s="469">
        <v>38</v>
      </c>
      <c r="D510" s="6" t="s">
        <v>39</v>
      </c>
      <c r="E510" s="5">
        <v>0</v>
      </c>
      <c r="F510" s="5">
        <v>2</v>
      </c>
      <c r="G510" s="23"/>
      <c r="H510" s="775">
        <v>193</v>
      </c>
      <c r="I510" s="774" t="s">
        <v>626</v>
      </c>
      <c r="J510" s="775">
        <v>1</v>
      </c>
      <c r="K510" s="775">
        <v>1</v>
      </c>
      <c r="L510" s="774" t="s">
        <v>579</v>
      </c>
      <c r="M510" s="37" t="s">
        <v>627</v>
      </c>
      <c r="N510" s="774" t="s">
        <v>628</v>
      </c>
      <c r="O510" s="775" t="s">
        <v>38</v>
      </c>
      <c r="P510" s="26">
        <v>0</v>
      </c>
      <c r="Q510" s="26">
        <v>0</v>
      </c>
      <c r="R510" s="26">
        <v>0</v>
      </c>
      <c r="S510" s="26">
        <v>0</v>
      </c>
      <c r="T510" s="26">
        <v>0</v>
      </c>
      <c r="U510" s="26">
        <v>0</v>
      </c>
      <c r="V510" s="26">
        <v>0</v>
      </c>
      <c r="W510" s="26"/>
      <c r="X510" s="26"/>
      <c r="Y510" s="26"/>
      <c r="Z510" s="26">
        <v>0</v>
      </c>
      <c r="AA510" s="26"/>
      <c r="AB510" s="26">
        <v>0</v>
      </c>
      <c r="AC510" s="26">
        <v>0</v>
      </c>
      <c r="AD510" s="254"/>
      <c r="AE510" s="254"/>
      <c r="AF510" s="254"/>
      <c r="AG510" s="254"/>
      <c r="AH510" s="254"/>
      <c r="AI510" s="254"/>
      <c r="AJ510" s="26">
        <v>0</v>
      </c>
      <c r="AK510" s="26">
        <v>0</v>
      </c>
      <c r="AL510" s="112">
        <f>15000000+60000000</f>
        <v>75000000</v>
      </c>
      <c r="AM510" s="10"/>
      <c r="AN510" s="26">
        <v>0</v>
      </c>
      <c r="AO510" s="293">
        <v>0</v>
      </c>
      <c r="AP510" s="293"/>
      <c r="AQ510" s="26">
        <f>P510+Q510+R510+S510+T510+U510+V510+W510+X510+Y510+Z510+AA510+AB510+AC510+AD510+AE510+AF510+AG510+AH510+AI510+AJ510+AK510+AL510+AM510+AN510+AP510+AO510</f>
        <v>75000000</v>
      </c>
    </row>
    <row r="511" spans="1:43" s="28" customFormat="1" ht="78.75" customHeight="1" x14ac:dyDescent="0.25">
      <c r="A511" s="20"/>
      <c r="B511" s="474"/>
      <c r="C511" s="773">
        <v>38</v>
      </c>
      <c r="D511" s="774" t="s">
        <v>39</v>
      </c>
      <c r="E511" s="775">
        <v>0</v>
      </c>
      <c r="F511" s="775">
        <v>2</v>
      </c>
      <c r="G511" s="30"/>
      <c r="H511" s="775">
        <v>194</v>
      </c>
      <c r="I511" s="774" t="s">
        <v>629</v>
      </c>
      <c r="J511" s="775">
        <v>1</v>
      </c>
      <c r="K511" s="775">
        <v>1</v>
      </c>
      <c r="L511" s="774" t="s">
        <v>579</v>
      </c>
      <c r="M511" s="37" t="s">
        <v>630</v>
      </c>
      <c r="N511" s="774" t="s">
        <v>631</v>
      </c>
      <c r="O511" s="775" t="s">
        <v>38</v>
      </c>
      <c r="P511" s="26">
        <v>0</v>
      </c>
      <c r="Q511" s="26">
        <v>0</v>
      </c>
      <c r="R511" s="26">
        <v>0</v>
      </c>
      <c r="S511" s="26">
        <v>0</v>
      </c>
      <c r="T511" s="26">
        <v>0</v>
      </c>
      <c r="U511" s="26">
        <v>0</v>
      </c>
      <c r="V511" s="26">
        <v>0</v>
      </c>
      <c r="W511" s="26"/>
      <c r="X511" s="26"/>
      <c r="Y511" s="26"/>
      <c r="Z511" s="26">
        <v>0</v>
      </c>
      <c r="AA511" s="26"/>
      <c r="AB511" s="26">
        <v>0</v>
      </c>
      <c r="AC511" s="26">
        <v>0</v>
      </c>
      <c r="AD511" s="26"/>
      <c r="AE511" s="26"/>
      <c r="AF511" s="26"/>
      <c r="AG511" s="26"/>
      <c r="AH511" s="26"/>
      <c r="AI511" s="26"/>
      <c r="AJ511" s="26">
        <v>0</v>
      </c>
      <c r="AK511" s="26">
        <v>0</v>
      </c>
      <c r="AL511" s="112">
        <f>35000000+55000000+10000000</f>
        <v>100000000</v>
      </c>
      <c r="AM511" s="10"/>
      <c r="AN511" s="26">
        <v>0</v>
      </c>
      <c r="AO511" s="27">
        <v>0</v>
      </c>
      <c r="AP511" s="27"/>
      <c r="AQ511" s="26">
        <f>P511+Q511+R511+S511+T511+U511+V511+W511+X511+Y511+Z511+AA511+AB511+AC511+AD511+AE511+AF511+AG511+AH511+AI511+AJ511+AK511+AL511+AM511+AN511+AP511+AO511</f>
        <v>100000000</v>
      </c>
    </row>
    <row r="512" spans="1:43" ht="15" x14ac:dyDescent="0.25">
      <c r="A512" s="20"/>
      <c r="B512" s="468"/>
      <c r="C512" s="469"/>
      <c r="D512" s="153"/>
      <c r="E512" s="579"/>
      <c r="F512" s="579"/>
      <c r="G512" s="154"/>
      <c r="H512" s="155"/>
      <c r="I512" s="154"/>
      <c r="J512" s="155"/>
      <c r="K512" s="155"/>
      <c r="L512" s="155"/>
      <c r="M512" s="157"/>
      <c r="N512" s="154"/>
      <c r="O512" s="155"/>
      <c r="P512" s="158">
        <f>SUM(P510:P511)</f>
        <v>0</v>
      </c>
      <c r="Q512" s="158">
        <f t="shared" ref="Q512:AK512" si="240">SUM(Q510:Q511)</f>
        <v>0</v>
      </c>
      <c r="R512" s="158">
        <f t="shared" si="240"/>
        <v>0</v>
      </c>
      <c r="S512" s="158">
        <f t="shared" si="240"/>
        <v>0</v>
      </c>
      <c r="T512" s="158">
        <f t="shared" si="240"/>
        <v>0</v>
      </c>
      <c r="U512" s="158">
        <f t="shared" si="240"/>
        <v>0</v>
      </c>
      <c r="V512" s="158">
        <f t="shared" si="240"/>
        <v>0</v>
      </c>
      <c r="W512" s="158">
        <f t="shared" si="240"/>
        <v>0</v>
      </c>
      <c r="X512" s="158">
        <f t="shared" si="240"/>
        <v>0</v>
      </c>
      <c r="Y512" s="158">
        <f t="shared" si="240"/>
        <v>0</v>
      </c>
      <c r="Z512" s="158">
        <f t="shared" si="240"/>
        <v>0</v>
      </c>
      <c r="AA512" s="158">
        <f t="shared" si="240"/>
        <v>0</v>
      </c>
      <c r="AB512" s="158">
        <f t="shared" si="240"/>
        <v>0</v>
      </c>
      <c r="AC512" s="158">
        <f t="shared" si="240"/>
        <v>0</v>
      </c>
      <c r="AD512" s="158">
        <f t="shared" si="240"/>
        <v>0</v>
      </c>
      <c r="AE512" s="158">
        <f t="shared" si="240"/>
        <v>0</v>
      </c>
      <c r="AF512" s="158">
        <f t="shared" si="240"/>
        <v>0</v>
      </c>
      <c r="AG512" s="158">
        <f t="shared" si="240"/>
        <v>0</v>
      </c>
      <c r="AH512" s="158">
        <f t="shared" si="240"/>
        <v>0</v>
      </c>
      <c r="AI512" s="158">
        <f t="shared" si="240"/>
        <v>0</v>
      </c>
      <c r="AJ512" s="158">
        <f t="shared" si="240"/>
        <v>0</v>
      </c>
      <c r="AK512" s="158">
        <f t="shared" si="240"/>
        <v>0</v>
      </c>
      <c r="AL512" s="158">
        <f t="shared" ref="AL512:AP512" si="241">SUM(AL510:AL511)</f>
        <v>175000000</v>
      </c>
      <c r="AM512" s="158">
        <f t="shared" si="241"/>
        <v>0</v>
      </c>
      <c r="AN512" s="158">
        <f t="shared" si="241"/>
        <v>0</v>
      </c>
      <c r="AO512" s="158">
        <f t="shared" si="241"/>
        <v>0</v>
      </c>
      <c r="AP512" s="158">
        <f t="shared" si="241"/>
        <v>0</v>
      </c>
      <c r="AQ512" s="158">
        <f>SUM(AQ510:AQ511)</f>
        <v>175000000</v>
      </c>
    </row>
    <row r="513" spans="1:43" s="28" customFormat="1" ht="15" x14ac:dyDescent="0.25">
      <c r="A513" s="20"/>
      <c r="B513" s="468"/>
      <c r="C513" s="471"/>
      <c r="D513" s="419"/>
      <c r="E513" s="471"/>
      <c r="F513" s="471"/>
      <c r="G513" s="419"/>
      <c r="H513" s="471"/>
      <c r="I513" s="419"/>
      <c r="J513" s="472"/>
      <c r="K513" s="472"/>
      <c r="L513" s="472"/>
      <c r="M513" s="418"/>
      <c r="N513" s="419"/>
      <c r="O513" s="471"/>
      <c r="P513" s="106"/>
      <c r="Q513" s="106"/>
      <c r="R513" s="106"/>
      <c r="S513" s="106"/>
      <c r="T513" s="106"/>
      <c r="U513" s="106"/>
      <c r="V513" s="106"/>
      <c r="W513" s="106"/>
      <c r="X513" s="106"/>
      <c r="Y513" s="106"/>
      <c r="Z513" s="106"/>
      <c r="AA513" s="106"/>
      <c r="AB513" s="106"/>
      <c r="AC513" s="106"/>
      <c r="AD513" s="106"/>
      <c r="AE513" s="106"/>
      <c r="AF513" s="106"/>
      <c r="AG513" s="106"/>
      <c r="AH513" s="106"/>
      <c r="AI513" s="106"/>
      <c r="AJ513" s="106"/>
      <c r="AK513" s="106"/>
      <c r="AL513" s="291"/>
      <c r="AM513" s="292"/>
      <c r="AN513" s="106"/>
      <c r="AO513" s="106"/>
      <c r="AP513" s="106"/>
      <c r="AQ513" s="26"/>
    </row>
    <row r="514" spans="1:43" s="28" customFormat="1" ht="15" x14ac:dyDescent="0.25">
      <c r="A514" s="20"/>
      <c r="B514" s="468"/>
      <c r="C514" s="784"/>
      <c r="D514" s="798"/>
      <c r="E514" s="790"/>
      <c r="F514" s="473"/>
      <c r="G514" s="188">
        <v>64</v>
      </c>
      <c r="H514" s="189" t="s">
        <v>632</v>
      </c>
      <c r="I514" s="189"/>
      <c r="J514" s="189"/>
      <c r="K514" s="189"/>
      <c r="L514" s="189"/>
      <c r="M514" s="659"/>
      <c r="N514" s="189"/>
      <c r="O514" s="189"/>
      <c r="P514" s="189"/>
      <c r="Q514" s="189"/>
      <c r="R514" s="189"/>
      <c r="S514" s="189"/>
      <c r="T514" s="189"/>
      <c r="U514" s="189"/>
      <c r="V514" s="189"/>
      <c r="W514" s="189"/>
      <c r="X514" s="189"/>
      <c r="Y514" s="189"/>
      <c r="Z514" s="189"/>
      <c r="AA514" s="189"/>
      <c r="AB514" s="189"/>
      <c r="AC514" s="189"/>
      <c r="AD514" s="189"/>
      <c r="AE514" s="189"/>
      <c r="AF514" s="189"/>
      <c r="AG514" s="189"/>
      <c r="AH514" s="189"/>
      <c r="AI514" s="189"/>
      <c r="AJ514" s="189"/>
      <c r="AK514" s="189"/>
      <c r="AL514" s="190"/>
      <c r="AM514" s="189"/>
      <c r="AN514" s="189"/>
      <c r="AO514" s="189"/>
      <c r="AP514" s="189"/>
      <c r="AQ514" s="521"/>
    </row>
    <row r="515" spans="1:43" s="28" customFormat="1" ht="123" customHeight="1" x14ac:dyDescent="0.25">
      <c r="A515" s="20"/>
      <c r="B515" s="474"/>
      <c r="C515" s="775">
        <v>37</v>
      </c>
      <c r="D515" s="774" t="s">
        <v>633</v>
      </c>
      <c r="E515" s="481" t="s">
        <v>634</v>
      </c>
      <c r="F515" s="482">
        <v>0.6</v>
      </c>
      <c r="G515" s="30"/>
      <c r="H515" s="775">
        <v>195</v>
      </c>
      <c r="I515" s="774" t="s">
        <v>635</v>
      </c>
      <c r="J515" s="775">
        <v>0</v>
      </c>
      <c r="K515" s="775">
        <v>1</v>
      </c>
      <c r="L515" s="774" t="s">
        <v>579</v>
      </c>
      <c r="M515" s="37" t="s">
        <v>636</v>
      </c>
      <c r="N515" s="774" t="s">
        <v>637</v>
      </c>
      <c r="O515" s="775" t="s">
        <v>38</v>
      </c>
      <c r="P515" s="26"/>
      <c r="Q515" s="26"/>
      <c r="R515" s="26"/>
      <c r="S515" s="26"/>
      <c r="T515" s="26"/>
      <c r="U515" s="26"/>
      <c r="V515" s="26"/>
      <c r="W515" s="26"/>
      <c r="X515" s="26"/>
      <c r="Y515" s="26"/>
      <c r="Z515" s="26"/>
      <c r="AA515" s="26"/>
      <c r="AB515" s="26"/>
      <c r="AC515" s="26"/>
      <c r="AD515" s="26"/>
      <c r="AE515" s="26"/>
      <c r="AF515" s="26"/>
      <c r="AG515" s="26"/>
      <c r="AH515" s="26"/>
      <c r="AI515" s="26"/>
      <c r="AJ515" s="26"/>
      <c r="AK515" s="26"/>
      <c r="AL515" s="112">
        <f>60000000+40000000</f>
        <v>100000000</v>
      </c>
      <c r="AM515" s="10"/>
      <c r="AN515" s="26"/>
      <c r="AO515" s="27"/>
      <c r="AP515" s="27"/>
      <c r="AQ515" s="26">
        <f>P515+Q515+R515+S515+T515+U515+V515+W515+X515+Y515+Z515+AA515+AB515+AC515+AD515+AE515+AF515+AG515+AH515+AI515+AJ515+AK515+AL515+AM515+AN515+AP515+AO515</f>
        <v>100000000</v>
      </c>
    </row>
    <row r="516" spans="1:43" ht="15" x14ac:dyDescent="0.25">
      <c r="A516" s="20"/>
      <c r="B516" s="468"/>
      <c r="C516" s="469"/>
      <c r="D516" s="153"/>
      <c r="E516" s="579"/>
      <c r="F516" s="579"/>
      <c r="G516" s="154"/>
      <c r="H516" s="155"/>
      <c r="I516" s="154"/>
      <c r="J516" s="155"/>
      <c r="K516" s="155"/>
      <c r="L516" s="155"/>
      <c r="M516" s="157"/>
      <c r="N516" s="154"/>
      <c r="O516" s="155"/>
      <c r="P516" s="158">
        <f>SUM(P515:P515)</f>
        <v>0</v>
      </c>
      <c r="Q516" s="158">
        <f t="shared" ref="Q516:AK516" si="242">SUM(Q515:Q515)</f>
        <v>0</v>
      </c>
      <c r="R516" s="158">
        <f t="shared" si="242"/>
        <v>0</v>
      </c>
      <c r="S516" s="158">
        <f t="shared" si="242"/>
        <v>0</v>
      </c>
      <c r="T516" s="158">
        <f t="shared" si="242"/>
        <v>0</v>
      </c>
      <c r="U516" s="158">
        <f t="shared" si="242"/>
        <v>0</v>
      </c>
      <c r="V516" s="158">
        <f t="shared" si="242"/>
        <v>0</v>
      </c>
      <c r="W516" s="158">
        <f t="shared" si="242"/>
        <v>0</v>
      </c>
      <c r="X516" s="158">
        <f t="shared" si="242"/>
        <v>0</v>
      </c>
      <c r="Y516" s="158">
        <f t="shared" si="242"/>
        <v>0</v>
      </c>
      <c r="Z516" s="158">
        <f t="shared" si="242"/>
        <v>0</v>
      </c>
      <c r="AA516" s="158">
        <f t="shared" si="242"/>
        <v>0</v>
      </c>
      <c r="AB516" s="158">
        <f t="shared" si="242"/>
        <v>0</v>
      </c>
      <c r="AC516" s="158">
        <f t="shared" si="242"/>
        <v>0</v>
      </c>
      <c r="AD516" s="158">
        <f t="shared" si="242"/>
        <v>0</v>
      </c>
      <c r="AE516" s="158">
        <f t="shared" si="242"/>
        <v>0</v>
      </c>
      <c r="AF516" s="158">
        <f t="shared" si="242"/>
        <v>0</v>
      </c>
      <c r="AG516" s="158">
        <f t="shared" si="242"/>
        <v>0</v>
      </c>
      <c r="AH516" s="158">
        <f t="shared" si="242"/>
        <v>0</v>
      </c>
      <c r="AI516" s="158">
        <f t="shared" si="242"/>
        <v>0</v>
      </c>
      <c r="AJ516" s="158">
        <f t="shared" si="242"/>
        <v>0</v>
      </c>
      <c r="AK516" s="158">
        <f t="shared" si="242"/>
        <v>0</v>
      </c>
      <c r="AL516" s="158">
        <f t="shared" ref="AL516:AP516" si="243">SUM(AL515:AL515)</f>
        <v>100000000</v>
      </c>
      <c r="AM516" s="158">
        <f t="shared" si="243"/>
        <v>0</v>
      </c>
      <c r="AN516" s="158">
        <f t="shared" si="243"/>
        <v>0</v>
      </c>
      <c r="AO516" s="158">
        <f t="shared" si="243"/>
        <v>0</v>
      </c>
      <c r="AP516" s="158">
        <f t="shared" si="243"/>
        <v>0</v>
      </c>
      <c r="AQ516" s="158">
        <f>SUM(AQ515:AQ515)</f>
        <v>100000000</v>
      </c>
    </row>
    <row r="517" spans="1:43" ht="15" x14ac:dyDescent="0.25">
      <c r="A517" s="20"/>
      <c r="B517" s="468"/>
      <c r="C517" s="471"/>
      <c r="D517" s="419"/>
      <c r="E517" s="471"/>
      <c r="F517" s="471"/>
      <c r="G517" s="419"/>
      <c r="H517" s="471"/>
      <c r="I517" s="419"/>
      <c r="J517" s="472"/>
      <c r="K517" s="472"/>
      <c r="L517" s="472"/>
      <c r="M517" s="418"/>
      <c r="N517" s="419"/>
      <c r="O517" s="471"/>
      <c r="P517" s="106"/>
      <c r="Q517" s="106"/>
      <c r="R517" s="106"/>
      <c r="S517" s="106"/>
      <c r="T517" s="106"/>
      <c r="U517" s="106"/>
      <c r="V517" s="106"/>
      <c r="W517" s="106"/>
      <c r="X517" s="106"/>
      <c r="Y517" s="106"/>
      <c r="Z517" s="106"/>
      <c r="AA517" s="106"/>
      <c r="AB517" s="106"/>
      <c r="AC517" s="106"/>
      <c r="AD517" s="106"/>
      <c r="AE517" s="106"/>
      <c r="AF517" s="106"/>
      <c r="AG517" s="106"/>
      <c r="AH517" s="106"/>
      <c r="AI517" s="106"/>
      <c r="AJ517" s="106"/>
      <c r="AK517" s="106"/>
      <c r="AL517" s="291"/>
      <c r="AM517" s="292"/>
      <c r="AN517" s="106"/>
      <c r="AO517" s="106"/>
      <c r="AP517" s="106"/>
      <c r="AQ517" s="26"/>
    </row>
    <row r="518" spans="1:43" ht="15" x14ac:dyDescent="0.25">
      <c r="A518" s="20"/>
      <c r="B518" s="468"/>
      <c r="C518" s="784"/>
      <c r="D518" s="798"/>
      <c r="E518" s="790"/>
      <c r="F518" s="790"/>
      <c r="G518" s="344">
        <v>65</v>
      </c>
      <c r="H518" s="189" t="s">
        <v>638</v>
      </c>
      <c r="I518" s="189"/>
      <c r="J518" s="189"/>
      <c r="K518" s="189"/>
      <c r="L518" s="189"/>
      <c r="M518" s="659"/>
      <c r="N518" s="189"/>
      <c r="O518" s="189"/>
      <c r="P518" s="189"/>
      <c r="Q518" s="189"/>
      <c r="R518" s="189"/>
      <c r="S518" s="189"/>
      <c r="T518" s="189"/>
      <c r="U518" s="189"/>
      <c r="V518" s="189"/>
      <c r="W518" s="189"/>
      <c r="X518" s="189"/>
      <c r="Y518" s="189"/>
      <c r="Z518" s="189"/>
      <c r="AA518" s="189"/>
      <c r="AB518" s="189"/>
      <c r="AC518" s="189"/>
      <c r="AD518" s="189"/>
      <c r="AE518" s="189"/>
      <c r="AF518" s="189"/>
      <c r="AG518" s="189"/>
      <c r="AH518" s="189"/>
      <c r="AI518" s="189"/>
      <c r="AJ518" s="189"/>
      <c r="AK518" s="189"/>
      <c r="AL518" s="190"/>
      <c r="AM518" s="189"/>
      <c r="AN518" s="189"/>
      <c r="AO518" s="189"/>
      <c r="AP518" s="189"/>
      <c r="AQ518" s="521"/>
    </row>
    <row r="519" spans="1:43" s="28" customFormat="1" ht="60" customHeight="1" x14ac:dyDescent="0.25">
      <c r="A519" s="20"/>
      <c r="B519" s="474"/>
      <c r="C519" s="773" t="s">
        <v>639</v>
      </c>
      <c r="D519" s="54" t="s">
        <v>899</v>
      </c>
      <c r="E519" s="478" t="s">
        <v>640</v>
      </c>
      <c r="F519" s="483" t="s">
        <v>641</v>
      </c>
      <c r="G519" s="35"/>
      <c r="H519" s="775">
        <v>196</v>
      </c>
      <c r="I519" s="774" t="s">
        <v>642</v>
      </c>
      <c r="J519" s="775">
        <v>0</v>
      </c>
      <c r="K519" s="775">
        <v>1</v>
      </c>
      <c r="L519" s="774" t="s">
        <v>579</v>
      </c>
      <c r="M519" s="37" t="s">
        <v>643</v>
      </c>
      <c r="N519" s="774" t="s">
        <v>644</v>
      </c>
      <c r="O519" s="775" t="s">
        <v>38</v>
      </c>
      <c r="P519" s="26">
        <v>0</v>
      </c>
      <c r="Q519" s="26">
        <v>0</v>
      </c>
      <c r="R519" s="26">
        <v>0</v>
      </c>
      <c r="S519" s="26">
        <v>0</v>
      </c>
      <c r="T519" s="26">
        <v>0</v>
      </c>
      <c r="U519" s="26">
        <v>0</v>
      </c>
      <c r="V519" s="26">
        <v>0</v>
      </c>
      <c r="W519" s="26"/>
      <c r="X519" s="26"/>
      <c r="Y519" s="26"/>
      <c r="Z519" s="26">
        <v>0</v>
      </c>
      <c r="AA519" s="26"/>
      <c r="AB519" s="26">
        <v>0</v>
      </c>
      <c r="AC519" s="26">
        <v>0</v>
      </c>
      <c r="AD519" s="26"/>
      <c r="AE519" s="26"/>
      <c r="AF519" s="26"/>
      <c r="AG519" s="26"/>
      <c r="AH519" s="26"/>
      <c r="AI519" s="26"/>
      <c r="AJ519" s="26">
        <v>0</v>
      </c>
      <c r="AK519" s="26">
        <v>0</v>
      </c>
      <c r="AL519" s="110">
        <f>21000000+49000000+20000000</f>
        <v>90000000</v>
      </c>
      <c r="AM519" s="14"/>
      <c r="AN519" s="26">
        <v>0</v>
      </c>
      <c r="AO519" s="27">
        <v>0</v>
      </c>
      <c r="AP519" s="27"/>
      <c r="AQ519" s="26">
        <f>P519+Q519+R519+S519+T519+U519+V519+W519+X519+Y519+Z519+AA519+AB519+AC519+AD519+AE519+AF519+AG519+AH519+AI519+AJ519+AK519+AL519+AM519+AN519+AP519+AO519</f>
        <v>90000000</v>
      </c>
    </row>
    <row r="520" spans="1:43" ht="15" x14ac:dyDescent="0.25">
      <c r="A520" s="20"/>
      <c r="B520" s="468"/>
      <c r="C520" s="785"/>
      <c r="D520" s="799"/>
      <c r="E520" s="791"/>
      <c r="F520" s="791"/>
      <c r="G520" s="409"/>
      <c r="H520" s="155"/>
      <c r="I520" s="154"/>
      <c r="J520" s="155"/>
      <c r="K520" s="155"/>
      <c r="L520" s="155"/>
      <c r="M520" s="157"/>
      <c r="N520" s="154"/>
      <c r="O520" s="155"/>
      <c r="P520" s="158">
        <f>SUM(P519)</f>
        <v>0</v>
      </c>
      <c r="Q520" s="158">
        <f t="shared" ref="Q520:AK520" si="244">SUM(Q519)</f>
        <v>0</v>
      </c>
      <c r="R520" s="158">
        <f t="shared" si="244"/>
        <v>0</v>
      </c>
      <c r="S520" s="158">
        <f t="shared" si="244"/>
        <v>0</v>
      </c>
      <c r="T520" s="158">
        <f t="shared" si="244"/>
        <v>0</v>
      </c>
      <c r="U520" s="158">
        <f t="shared" si="244"/>
        <v>0</v>
      </c>
      <c r="V520" s="158">
        <f t="shared" si="244"/>
        <v>0</v>
      </c>
      <c r="W520" s="158">
        <f t="shared" si="244"/>
        <v>0</v>
      </c>
      <c r="X520" s="158">
        <f t="shared" si="244"/>
        <v>0</v>
      </c>
      <c r="Y520" s="158">
        <f t="shared" si="244"/>
        <v>0</v>
      </c>
      <c r="Z520" s="158">
        <f t="shared" si="244"/>
        <v>0</v>
      </c>
      <c r="AA520" s="158">
        <f t="shared" si="244"/>
        <v>0</v>
      </c>
      <c r="AB520" s="158">
        <f t="shared" si="244"/>
        <v>0</v>
      </c>
      <c r="AC520" s="158">
        <f t="shared" si="244"/>
        <v>0</v>
      </c>
      <c r="AD520" s="158">
        <f t="shared" si="244"/>
        <v>0</v>
      </c>
      <c r="AE520" s="158">
        <f t="shared" si="244"/>
        <v>0</v>
      </c>
      <c r="AF520" s="158">
        <f t="shared" si="244"/>
        <v>0</v>
      </c>
      <c r="AG520" s="158">
        <f t="shared" si="244"/>
        <v>0</v>
      </c>
      <c r="AH520" s="158">
        <f t="shared" si="244"/>
        <v>0</v>
      </c>
      <c r="AI520" s="158">
        <f t="shared" si="244"/>
        <v>0</v>
      </c>
      <c r="AJ520" s="158">
        <f t="shared" si="244"/>
        <v>0</v>
      </c>
      <c r="AK520" s="158">
        <f t="shared" si="244"/>
        <v>0</v>
      </c>
      <c r="AL520" s="158">
        <f t="shared" ref="AL520:AP520" si="245">SUM(AL519)</f>
        <v>90000000</v>
      </c>
      <c r="AM520" s="158">
        <f t="shared" si="245"/>
        <v>0</v>
      </c>
      <c r="AN520" s="158">
        <f t="shared" si="245"/>
        <v>0</v>
      </c>
      <c r="AO520" s="158">
        <f t="shared" si="245"/>
        <v>0</v>
      </c>
      <c r="AP520" s="158">
        <f t="shared" si="245"/>
        <v>0</v>
      </c>
      <c r="AQ520" s="158">
        <f>SUM(AQ519)</f>
        <v>90000000</v>
      </c>
    </row>
    <row r="521" spans="1:43" ht="21" customHeight="1" x14ac:dyDescent="0.25">
      <c r="A521" s="20"/>
      <c r="B521" s="468"/>
      <c r="C521" s="471"/>
      <c r="D521" s="419"/>
      <c r="E521" s="471"/>
      <c r="F521" s="471"/>
      <c r="G521" s="419"/>
      <c r="H521" s="471"/>
      <c r="I521" s="419"/>
      <c r="J521" s="472"/>
      <c r="K521" s="472"/>
      <c r="L521" s="472"/>
      <c r="M521" s="418"/>
      <c r="N521" s="419"/>
      <c r="O521" s="471"/>
      <c r="P521" s="106"/>
      <c r="Q521" s="106"/>
      <c r="R521" s="106"/>
      <c r="S521" s="106"/>
      <c r="T521" s="106"/>
      <c r="U521" s="106"/>
      <c r="V521" s="106"/>
      <c r="W521" s="106"/>
      <c r="X521" s="106"/>
      <c r="Y521" s="106"/>
      <c r="Z521" s="106"/>
      <c r="AA521" s="106"/>
      <c r="AB521" s="106"/>
      <c r="AC521" s="106"/>
      <c r="AD521" s="106"/>
      <c r="AE521" s="106"/>
      <c r="AF521" s="106"/>
      <c r="AG521" s="106"/>
      <c r="AH521" s="106"/>
      <c r="AI521" s="106"/>
      <c r="AJ521" s="106"/>
      <c r="AK521" s="106"/>
      <c r="AL521" s="291"/>
      <c r="AM521" s="292"/>
      <c r="AN521" s="106"/>
      <c r="AO521" s="106"/>
      <c r="AP521" s="106"/>
      <c r="AQ521" s="26"/>
    </row>
    <row r="522" spans="1:43" ht="15" x14ac:dyDescent="0.25">
      <c r="A522" s="20"/>
      <c r="B522" s="468"/>
      <c r="C522" s="784"/>
      <c r="D522" s="798"/>
      <c r="E522" s="790"/>
      <c r="F522" s="473"/>
      <c r="G522" s="188">
        <v>66</v>
      </c>
      <c r="H522" s="189" t="s">
        <v>645</v>
      </c>
      <c r="I522" s="189"/>
      <c r="J522" s="189"/>
      <c r="K522" s="189"/>
      <c r="L522" s="189"/>
      <c r="M522" s="659"/>
      <c r="N522" s="189"/>
      <c r="O522" s="189"/>
      <c r="P522" s="189"/>
      <c r="Q522" s="189"/>
      <c r="R522" s="189"/>
      <c r="S522" s="189"/>
      <c r="T522" s="189"/>
      <c r="U522" s="189"/>
      <c r="V522" s="189"/>
      <c r="W522" s="189"/>
      <c r="X522" s="189"/>
      <c r="Y522" s="189"/>
      <c r="Z522" s="189"/>
      <c r="AA522" s="189"/>
      <c r="AB522" s="189"/>
      <c r="AC522" s="189"/>
      <c r="AD522" s="189"/>
      <c r="AE522" s="189"/>
      <c r="AF522" s="189"/>
      <c r="AG522" s="189"/>
      <c r="AH522" s="189"/>
      <c r="AI522" s="189"/>
      <c r="AJ522" s="189"/>
      <c r="AK522" s="189"/>
      <c r="AL522" s="190"/>
      <c r="AM522" s="189"/>
      <c r="AN522" s="189"/>
      <c r="AO522" s="189"/>
      <c r="AP522" s="189"/>
      <c r="AQ522" s="521"/>
    </row>
    <row r="523" spans="1:43" s="28" customFormat="1" ht="60" customHeight="1" x14ac:dyDescent="0.25">
      <c r="A523" s="20"/>
      <c r="B523" s="474"/>
      <c r="C523" s="773">
        <v>21</v>
      </c>
      <c r="D523" s="54" t="s">
        <v>900</v>
      </c>
      <c r="E523" s="478" t="s">
        <v>646</v>
      </c>
      <c r="F523" s="483">
        <v>0.27</v>
      </c>
      <c r="G523" s="30"/>
      <c r="H523" s="773">
        <v>197</v>
      </c>
      <c r="I523" s="774" t="s">
        <v>647</v>
      </c>
      <c r="J523" s="775">
        <v>1</v>
      </c>
      <c r="K523" s="775">
        <v>1</v>
      </c>
      <c r="L523" s="774" t="s">
        <v>579</v>
      </c>
      <c r="M523" s="37" t="s">
        <v>648</v>
      </c>
      <c r="N523" s="774" t="s">
        <v>649</v>
      </c>
      <c r="O523" s="775" t="s">
        <v>38</v>
      </c>
      <c r="P523" s="26"/>
      <c r="Q523" s="26"/>
      <c r="R523" s="26"/>
      <c r="S523" s="26"/>
      <c r="T523" s="26"/>
      <c r="U523" s="26"/>
      <c r="V523" s="26"/>
      <c r="W523" s="26"/>
      <c r="X523" s="26"/>
      <c r="Y523" s="26"/>
      <c r="Z523" s="26"/>
      <c r="AA523" s="26"/>
      <c r="AB523" s="26"/>
      <c r="AC523" s="26"/>
      <c r="AD523" s="26"/>
      <c r="AE523" s="26"/>
      <c r="AF523" s="26"/>
      <c r="AG523" s="26"/>
      <c r="AH523" s="26"/>
      <c r="AI523" s="26"/>
      <c r="AJ523" s="26"/>
      <c r="AK523" s="26"/>
      <c r="AL523" s="110">
        <f>42000000+40000000</f>
        <v>82000000</v>
      </c>
      <c r="AM523" s="38"/>
      <c r="AN523" s="26"/>
      <c r="AO523" s="27"/>
      <c r="AP523" s="27"/>
      <c r="AQ523" s="26">
        <f>P523+Q523+R523+S523+T523+U523+V523+W523+X523+Y523+Z523+AA523+AB523+AC523+AD523+AE523+AF523+AG523+AH523+AI523+AJ523+AK523+AL523+AM523+AN523+AP523+AO523</f>
        <v>82000000</v>
      </c>
    </row>
    <row r="524" spans="1:43" ht="15" x14ac:dyDescent="0.25">
      <c r="A524" s="20"/>
      <c r="B524" s="479"/>
      <c r="C524" s="469"/>
      <c r="D524" s="153"/>
      <c r="E524" s="579"/>
      <c r="F524" s="579"/>
      <c r="G524" s="154"/>
      <c r="H524" s="155"/>
      <c r="I524" s="154"/>
      <c r="J524" s="155"/>
      <c r="K524" s="155"/>
      <c r="L524" s="155"/>
      <c r="M524" s="157"/>
      <c r="N524" s="154"/>
      <c r="O524" s="155"/>
      <c r="P524" s="158">
        <f>SUM(P523:P523)</f>
        <v>0</v>
      </c>
      <c r="Q524" s="158">
        <f t="shared" ref="Q524:AK524" si="246">SUM(Q523:Q523)</f>
        <v>0</v>
      </c>
      <c r="R524" s="158">
        <f t="shared" si="246"/>
        <v>0</v>
      </c>
      <c r="S524" s="158">
        <f t="shared" si="246"/>
        <v>0</v>
      </c>
      <c r="T524" s="158">
        <f t="shared" si="246"/>
        <v>0</v>
      </c>
      <c r="U524" s="158">
        <f t="shared" si="246"/>
        <v>0</v>
      </c>
      <c r="V524" s="158">
        <f t="shared" si="246"/>
        <v>0</v>
      </c>
      <c r="W524" s="158">
        <f t="shared" si="246"/>
        <v>0</v>
      </c>
      <c r="X524" s="158">
        <f t="shared" si="246"/>
        <v>0</v>
      </c>
      <c r="Y524" s="158">
        <f t="shared" si="246"/>
        <v>0</v>
      </c>
      <c r="Z524" s="158">
        <f t="shared" si="246"/>
        <v>0</v>
      </c>
      <c r="AA524" s="158">
        <f t="shared" si="246"/>
        <v>0</v>
      </c>
      <c r="AB524" s="158">
        <f t="shared" si="246"/>
        <v>0</v>
      </c>
      <c r="AC524" s="158">
        <f t="shared" si="246"/>
        <v>0</v>
      </c>
      <c r="AD524" s="158">
        <f t="shared" si="246"/>
        <v>0</v>
      </c>
      <c r="AE524" s="158">
        <f t="shared" si="246"/>
        <v>0</v>
      </c>
      <c r="AF524" s="158">
        <f t="shared" si="246"/>
        <v>0</v>
      </c>
      <c r="AG524" s="158">
        <f t="shared" si="246"/>
        <v>0</v>
      </c>
      <c r="AH524" s="158">
        <f t="shared" si="246"/>
        <v>0</v>
      </c>
      <c r="AI524" s="158">
        <f t="shared" si="246"/>
        <v>0</v>
      </c>
      <c r="AJ524" s="158">
        <f t="shared" si="246"/>
        <v>0</v>
      </c>
      <c r="AK524" s="158">
        <f t="shared" si="246"/>
        <v>0</v>
      </c>
      <c r="AL524" s="158">
        <f t="shared" ref="AL524:AP524" si="247">SUM(AL523:AL523)</f>
        <v>82000000</v>
      </c>
      <c r="AM524" s="158">
        <f t="shared" si="247"/>
        <v>0</v>
      </c>
      <c r="AN524" s="158">
        <f t="shared" si="247"/>
        <v>0</v>
      </c>
      <c r="AO524" s="158">
        <f t="shared" si="247"/>
        <v>0</v>
      </c>
      <c r="AP524" s="158">
        <f t="shared" si="247"/>
        <v>0</v>
      </c>
      <c r="AQ524" s="158">
        <f>SUM(AQ523:AQ523)</f>
        <v>82000000</v>
      </c>
    </row>
    <row r="525" spans="1:43" ht="15" x14ac:dyDescent="0.25">
      <c r="A525" s="20"/>
      <c r="B525" s="218"/>
      <c r="C525" s="162"/>
      <c r="D525" s="161"/>
      <c r="E525" s="162"/>
      <c r="F525" s="162"/>
      <c r="G525" s="161"/>
      <c r="H525" s="162"/>
      <c r="I525" s="161"/>
      <c r="J525" s="162"/>
      <c r="K525" s="162"/>
      <c r="L525" s="162"/>
      <c r="M525" s="164"/>
      <c r="N525" s="161"/>
      <c r="O525" s="162"/>
      <c r="P525" s="165">
        <f>P524+P520+P516+P512+P507</f>
        <v>0</v>
      </c>
      <c r="Q525" s="165">
        <f t="shared" ref="Q525:AK525" si="248">Q524+Q520+Q516+Q512+Q507</f>
        <v>0</v>
      </c>
      <c r="R525" s="165">
        <f t="shared" si="248"/>
        <v>0</v>
      </c>
      <c r="S525" s="165">
        <f t="shared" si="248"/>
        <v>0</v>
      </c>
      <c r="T525" s="165">
        <f t="shared" si="248"/>
        <v>0</v>
      </c>
      <c r="U525" s="165">
        <f t="shared" si="248"/>
        <v>0</v>
      </c>
      <c r="V525" s="165">
        <f t="shared" si="248"/>
        <v>0</v>
      </c>
      <c r="W525" s="165">
        <f t="shared" si="248"/>
        <v>0</v>
      </c>
      <c r="X525" s="165">
        <f t="shared" si="248"/>
        <v>0</v>
      </c>
      <c r="Y525" s="165">
        <f t="shared" si="248"/>
        <v>0</v>
      </c>
      <c r="Z525" s="165">
        <f t="shared" si="248"/>
        <v>0</v>
      </c>
      <c r="AA525" s="165">
        <f t="shared" si="248"/>
        <v>0</v>
      </c>
      <c r="AB525" s="165">
        <f t="shared" si="248"/>
        <v>0</v>
      </c>
      <c r="AC525" s="165">
        <f t="shared" si="248"/>
        <v>0</v>
      </c>
      <c r="AD525" s="165">
        <f t="shared" si="248"/>
        <v>0</v>
      </c>
      <c r="AE525" s="165">
        <f t="shared" si="248"/>
        <v>0</v>
      </c>
      <c r="AF525" s="165">
        <f t="shared" si="248"/>
        <v>0</v>
      </c>
      <c r="AG525" s="165">
        <f t="shared" si="248"/>
        <v>0</v>
      </c>
      <c r="AH525" s="165">
        <f t="shared" si="248"/>
        <v>0</v>
      </c>
      <c r="AI525" s="165">
        <f t="shared" si="248"/>
        <v>0</v>
      </c>
      <c r="AJ525" s="165">
        <f t="shared" si="248"/>
        <v>0</v>
      </c>
      <c r="AK525" s="165">
        <f t="shared" si="248"/>
        <v>0</v>
      </c>
      <c r="AL525" s="165">
        <f t="shared" ref="AL525:AP525" si="249">AL524+AL520+AL516+AL512+AL507</f>
        <v>1629000000</v>
      </c>
      <c r="AM525" s="165">
        <f t="shared" si="249"/>
        <v>0</v>
      </c>
      <c r="AN525" s="165">
        <f t="shared" si="249"/>
        <v>0</v>
      </c>
      <c r="AO525" s="165">
        <f t="shared" si="249"/>
        <v>0</v>
      </c>
      <c r="AP525" s="165">
        <f t="shared" si="249"/>
        <v>0</v>
      </c>
      <c r="AQ525" s="165">
        <f>AQ524+AQ520+AQ516+AQ512+AQ507</f>
        <v>1629000000</v>
      </c>
    </row>
    <row r="526" spans="1:43" ht="15" x14ac:dyDescent="0.25">
      <c r="A526" s="20"/>
      <c r="B526" s="465"/>
      <c r="C526" s="466"/>
      <c r="D526" s="177"/>
      <c r="E526" s="795"/>
      <c r="F526" s="795"/>
      <c r="G526" s="177"/>
      <c r="H526" s="795"/>
      <c r="I526" s="177"/>
      <c r="J526" s="795"/>
      <c r="K526" s="795"/>
      <c r="L526" s="795"/>
      <c r="M526" s="179"/>
      <c r="N526" s="177"/>
      <c r="O526" s="795"/>
      <c r="P526" s="180"/>
      <c r="Q526" s="180"/>
      <c r="R526" s="180"/>
      <c r="S526" s="180"/>
      <c r="T526" s="180"/>
      <c r="U526" s="180"/>
      <c r="V526" s="180"/>
      <c r="W526" s="180"/>
      <c r="X526" s="180"/>
      <c r="Y526" s="180"/>
      <c r="Z526" s="180"/>
      <c r="AA526" s="180"/>
      <c r="AB526" s="180"/>
      <c r="AC526" s="180"/>
      <c r="AD526" s="180"/>
      <c r="AE526" s="180"/>
      <c r="AF526" s="180"/>
      <c r="AG526" s="180"/>
      <c r="AH526" s="180"/>
      <c r="AI526" s="180"/>
      <c r="AJ526" s="180"/>
      <c r="AK526" s="180"/>
      <c r="AL526" s="182"/>
      <c r="AM526" s="183"/>
      <c r="AN526" s="180"/>
      <c r="AO526" s="180"/>
      <c r="AP526" s="180"/>
      <c r="AQ526" s="26"/>
    </row>
    <row r="527" spans="1:43" ht="15" x14ac:dyDescent="0.25">
      <c r="A527" s="20"/>
      <c r="B527" s="243">
        <v>19</v>
      </c>
      <c r="C527" s="147" t="s">
        <v>650</v>
      </c>
      <c r="D527" s="146"/>
      <c r="E527" s="146"/>
      <c r="F527" s="146"/>
      <c r="G527" s="146"/>
      <c r="H527" s="147"/>
      <c r="I527" s="146"/>
      <c r="J527" s="146"/>
      <c r="K527" s="146"/>
      <c r="L527" s="146"/>
      <c r="M527" s="652"/>
      <c r="N527" s="146"/>
      <c r="O527" s="146"/>
      <c r="P527" s="146"/>
      <c r="Q527" s="146"/>
      <c r="R527" s="146"/>
      <c r="S527" s="146"/>
      <c r="T527" s="146"/>
      <c r="U527" s="146"/>
      <c r="V527" s="146"/>
      <c r="W527" s="146"/>
      <c r="X527" s="146"/>
      <c r="Y527" s="146"/>
      <c r="Z527" s="146"/>
      <c r="AA527" s="146"/>
      <c r="AB527" s="146"/>
      <c r="AC527" s="146"/>
      <c r="AD527" s="146"/>
      <c r="AE527" s="146"/>
      <c r="AF527" s="146"/>
      <c r="AG527" s="146"/>
      <c r="AH527" s="146"/>
      <c r="AI527" s="146"/>
      <c r="AJ527" s="146"/>
      <c r="AK527" s="146"/>
      <c r="AL527" s="148"/>
      <c r="AM527" s="146"/>
      <c r="AN527" s="146"/>
      <c r="AO527" s="146"/>
      <c r="AP527" s="146"/>
      <c r="AQ527" s="524"/>
    </row>
    <row r="528" spans="1:43" ht="15" x14ac:dyDescent="0.25">
      <c r="A528" s="20"/>
      <c r="B528" s="467"/>
      <c r="C528" s="484"/>
      <c r="D528" s="153"/>
      <c r="E528" s="579"/>
      <c r="F528" s="579"/>
      <c r="G528" s="344">
        <v>67</v>
      </c>
      <c r="H528" s="189" t="s">
        <v>651</v>
      </c>
      <c r="I528" s="189"/>
      <c r="J528" s="189"/>
      <c r="K528" s="189"/>
      <c r="L528" s="189"/>
      <c r="M528" s="659"/>
      <c r="N528" s="189"/>
      <c r="O528" s="189"/>
      <c r="P528" s="189"/>
      <c r="Q528" s="189"/>
      <c r="R528" s="189"/>
      <c r="S528" s="189"/>
      <c r="T528" s="189"/>
      <c r="U528" s="189"/>
      <c r="V528" s="189"/>
      <c r="W528" s="189"/>
      <c r="X528" s="189"/>
      <c r="Y528" s="189"/>
      <c r="Z528" s="189"/>
      <c r="AA528" s="189"/>
      <c r="AB528" s="189"/>
      <c r="AC528" s="189"/>
      <c r="AD528" s="189"/>
      <c r="AE528" s="189"/>
      <c r="AF528" s="189"/>
      <c r="AG528" s="189"/>
      <c r="AH528" s="189"/>
      <c r="AI528" s="189"/>
      <c r="AJ528" s="189"/>
      <c r="AK528" s="189"/>
      <c r="AL528" s="190"/>
      <c r="AM528" s="189"/>
      <c r="AN528" s="189"/>
      <c r="AO528" s="189"/>
      <c r="AP528" s="189"/>
      <c r="AQ528" s="521"/>
    </row>
    <row r="529" spans="1:43" s="47" customFormat="1" ht="63.75" customHeight="1" x14ac:dyDescent="0.25">
      <c r="A529" s="20"/>
      <c r="B529" s="474"/>
      <c r="C529" s="931">
        <v>35</v>
      </c>
      <c r="D529" s="870" t="s">
        <v>652</v>
      </c>
      <c r="E529" s="870" t="s">
        <v>653</v>
      </c>
      <c r="F529" s="870" t="s">
        <v>654</v>
      </c>
      <c r="G529" s="23"/>
      <c r="H529" s="795">
        <v>198</v>
      </c>
      <c r="I529" s="774" t="s">
        <v>655</v>
      </c>
      <c r="J529" s="775">
        <v>1</v>
      </c>
      <c r="K529" s="775">
        <v>1</v>
      </c>
      <c r="L529" s="849" t="s">
        <v>579</v>
      </c>
      <c r="M529" s="854" t="s">
        <v>656</v>
      </c>
      <c r="N529" s="849" t="s">
        <v>657</v>
      </c>
      <c r="O529" s="775" t="s">
        <v>38</v>
      </c>
      <c r="P529" s="26">
        <v>0</v>
      </c>
      <c r="Q529" s="26">
        <v>0</v>
      </c>
      <c r="R529" s="26">
        <v>0</v>
      </c>
      <c r="S529" s="26">
        <v>0</v>
      </c>
      <c r="T529" s="26">
        <v>0</v>
      </c>
      <c r="U529" s="26">
        <v>0</v>
      </c>
      <c r="V529" s="26">
        <v>0</v>
      </c>
      <c r="W529" s="26"/>
      <c r="X529" s="26"/>
      <c r="Y529" s="26"/>
      <c r="Z529" s="26">
        <v>0</v>
      </c>
      <c r="AA529" s="26"/>
      <c r="AB529" s="26">
        <v>0</v>
      </c>
      <c r="AC529" s="26">
        <v>0</v>
      </c>
      <c r="AD529" s="26"/>
      <c r="AE529" s="26"/>
      <c r="AF529" s="26"/>
      <c r="AG529" s="26"/>
      <c r="AH529" s="26"/>
      <c r="AI529" s="26"/>
      <c r="AJ529" s="26">
        <v>0</v>
      </c>
      <c r="AK529" s="26">
        <v>0</v>
      </c>
      <c r="AL529" s="112">
        <f>70000000+40000000</f>
        <v>110000000</v>
      </c>
      <c r="AM529" s="10"/>
      <c r="AN529" s="26">
        <v>0</v>
      </c>
      <c r="AO529" s="59">
        <v>0</v>
      </c>
      <c r="AP529" s="59"/>
      <c r="AQ529" s="26">
        <f>P529+Q529+R529+S529+T529+U529+V529+W529+X529+Y529+Z529+AA529+AB529+AC529+AD529+AE529+AF529+AG529+AH529+AI529+AJ529+AK529+AL529+AM529+AN529+AP529+AO529</f>
        <v>110000000</v>
      </c>
    </row>
    <row r="530" spans="1:43" s="47" customFormat="1" ht="59.25" customHeight="1" x14ac:dyDescent="0.25">
      <c r="A530" s="20"/>
      <c r="B530" s="468"/>
      <c r="C530" s="939"/>
      <c r="D530" s="871"/>
      <c r="E530" s="871"/>
      <c r="F530" s="871"/>
      <c r="G530" s="29"/>
      <c r="H530" s="5">
        <v>199</v>
      </c>
      <c r="I530" s="6" t="s">
        <v>658</v>
      </c>
      <c r="J530" s="5">
        <v>0</v>
      </c>
      <c r="K530" s="775">
        <v>4</v>
      </c>
      <c r="L530" s="857"/>
      <c r="M530" s="855"/>
      <c r="N530" s="857"/>
      <c r="O530" s="775" t="s">
        <v>34</v>
      </c>
      <c r="P530" s="26"/>
      <c r="Q530" s="26"/>
      <c r="R530" s="26"/>
      <c r="S530" s="26"/>
      <c r="T530" s="26"/>
      <c r="U530" s="26"/>
      <c r="V530" s="26"/>
      <c r="W530" s="26"/>
      <c r="X530" s="26"/>
      <c r="Y530" s="26"/>
      <c r="Z530" s="26"/>
      <c r="AA530" s="26"/>
      <c r="AB530" s="26"/>
      <c r="AC530" s="26"/>
      <c r="AD530" s="254"/>
      <c r="AE530" s="254"/>
      <c r="AF530" s="254"/>
      <c r="AG530" s="254"/>
      <c r="AH530" s="254"/>
      <c r="AI530" s="254"/>
      <c r="AJ530" s="26"/>
      <c r="AK530" s="26"/>
      <c r="AL530" s="112">
        <v>10000000</v>
      </c>
      <c r="AM530" s="10"/>
      <c r="AN530" s="26"/>
      <c r="AO530" s="59"/>
      <c r="AP530" s="59"/>
      <c r="AQ530" s="26">
        <f>P530+Q530+R530+S530+T530+U530+V530+W530+X530+Y530+Z530+AA530+AB530+AC530+AD530+AE530+AF530+AG530+AH530+AI530+AJ530+AK530+AL530+AM530+AN530+AP530+AO530</f>
        <v>10000000</v>
      </c>
    </row>
    <row r="531" spans="1:43" ht="33" customHeight="1" x14ac:dyDescent="0.25">
      <c r="A531" s="20"/>
      <c r="B531" s="468"/>
      <c r="C531" s="939"/>
      <c r="D531" s="871"/>
      <c r="E531" s="871"/>
      <c r="F531" s="871"/>
      <c r="G531" s="29"/>
      <c r="H531" s="795">
        <v>200</v>
      </c>
      <c r="I531" s="774" t="s">
        <v>659</v>
      </c>
      <c r="J531" s="775">
        <v>12</v>
      </c>
      <c r="K531" s="775">
        <v>12</v>
      </c>
      <c r="L531" s="857"/>
      <c r="M531" s="855"/>
      <c r="N531" s="857"/>
      <c r="O531" s="775" t="s">
        <v>38</v>
      </c>
      <c r="P531" s="26">
        <v>0</v>
      </c>
      <c r="Q531" s="10">
        <f>2780000000*0.3+392182142+6517252-898859.11+0.4</f>
        <v>1231800535.2900002</v>
      </c>
      <c r="R531" s="26">
        <v>0</v>
      </c>
      <c r="S531" s="26">
        <v>0</v>
      </c>
      <c r="T531" s="26">
        <v>0</v>
      </c>
      <c r="U531" s="26">
        <v>0</v>
      </c>
      <c r="V531" s="26">
        <v>0</v>
      </c>
      <c r="W531" s="26"/>
      <c r="X531" s="26"/>
      <c r="Y531" s="26"/>
      <c r="Z531" s="26">
        <v>0</v>
      </c>
      <c r="AA531" s="26"/>
      <c r="AB531" s="26">
        <v>0</v>
      </c>
      <c r="AC531" s="26">
        <v>0</v>
      </c>
      <c r="AD531" s="254"/>
      <c r="AE531" s="254"/>
      <c r="AF531" s="254"/>
      <c r="AG531" s="254"/>
      <c r="AH531" s="254"/>
      <c r="AI531" s="254"/>
      <c r="AJ531" s="26">
        <v>0</v>
      </c>
      <c r="AK531" s="26">
        <v>0</v>
      </c>
      <c r="AL531" s="110">
        <v>0</v>
      </c>
      <c r="AM531" s="38"/>
      <c r="AN531" s="26">
        <v>0</v>
      </c>
      <c r="AO531" s="293">
        <v>0</v>
      </c>
      <c r="AP531" s="293"/>
      <c r="AQ531" s="26">
        <f>P531+Q531+R531+S531+T531+U531+V531+W531+X531+Y531+Z531+AA531+AB531+AC531+AD531+AE531+AF531+AG531+AH531+AI531+AJ531+AK531+AL531+AM531+AN531+AP531+AO531</f>
        <v>1231800535.2900002</v>
      </c>
    </row>
    <row r="532" spans="1:43" ht="36.75" customHeight="1" x14ac:dyDescent="0.25">
      <c r="A532" s="20"/>
      <c r="B532" s="468"/>
      <c r="C532" s="932"/>
      <c r="D532" s="938"/>
      <c r="E532" s="938"/>
      <c r="F532" s="938"/>
      <c r="G532" s="30"/>
      <c r="H532" s="795">
        <v>201</v>
      </c>
      <c r="I532" s="774" t="s">
        <v>660</v>
      </c>
      <c r="J532" s="11">
        <v>14</v>
      </c>
      <c r="K532" s="11">
        <v>14</v>
      </c>
      <c r="L532" s="850"/>
      <c r="M532" s="856"/>
      <c r="N532" s="850"/>
      <c r="O532" s="775" t="s">
        <v>38</v>
      </c>
      <c r="P532" s="26">
        <v>0</v>
      </c>
      <c r="Q532" s="10">
        <f xml:space="preserve"> 2780000000*0.7+915091664+15206923-2097340</f>
        <v>2874201247</v>
      </c>
      <c r="R532" s="26">
        <v>0</v>
      </c>
      <c r="S532" s="26">
        <v>0</v>
      </c>
      <c r="T532" s="26">
        <v>0</v>
      </c>
      <c r="U532" s="26">
        <v>0</v>
      </c>
      <c r="V532" s="26">
        <v>0</v>
      </c>
      <c r="W532" s="26"/>
      <c r="X532" s="26"/>
      <c r="Y532" s="26"/>
      <c r="Z532" s="26">
        <v>0</v>
      </c>
      <c r="AA532" s="26"/>
      <c r="AB532" s="26">
        <v>0</v>
      </c>
      <c r="AC532" s="26">
        <v>0</v>
      </c>
      <c r="AD532" s="254"/>
      <c r="AE532" s="254"/>
      <c r="AF532" s="254"/>
      <c r="AG532" s="254"/>
      <c r="AH532" s="254"/>
      <c r="AI532" s="254"/>
      <c r="AJ532" s="26">
        <v>0</v>
      </c>
      <c r="AK532" s="26">
        <v>0</v>
      </c>
      <c r="AL532" s="110">
        <v>0</v>
      </c>
      <c r="AM532" s="38"/>
      <c r="AN532" s="26">
        <v>0</v>
      </c>
      <c r="AO532" s="293">
        <v>0</v>
      </c>
      <c r="AP532" s="293"/>
      <c r="AQ532" s="26">
        <f>P532+Q532+R532+S532+T532+U532+V532+W532+X532+Y532+Z532+AA532+AB532+AC532+AD532+AE532+AF532+AG532+AH532+AI532+AJ532+AK532+AL532+AM532+AN532+AP532+AO532</f>
        <v>2874201247</v>
      </c>
    </row>
    <row r="533" spans="1:43" ht="15" x14ac:dyDescent="0.25">
      <c r="A533" s="20"/>
      <c r="B533" s="479"/>
      <c r="C533" s="5"/>
      <c r="D533" s="153"/>
      <c r="E533" s="579"/>
      <c r="F533" s="579"/>
      <c r="G533" s="154"/>
      <c r="H533" s="155"/>
      <c r="I533" s="154"/>
      <c r="J533" s="253"/>
      <c r="K533" s="253"/>
      <c r="L533" s="253"/>
      <c r="M533" s="157"/>
      <c r="N533" s="485"/>
      <c r="O533" s="155"/>
      <c r="P533" s="158">
        <f>SUM(P529:P532)</f>
        <v>0</v>
      </c>
      <c r="Q533" s="396">
        <f t="shared" ref="Q533:AK533" si="250">SUM(Q529:Q532)</f>
        <v>4106001782.29</v>
      </c>
      <c r="R533" s="158">
        <f t="shared" si="250"/>
        <v>0</v>
      </c>
      <c r="S533" s="158">
        <f t="shared" si="250"/>
        <v>0</v>
      </c>
      <c r="T533" s="158">
        <f t="shared" si="250"/>
        <v>0</v>
      </c>
      <c r="U533" s="158">
        <f t="shared" si="250"/>
        <v>0</v>
      </c>
      <c r="V533" s="158">
        <f t="shared" si="250"/>
        <v>0</v>
      </c>
      <c r="W533" s="158">
        <f t="shared" si="250"/>
        <v>0</v>
      </c>
      <c r="X533" s="158">
        <f t="shared" si="250"/>
        <v>0</v>
      </c>
      <c r="Y533" s="158">
        <f t="shared" si="250"/>
        <v>0</v>
      </c>
      <c r="Z533" s="158">
        <f t="shared" si="250"/>
        <v>0</v>
      </c>
      <c r="AA533" s="158">
        <f t="shared" si="250"/>
        <v>0</v>
      </c>
      <c r="AB533" s="158">
        <f t="shared" si="250"/>
        <v>0</v>
      </c>
      <c r="AC533" s="158">
        <f t="shared" si="250"/>
        <v>0</v>
      </c>
      <c r="AD533" s="158">
        <f t="shared" si="250"/>
        <v>0</v>
      </c>
      <c r="AE533" s="158">
        <f t="shared" si="250"/>
        <v>0</v>
      </c>
      <c r="AF533" s="158">
        <f t="shared" si="250"/>
        <v>0</v>
      </c>
      <c r="AG533" s="158">
        <f t="shared" si="250"/>
        <v>0</v>
      </c>
      <c r="AH533" s="158">
        <f t="shared" si="250"/>
        <v>0</v>
      </c>
      <c r="AI533" s="158">
        <f t="shared" si="250"/>
        <v>0</v>
      </c>
      <c r="AJ533" s="158">
        <f t="shared" si="250"/>
        <v>0</v>
      </c>
      <c r="AK533" s="158">
        <f t="shared" si="250"/>
        <v>0</v>
      </c>
      <c r="AL533" s="158">
        <f t="shared" ref="AL533:AP533" si="251">SUM(AL529:AL532)</f>
        <v>120000000</v>
      </c>
      <c r="AM533" s="158">
        <f t="shared" si="251"/>
        <v>0</v>
      </c>
      <c r="AN533" s="158">
        <f t="shared" si="251"/>
        <v>0</v>
      </c>
      <c r="AO533" s="158">
        <f t="shared" si="251"/>
        <v>0</v>
      </c>
      <c r="AP533" s="158">
        <f t="shared" si="251"/>
        <v>0</v>
      </c>
      <c r="AQ533" s="158">
        <f>SUM(AQ529:AQ532)</f>
        <v>4226001782.29</v>
      </c>
    </row>
    <row r="534" spans="1:43" ht="15" x14ac:dyDescent="0.25">
      <c r="A534" s="152"/>
      <c r="B534" s="218"/>
      <c r="C534" s="162"/>
      <c r="D534" s="161"/>
      <c r="E534" s="162"/>
      <c r="F534" s="162"/>
      <c r="G534" s="161"/>
      <c r="H534" s="162"/>
      <c r="I534" s="161"/>
      <c r="J534" s="261"/>
      <c r="K534" s="261"/>
      <c r="L534" s="261"/>
      <c r="M534" s="164"/>
      <c r="N534" s="486"/>
      <c r="O534" s="162"/>
      <c r="P534" s="165">
        <f>P533</f>
        <v>0</v>
      </c>
      <c r="Q534" s="165">
        <f t="shared" ref="Q534:AK534" si="252">Q533</f>
        <v>4106001782.29</v>
      </c>
      <c r="R534" s="165">
        <f t="shared" si="252"/>
        <v>0</v>
      </c>
      <c r="S534" s="165">
        <f t="shared" si="252"/>
        <v>0</v>
      </c>
      <c r="T534" s="165">
        <f t="shared" si="252"/>
        <v>0</v>
      </c>
      <c r="U534" s="165">
        <f t="shared" si="252"/>
        <v>0</v>
      </c>
      <c r="V534" s="165">
        <f t="shared" si="252"/>
        <v>0</v>
      </c>
      <c r="W534" s="165">
        <f t="shared" si="252"/>
        <v>0</v>
      </c>
      <c r="X534" s="165">
        <f t="shared" si="252"/>
        <v>0</v>
      </c>
      <c r="Y534" s="165">
        <f t="shared" si="252"/>
        <v>0</v>
      </c>
      <c r="Z534" s="165">
        <f t="shared" si="252"/>
        <v>0</v>
      </c>
      <c r="AA534" s="165">
        <f t="shared" si="252"/>
        <v>0</v>
      </c>
      <c r="AB534" s="165">
        <f t="shared" si="252"/>
        <v>0</v>
      </c>
      <c r="AC534" s="165">
        <f t="shared" si="252"/>
        <v>0</v>
      </c>
      <c r="AD534" s="165">
        <f t="shared" si="252"/>
        <v>0</v>
      </c>
      <c r="AE534" s="165">
        <f t="shared" si="252"/>
        <v>0</v>
      </c>
      <c r="AF534" s="165">
        <f t="shared" si="252"/>
        <v>0</v>
      </c>
      <c r="AG534" s="165">
        <f t="shared" si="252"/>
        <v>0</v>
      </c>
      <c r="AH534" s="165">
        <f t="shared" si="252"/>
        <v>0</v>
      </c>
      <c r="AI534" s="165">
        <f t="shared" si="252"/>
        <v>0</v>
      </c>
      <c r="AJ534" s="165">
        <f t="shared" si="252"/>
        <v>0</v>
      </c>
      <c r="AK534" s="165">
        <f t="shared" si="252"/>
        <v>0</v>
      </c>
      <c r="AL534" s="165">
        <f t="shared" ref="AL534:AP534" si="253">AL533</f>
        <v>120000000</v>
      </c>
      <c r="AM534" s="165">
        <f t="shared" si="253"/>
        <v>0</v>
      </c>
      <c r="AN534" s="165">
        <f t="shared" si="253"/>
        <v>0</v>
      </c>
      <c r="AO534" s="165">
        <f t="shared" si="253"/>
        <v>0</v>
      </c>
      <c r="AP534" s="165">
        <f t="shared" si="253"/>
        <v>0</v>
      </c>
      <c r="AQ534" s="165">
        <f>AQ533</f>
        <v>4226001782.29</v>
      </c>
    </row>
    <row r="535" spans="1:43" ht="15" x14ac:dyDescent="0.25">
      <c r="A535" s="262"/>
      <c r="B535" s="166"/>
      <c r="C535" s="167"/>
      <c r="D535" s="166"/>
      <c r="E535" s="167"/>
      <c r="F535" s="167"/>
      <c r="G535" s="166"/>
      <c r="H535" s="167"/>
      <c r="I535" s="166"/>
      <c r="J535" s="263"/>
      <c r="K535" s="263"/>
      <c r="L535" s="263"/>
      <c r="M535" s="169"/>
      <c r="N535" s="487"/>
      <c r="O535" s="167"/>
      <c r="P535" s="170">
        <f>P534+P525+P501+P479</f>
        <v>0</v>
      </c>
      <c r="Q535" s="170">
        <f t="shared" ref="Q535:AK535" si="254">Q534+Q525+Q501+Q479</f>
        <v>4106001782.29</v>
      </c>
      <c r="R535" s="170">
        <f t="shared" si="254"/>
        <v>0</v>
      </c>
      <c r="S535" s="170">
        <f t="shared" si="254"/>
        <v>0</v>
      </c>
      <c r="T535" s="170">
        <f t="shared" si="254"/>
        <v>0</v>
      </c>
      <c r="U535" s="170">
        <f t="shared" si="254"/>
        <v>0</v>
      </c>
      <c r="V535" s="170">
        <f t="shared" si="254"/>
        <v>0</v>
      </c>
      <c r="W535" s="170">
        <f t="shared" si="254"/>
        <v>0</v>
      </c>
      <c r="X535" s="170">
        <f t="shared" si="254"/>
        <v>0</v>
      </c>
      <c r="Y535" s="170">
        <f t="shared" si="254"/>
        <v>0</v>
      </c>
      <c r="Z535" s="170">
        <f t="shared" si="254"/>
        <v>0</v>
      </c>
      <c r="AA535" s="170">
        <f t="shared" si="254"/>
        <v>0</v>
      </c>
      <c r="AB535" s="170">
        <f t="shared" si="254"/>
        <v>0</v>
      </c>
      <c r="AC535" s="170">
        <f t="shared" si="254"/>
        <v>0</v>
      </c>
      <c r="AD535" s="170">
        <f t="shared" si="254"/>
        <v>0</v>
      </c>
      <c r="AE535" s="170">
        <f t="shared" si="254"/>
        <v>0</v>
      </c>
      <c r="AF535" s="170">
        <f t="shared" si="254"/>
        <v>0</v>
      </c>
      <c r="AG535" s="170">
        <f t="shared" si="254"/>
        <v>0</v>
      </c>
      <c r="AH535" s="170">
        <f t="shared" si="254"/>
        <v>0</v>
      </c>
      <c r="AI535" s="170">
        <f t="shared" si="254"/>
        <v>0</v>
      </c>
      <c r="AJ535" s="170">
        <f t="shared" si="254"/>
        <v>0</v>
      </c>
      <c r="AK535" s="170">
        <f t="shared" si="254"/>
        <v>0</v>
      </c>
      <c r="AL535" s="170">
        <f t="shared" ref="AL535:AP535" si="255">AL534+AL525+AL501+AL479</f>
        <v>3009000000</v>
      </c>
      <c r="AM535" s="170">
        <f t="shared" si="255"/>
        <v>0</v>
      </c>
      <c r="AN535" s="170">
        <f t="shared" si="255"/>
        <v>0</v>
      </c>
      <c r="AO535" s="170">
        <f t="shared" si="255"/>
        <v>0</v>
      </c>
      <c r="AP535" s="170">
        <f t="shared" si="255"/>
        <v>0</v>
      </c>
      <c r="AQ535" s="170">
        <f>AQ534+AQ525+AQ501+AQ479</f>
        <v>7115001782.29</v>
      </c>
    </row>
    <row r="536" spans="1:43" ht="15" x14ac:dyDescent="0.25">
      <c r="A536" s="735"/>
      <c r="B536" s="735"/>
      <c r="C536" s="736"/>
      <c r="D536" s="735"/>
      <c r="E536" s="736"/>
      <c r="F536" s="736"/>
      <c r="G536" s="735"/>
      <c r="H536" s="736"/>
      <c r="I536" s="737"/>
      <c r="J536" s="738"/>
      <c r="K536" s="738"/>
      <c r="L536" s="738"/>
      <c r="M536" s="739"/>
      <c r="N536" s="735"/>
      <c r="O536" s="736"/>
      <c r="P536" s="712">
        <f>+P535</f>
        <v>0</v>
      </c>
      <c r="Q536" s="712">
        <f t="shared" ref="Q536:AK536" si="256">+Q535</f>
        <v>4106001782.29</v>
      </c>
      <c r="R536" s="712">
        <f t="shared" si="256"/>
        <v>0</v>
      </c>
      <c r="S536" s="712">
        <f t="shared" si="256"/>
        <v>0</v>
      </c>
      <c r="T536" s="712">
        <f t="shared" si="256"/>
        <v>0</v>
      </c>
      <c r="U536" s="712">
        <f t="shared" si="256"/>
        <v>0</v>
      </c>
      <c r="V536" s="712">
        <f t="shared" si="256"/>
        <v>0</v>
      </c>
      <c r="W536" s="712">
        <f t="shared" si="256"/>
        <v>0</v>
      </c>
      <c r="X536" s="712">
        <f t="shared" si="256"/>
        <v>0</v>
      </c>
      <c r="Y536" s="712">
        <f t="shared" si="256"/>
        <v>0</v>
      </c>
      <c r="Z536" s="712">
        <f t="shared" si="256"/>
        <v>0</v>
      </c>
      <c r="AA536" s="712">
        <f t="shared" si="256"/>
        <v>0</v>
      </c>
      <c r="AB536" s="712">
        <f t="shared" si="256"/>
        <v>0</v>
      </c>
      <c r="AC536" s="712">
        <f t="shared" si="256"/>
        <v>0</v>
      </c>
      <c r="AD536" s="712">
        <f t="shared" si="256"/>
        <v>0</v>
      </c>
      <c r="AE536" s="712">
        <f t="shared" si="256"/>
        <v>0</v>
      </c>
      <c r="AF536" s="712">
        <f t="shared" si="256"/>
        <v>0</v>
      </c>
      <c r="AG536" s="712">
        <f t="shared" si="256"/>
        <v>0</v>
      </c>
      <c r="AH536" s="712">
        <f t="shared" si="256"/>
        <v>0</v>
      </c>
      <c r="AI536" s="712">
        <f t="shared" si="256"/>
        <v>0</v>
      </c>
      <c r="AJ536" s="712">
        <f t="shared" si="256"/>
        <v>0</v>
      </c>
      <c r="AK536" s="712">
        <f t="shared" si="256"/>
        <v>0</v>
      </c>
      <c r="AL536" s="712">
        <f t="shared" ref="AL536:AP536" si="257">+AL535</f>
        <v>3009000000</v>
      </c>
      <c r="AM536" s="712">
        <f t="shared" si="257"/>
        <v>0</v>
      </c>
      <c r="AN536" s="712">
        <f t="shared" si="257"/>
        <v>0</v>
      </c>
      <c r="AO536" s="712">
        <f t="shared" si="257"/>
        <v>0</v>
      </c>
      <c r="AP536" s="712">
        <f t="shared" si="257"/>
        <v>0</v>
      </c>
      <c r="AQ536" s="741">
        <f>+AQ535</f>
        <v>7115001782.29</v>
      </c>
    </row>
    <row r="537" spans="1:43" s="28" customFormat="1" ht="15" x14ac:dyDescent="0.25">
      <c r="A537" s="176"/>
      <c r="B537" s="177"/>
      <c r="C537" s="795"/>
      <c r="D537" s="177"/>
      <c r="E537" s="795"/>
      <c r="F537" s="795"/>
      <c r="G537" s="177"/>
      <c r="H537" s="795"/>
      <c r="I537" s="304"/>
      <c r="J537" s="178"/>
      <c r="K537" s="178"/>
      <c r="L537" s="178"/>
      <c r="M537" s="179"/>
      <c r="N537" s="177"/>
      <c r="O537" s="795"/>
      <c r="P537" s="180"/>
      <c r="Q537" s="740"/>
      <c r="R537" s="180"/>
      <c r="S537" s="180"/>
      <c r="T537" s="180"/>
      <c r="U537" s="180"/>
      <c r="V537" s="180"/>
      <c r="W537" s="180"/>
      <c r="X537" s="180"/>
      <c r="Y537" s="180"/>
      <c r="Z537" s="180"/>
      <c r="AA537" s="180"/>
      <c r="AB537" s="180"/>
      <c r="AC537" s="180"/>
      <c r="AD537" s="181"/>
      <c r="AE537" s="181"/>
      <c r="AF537" s="181"/>
      <c r="AG537" s="181"/>
      <c r="AH537" s="181"/>
      <c r="AI537" s="181"/>
      <c r="AJ537" s="180"/>
      <c r="AK537" s="180"/>
      <c r="AL537" s="182"/>
      <c r="AM537" s="183"/>
      <c r="AN537" s="180"/>
      <c r="AO537" s="180"/>
      <c r="AP537" s="180"/>
      <c r="AQ537" s="815"/>
    </row>
    <row r="538" spans="1:43" s="47" customFormat="1" ht="20.25" x14ac:dyDescent="0.25">
      <c r="A538" s="134" t="s">
        <v>661</v>
      </c>
      <c r="B538" s="135"/>
      <c r="C538" s="136"/>
      <c r="D538" s="135"/>
      <c r="E538" s="135"/>
      <c r="F538" s="135"/>
      <c r="G538" s="135"/>
      <c r="H538" s="136"/>
      <c r="I538" s="135"/>
      <c r="J538" s="135"/>
      <c r="K538" s="135"/>
      <c r="L538" s="135"/>
      <c r="M538" s="650"/>
      <c r="N538" s="135"/>
      <c r="O538" s="136"/>
      <c r="P538" s="135"/>
      <c r="Q538" s="135"/>
      <c r="R538" s="135"/>
      <c r="S538" s="135"/>
      <c r="T538" s="135"/>
      <c r="U538" s="135"/>
      <c r="V538" s="135"/>
      <c r="W538" s="135"/>
      <c r="X538" s="135"/>
      <c r="Y538" s="135"/>
      <c r="Z538" s="135"/>
      <c r="AA538" s="135"/>
      <c r="AB538" s="135"/>
      <c r="AC538" s="135"/>
      <c r="AD538" s="135"/>
      <c r="AE538" s="135"/>
      <c r="AF538" s="135"/>
      <c r="AG538" s="135"/>
      <c r="AH538" s="135"/>
      <c r="AI538" s="135"/>
      <c r="AJ538" s="135"/>
      <c r="AK538" s="135"/>
      <c r="AL538" s="137"/>
      <c r="AM538" s="138"/>
      <c r="AN538" s="135"/>
      <c r="AO538" s="135"/>
      <c r="AP538" s="135"/>
      <c r="AQ538" s="564"/>
    </row>
    <row r="539" spans="1:43" s="47" customFormat="1" ht="20.25" x14ac:dyDescent="0.25">
      <c r="A539" s="139">
        <v>5</v>
      </c>
      <c r="B539" s="140" t="s">
        <v>26</v>
      </c>
      <c r="C539" s="141"/>
      <c r="D539" s="140"/>
      <c r="E539" s="140"/>
      <c r="F539" s="140"/>
      <c r="G539" s="140"/>
      <c r="H539" s="141"/>
      <c r="I539" s="140"/>
      <c r="J539" s="140"/>
      <c r="K539" s="140"/>
      <c r="L539" s="140"/>
      <c r="M539" s="651"/>
      <c r="N539" s="140"/>
      <c r="O539" s="140"/>
      <c r="P539" s="140"/>
      <c r="Q539" s="140"/>
      <c r="R539" s="140"/>
      <c r="S539" s="140"/>
      <c r="T539" s="140"/>
      <c r="U539" s="140"/>
      <c r="V539" s="140"/>
      <c r="W539" s="140"/>
      <c r="X539" s="140"/>
      <c r="Y539" s="140"/>
      <c r="Z539" s="140"/>
      <c r="AA539" s="140"/>
      <c r="AB539" s="140"/>
      <c r="AC539" s="140"/>
      <c r="AD539" s="140"/>
      <c r="AE539" s="140"/>
      <c r="AF539" s="140"/>
      <c r="AG539" s="140"/>
      <c r="AH539" s="140"/>
      <c r="AI539" s="140"/>
      <c r="AJ539" s="140"/>
      <c r="AK539" s="140"/>
      <c r="AL539" s="142"/>
      <c r="AM539" s="140"/>
      <c r="AN539" s="140"/>
      <c r="AO539" s="140"/>
      <c r="AP539" s="140"/>
      <c r="AQ539" s="538"/>
    </row>
    <row r="540" spans="1:43" s="47" customFormat="1" ht="20.25" x14ac:dyDescent="0.25">
      <c r="A540" s="185"/>
      <c r="B540" s="243">
        <v>26</v>
      </c>
      <c r="C540" s="147" t="s">
        <v>52</v>
      </c>
      <c r="D540" s="146"/>
      <c r="E540" s="146"/>
      <c r="F540" s="146"/>
      <c r="G540" s="146"/>
      <c r="H540" s="147"/>
      <c r="I540" s="146"/>
      <c r="J540" s="146"/>
      <c r="K540" s="146"/>
      <c r="L540" s="146"/>
      <c r="M540" s="652"/>
      <c r="N540" s="146"/>
      <c r="O540" s="146"/>
      <c r="P540" s="146"/>
      <c r="Q540" s="146"/>
      <c r="R540" s="146"/>
      <c r="S540" s="146"/>
      <c r="T540" s="146"/>
      <c r="U540" s="146"/>
      <c r="V540" s="146"/>
      <c r="W540" s="146"/>
      <c r="X540" s="146"/>
      <c r="Y540" s="146"/>
      <c r="Z540" s="146"/>
      <c r="AA540" s="146"/>
      <c r="AB540" s="146"/>
      <c r="AC540" s="146"/>
      <c r="AD540" s="146"/>
      <c r="AE540" s="146"/>
      <c r="AF540" s="146"/>
      <c r="AG540" s="146"/>
      <c r="AH540" s="146"/>
      <c r="AI540" s="146"/>
      <c r="AJ540" s="146"/>
      <c r="AK540" s="146"/>
      <c r="AL540" s="148"/>
      <c r="AM540" s="146"/>
      <c r="AN540" s="146"/>
      <c r="AO540" s="146"/>
      <c r="AP540" s="146"/>
      <c r="AQ540" s="524"/>
    </row>
    <row r="541" spans="1:43" s="47" customFormat="1" ht="20.25" x14ac:dyDescent="0.25">
      <c r="A541" s="20"/>
      <c r="B541" s="185"/>
      <c r="C541" s="795"/>
      <c r="D541" s="177"/>
      <c r="E541" s="795"/>
      <c r="F541" s="773"/>
      <c r="G541" s="344">
        <v>83</v>
      </c>
      <c r="H541" s="189" t="s">
        <v>53</v>
      </c>
      <c r="I541" s="189"/>
      <c r="J541" s="344"/>
      <c r="K541" s="189"/>
      <c r="L541" s="344"/>
      <c r="M541" s="659"/>
      <c r="N541" s="189"/>
      <c r="O541" s="344"/>
      <c r="P541" s="189"/>
      <c r="Q541" s="189"/>
      <c r="R541" s="189"/>
      <c r="S541" s="189"/>
      <c r="T541" s="189"/>
      <c r="U541" s="189"/>
      <c r="V541" s="189"/>
      <c r="W541" s="189"/>
      <c r="X541" s="189"/>
      <c r="Y541" s="189"/>
      <c r="Z541" s="189"/>
      <c r="AA541" s="189"/>
      <c r="AB541" s="189"/>
      <c r="AC541" s="189"/>
      <c r="AD541" s="189"/>
      <c r="AE541" s="189"/>
      <c r="AF541" s="189"/>
      <c r="AG541" s="189"/>
      <c r="AH541" s="189"/>
      <c r="AI541" s="189"/>
      <c r="AJ541" s="189"/>
      <c r="AK541" s="189"/>
      <c r="AL541" s="190"/>
      <c r="AM541" s="189"/>
      <c r="AN541" s="189"/>
      <c r="AO541" s="189"/>
      <c r="AP541" s="189"/>
      <c r="AQ541" s="521"/>
    </row>
    <row r="542" spans="1:43" s="491" customFormat="1" ht="76.5" customHeight="1" x14ac:dyDescent="0.25">
      <c r="A542" s="20"/>
      <c r="B542" s="20"/>
      <c r="C542" s="773">
        <v>37</v>
      </c>
      <c r="D542" s="475" t="s">
        <v>662</v>
      </c>
      <c r="E542" s="476">
        <v>0.54610000000000003</v>
      </c>
      <c r="F542" s="489">
        <v>0.6</v>
      </c>
      <c r="G542" s="30"/>
      <c r="H542" s="775">
        <v>243</v>
      </c>
      <c r="I542" s="6" t="s">
        <v>663</v>
      </c>
      <c r="J542" s="490" t="s">
        <v>30</v>
      </c>
      <c r="K542" s="24">
        <v>6</v>
      </c>
      <c r="L542" s="774" t="s">
        <v>435</v>
      </c>
      <c r="M542" s="37" t="s">
        <v>664</v>
      </c>
      <c r="N542" s="774" t="s">
        <v>665</v>
      </c>
      <c r="O542" s="5" t="s">
        <v>34</v>
      </c>
      <c r="P542" s="324"/>
      <c r="Q542" s="324"/>
      <c r="R542" s="324"/>
      <c r="S542" s="324"/>
      <c r="T542" s="324"/>
      <c r="U542" s="324"/>
      <c r="V542" s="324"/>
      <c r="W542" s="324"/>
      <c r="X542" s="324"/>
      <c r="Y542" s="324"/>
      <c r="Z542" s="324"/>
      <c r="AA542" s="324"/>
      <c r="AB542" s="324"/>
      <c r="AC542" s="324"/>
      <c r="AD542" s="254"/>
      <c r="AE542" s="254"/>
      <c r="AF542" s="254"/>
      <c r="AG542" s="254"/>
      <c r="AH542" s="254"/>
      <c r="AI542" s="254"/>
      <c r="AJ542" s="324"/>
      <c r="AK542" s="324"/>
      <c r="AL542" s="112">
        <v>100000000</v>
      </c>
      <c r="AM542" s="10"/>
      <c r="AN542" s="324"/>
      <c r="AO542" s="293"/>
      <c r="AP542" s="293"/>
      <c r="AQ542" s="26">
        <f>P542+Q542+R542+S542+T542+U542+V542+W542+X542+Y542+Z542+AA542+AB542+AC542+AD542+AE542+AF542+AG542+AH542+AI542+AJ542+AK542+AL542+AM542+AN542+AP542+AO542</f>
        <v>100000000</v>
      </c>
    </row>
    <row r="543" spans="1:43" ht="15" x14ac:dyDescent="0.25">
      <c r="A543" s="20"/>
      <c r="B543" s="152"/>
      <c r="C543" s="767"/>
      <c r="D543" s="799"/>
      <c r="E543" s="791"/>
      <c r="F543" s="791"/>
      <c r="G543" s="492"/>
      <c r="H543" s="493"/>
      <c r="I543" s="154"/>
      <c r="J543" s="156"/>
      <c r="K543" s="156"/>
      <c r="L543" s="156"/>
      <c r="M543" s="157"/>
      <c r="N543" s="154"/>
      <c r="O543" s="155"/>
      <c r="P543" s="158">
        <f t="shared" ref="P543:AK543" si="258">SUM(P542:P542)</f>
        <v>0</v>
      </c>
      <c r="Q543" s="158">
        <f t="shared" si="258"/>
        <v>0</v>
      </c>
      <c r="R543" s="158">
        <f t="shared" si="258"/>
        <v>0</v>
      </c>
      <c r="S543" s="158">
        <f t="shared" si="258"/>
        <v>0</v>
      </c>
      <c r="T543" s="158">
        <f t="shared" si="258"/>
        <v>0</v>
      </c>
      <c r="U543" s="158">
        <f t="shared" si="258"/>
        <v>0</v>
      </c>
      <c r="V543" s="158">
        <f t="shared" si="258"/>
        <v>0</v>
      </c>
      <c r="W543" s="158">
        <f t="shared" si="258"/>
        <v>0</v>
      </c>
      <c r="X543" s="158">
        <f t="shared" si="258"/>
        <v>0</v>
      </c>
      <c r="Y543" s="158">
        <f t="shared" si="258"/>
        <v>0</v>
      </c>
      <c r="Z543" s="158">
        <f t="shared" si="258"/>
        <v>0</v>
      </c>
      <c r="AA543" s="158">
        <f t="shared" si="258"/>
        <v>0</v>
      </c>
      <c r="AB543" s="158">
        <f t="shared" si="258"/>
        <v>0</v>
      </c>
      <c r="AC543" s="158">
        <f t="shared" si="258"/>
        <v>0</v>
      </c>
      <c r="AD543" s="158">
        <f t="shared" si="258"/>
        <v>0</v>
      </c>
      <c r="AE543" s="158">
        <f t="shared" si="258"/>
        <v>0</v>
      </c>
      <c r="AF543" s="158">
        <f t="shared" si="258"/>
        <v>0</v>
      </c>
      <c r="AG543" s="158">
        <f t="shared" si="258"/>
        <v>0</v>
      </c>
      <c r="AH543" s="158">
        <f t="shared" si="258"/>
        <v>0</v>
      </c>
      <c r="AI543" s="158">
        <f t="shared" si="258"/>
        <v>0</v>
      </c>
      <c r="AJ543" s="158">
        <f t="shared" si="258"/>
        <v>0</v>
      </c>
      <c r="AK543" s="158">
        <f t="shared" si="258"/>
        <v>0</v>
      </c>
      <c r="AL543" s="158">
        <f t="shared" ref="AL543:AP543" si="259">SUM(AL542:AL542)</f>
        <v>100000000</v>
      </c>
      <c r="AM543" s="158">
        <f t="shared" si="259"/>
        <v>0</v>
      </c>
      <c r="AN543" s="158">
        <f t="shared" si="259"/>
        <v>0</v>
      </c>
      <c r="AO543" s="158">
        <f t="shared" si="259"/>
        <v>0</v>
      </c>
      <c r="AP543" s="158">
        <f t="shared" si="259"/>
        <v>0</v>
      </c>
      <c r="AQ543" s="158">
        <f>SUM(AQ542:AQ542)</f>
        <v>100000000</v>
      </c>
    </row>
    <row r="544" spans="1:43" ht="15" x14ac:dyDescent="0.25">
      <c r="A544" s="152"/>
      <c r="B544" s="218"/>
      <c r="C544" s="162"/>
      <c r="D544" s="161"/>
      <c r="E544" s="162"/>
      <c r="F544" s="162"/>
      <c r="G544" s="161"/>
      <c r="H544" s="162"/>
      <c r="I544" s="161"/>
      <c r="J544" s="163"/>
      <c r="K544" s="163"/>
      <c r="L544" s="163"/>
      <c r="M544" s="164"/>
      <c r="N544" s="161"/>
      <c r="O544" s="162"/>
      <c r="P544" s="165">
        <f t="shared" ref="P544:AK546" si="260">P543</f>
        <v>0</v>
      </c>
      <c r="Q544" s="165">
        <f t="shared" si="260"/>
        <v>0</v>
      </c>
      <c r="R544" s="165">
        <f t="shared" si="260"/>
        <v>0</v>
      </c>
      <c r="S544" s="165">
        <f t="shared" si="260"/>
        <v>0</v>
      </c>
      <c r="T544" s="165">
        <f t="shared" si="260"/>
        <v>0</v>
      </c>
      <c r="U544" s="165">
        <f t="shared" si="260"/>
        <v>0</v>
      </c>
      <c r="V544" s="165">
        <f t="shared" si="260"/>
        <v>0</v>
      </c>
      <c r="W544" s="165">
        <f t="shared" si="260"/>
        <v>0</v>
      </c>
      <c r="X544" s="165">
        <f t="shared" si="260"/>
        <v>0</v>
      </c>
      <c r="Y544" s="165">
        <f t="shared" si="260"/>
        <v>0</v>
      </c>
      <c r="Z544" s="165">
        <f t="shared" si="260"/>
        <v>0</v>
      </c>
      <c r="AA544" s="165">
        <f t="shared" si="260"/>
        <v>0</v>
      </c>
      <c r="AB544" s="165">
        <f t="shared" si="260"/>
        <v>0</v>
      </c>
      <c r="AC544" s="165">
        <f t="shared" si="260"/>
        <v>0</v>
      </c>
      <c r="AD544" s="165">
        <f t="shared" si="260"/>
        <v>0</v>
      </c>
      <c r="AE544" s="165">
        <f t="shared" si="260"/>
        <v>0</v>
      </c>
      <c r="AF544" s="165">
        <f t="shared" si="260"/>
        <v>0</v>
      </c>
      <c r="AG544" s="165">
        <f t="shared" si="260"/>
        <v>0</v>
      </c>
      <c r="AH544" s="165">
        <f t="shared" si="260"/>
        <v>0</v>
      </c>
      <c r="AI544" s="165">
        <f t="shared" si="260"/>
        <v>0</v>
      </c>
      <c r="AJ544" s="165">
        <f t="shared" si="260"/>
        <v>0</v>
      </c>
      <c r="AK544" s="165">
        <f t="shared" si="260"/>
        <v>0</v>
      </c>
      <c r="AL544" s="165">
        <f t="shared" ref="AL544:AP546" si="261">AL543</f>
        <v>100000000</v>
      </c>
      <c r="AM544" s="165">
        <f t="shared" si="261"/>
        <v>0</v>
      </c>
      <c r="AN544" s="165">
        <f t="shared" si="261"/>
        <v>0</v>
      </c>
      <c r="AO544" s="165">
        <f t="shared" si="261"/>
        <v>0</v>
      </c>
      <c r="AP544" s="165">
        <f t="shared" si="261"/>
        <v>0</v>
      </c>
      <c r="AQ544" s="165">
        <f>AQ543</f>
        <v>100000000</v>
      </c>
    </row>
    <row r="545" spans="1:43" ht="15" x14ac:dyDescent="0.25">
      <c r="A545" s="166"/>
      <c r="B545" s="166"/>
      <c r="C545" s="167"/>
      <c r="D545" s="166"/>
      <c r="E545" s="167"/>
      <c r="F545" s="167"/>
      <c r="G545" s="166"/>
      <c r="H545" s="167"/>
      <c r="I545" s="166"/>
      <c r="J545" s="168"/>
      <c r="K545" s="168"/>
      <c r="L545" s="168"/>
      <c r="M545" s="169"/>
      <c r="N545" s="166"/>
      <c r="O545" s="167"/>
      <c r="P545" s="170">
        <f t="shared" si="260"/>
        <v>0</v>
      </c>
      <c r="Q545" s="170">
        <f t="shared" si="260"/>
        <v>0</v>
      </c>
      <c r="R545" s="170">
        <f t="shared" si="260"/>
        <v>0</v>
      </c>
      <c r="S545" s="170">
        <f t="shared" si="260"/>
        <v>0</v>
      </c>
      <c r="T545" s="170">
        <f t="shared" si="260"/>
        <v>0</v>
      </c>
      <c r="U545" s="170">
        <f t="shared" si="260"/>
        <v>0</v>
      </c>
      <c r="V545" s="170">
        <f t="shared" si="260"/>
        <v>0</v>
      </c>
      <c r="W545" s="170">
        <f t="shared" si="260"/>
        <v>0</v>
      </c>
      <c r="X545" s="170">
        <f t="shared" si="260"/>
        <v>0</v>
      </c>
      <c r="Y545" s="170">
        <f t="shared" si="260"/>
        <v>0</v>
      </c>
      <c r="Z545" s="170">
        <f t="shared" si="260"/>
        <v>0</v>
      </c>
      <c r="AA545" s="170">
        <f t="shared" si="260"/>
        <v>0</v>
      </c>
      <c r="AB545" s="170">
        <f t="shared" si="260"/>
        <v>0</v>
      </c>
      <c r="AC545" s="170">
        <f t="shared" si="260"/>
        <v>0</v>
      </c>
      <c r="AD545" s="170">
        <f t="shared" si="260"/>
        <v>0</v>
      </c>
      <c r="AE545" s="170">
        <f t="shared" si="260"/>
        <v>0</v>
      </c>
      <c r="AF545" s="170">
        <f t="shared" si="260"/>
        <v>0</v>
      </c>
      <c r="AG545" s="170">
        <f t="shared" si="260"/>
        <v>0</v>
      </c>
      <c r="AH545" s="170">
        <f t="shared" si="260"/>
        <v>0</v>
      </c>
      <c r="AI545" s="170">
        <f t="shared" si="260"/>
        <v>0</v>
      </c>
      <c r="AJ545" s="170">
        <f t="shared" si="260"/>
        <v>0</v>
      </c>
      <c r="AK545" s="170">
        <f t="shared" si="260"/>
        <v>0</v>
      </c>
      <c r="AL545" s="170">
        <f t="shared" si="261"/>
        <v>100000000</v>
      </c>
      <c r="AM545" s="170">
        <f t="shared" si="261"/>
        <v>0</v>
      </c>
      <c r="AN545" s="170">
        <f t="shared" si="261"/>
        <v>0</v>
      </c>
      <c r="AO545" s="170">
        <f t="shared" si="261"/>
        <v>0</v>
      </c>
      <c r="AP545" s="170">
        <f t="shared" si="261"/>
        <v>0</v>
      </c>
      <c r="AQ545" s="170">
        <f>AQ544</f>
        <v>100000000</v>
      </c>
    </row>
    <row r="546" spans="1:43" ht="15" x14ac:dyDescent="0.25">
      <c r="A546" s="171"/>
      <c r="B546" s="171"/>
      <c r="C546" s="172"/>
      <c r="D546" s="171"/>
      <c r="E546" s="172"/>
      <c r="F546" s="172"/>
      <c r="G546" s="171"/>
      <c r="H546" s="172"/>
      <c r="I546" s="171"/>
      <c r="J546" s="173"/>
      <c r="K546" s="173"/>
      <c r="L546" s="173"/>
      <c r="M546" s="174"/>
      <c r="N546" s="171"/>
      <c r="O546" s="172"/>
      <c r="P546" s="175">
        <f t="shared" si="260"/>
        <v>0</v>
      </c>
      <c r="Q546" s="175">
        <f t="shared" si="260"/>
        <v>0</v>
      </c>
      <c r="R546" s="175">
        <f t="shared" si="260"/>
        <v>0</v>
      </c>
      <c r="S546" s="175">
        <f t="shared" si="260"/>
        <v>0</v>
      </c>
      <c r="T546" s="175">
        <f t="shared" si="260"/>
        <v>0</v>
      </c>
      <c r="U546" s="175">
        <f t="shared" si="260"/>
        <v>0</v>
      </c>
      <c r="V546" s="175">
        <f t="shared" si="260"/>
        <v>0</v>
      </c>
      <c r="W546" s="175">
        <f t="shared" si="260"/>
        <v>0</v>
      </c>
      <c r="X546" s="175">
        <f t="shared" si="260"/>
        <v>0</v>
      </c>
      <c r="Y546" s="175">
        <f t="shared" si="260"/>
        <v>0</v>
      </c>
      <c r="Z546" s="175">
        <f t="shared" si="260"/>
        <v>0</v>
      </c>
      <c r="AA546" s="175">
        <f t="shared" si="260"/>
        <v>0</v>
      </c>
      <c r="AB546" s="175">
        <f t="shared" si="260"/>
        <v>0</v>
      </c>
      <c r="AC546" s="175">
        <f t="shared" si="260"/>
        <v>0</v>
      </c>
      <c r="AD546" s="175">
        <f t="shared" si="260"/>
        <v>0</v>
      </c>
      <c r="AE546" s="175">
        <f t="shared" si="260"/>
        <v>0</v>
      </c>
      <c r="AF546" s="175">
        <f t="shared" si="260"/>
        <v>0</v>
      </c>
      <c r="AG546" s="175">
        <f t="shared" si="260"/>
        <v>0</v>
      </c>
      <c r="AH546" s="175">
        <f t="shared" si="260"/>
        <v>0</v>
      </c>
      <c r="AI546" s="175">
        <f t="shared" si="260"/>
        <v>0</v>
      </c>
      <c r="AJ546" s="175">
        <f t="shared" si="260"/>
        <v>0</v>
      </c>
      <c r="AK546" s="175">
        <f t="shared" si="260"/>
        <v>0</v>
      </c>
      <c r="AL546" s="175">
        <f t="shared" si="261"/>
        <v>100000000</v>
      </c>
      <c r="AM546" s="175">
        <f t="shared" si="261"/>
        <v>0</v>
      </c>
      <c r="AN546" s="175">
        <f t="shared" si="261"/>
        <v>0</v>
      </c>
      <c r="AO546" s="175">
        <f t="shared" si="261"/>
        <v>0</v>
      </c>
      <c r="AP546" s="175">
        <f t="shared" si="261"/>
        <v>0</v>
      </c>
      <c r="AQ546" s="175">
        <f>AQ545</f>
        <v>100000000</v>
      </c>
    </row>
    <row r="547" spans="1:43" s="28" customFormat="1" ht="15" x14ac:dyDescent="0.25">
      <c r="A547" s="176"/>
      <c r="B547" s="177"/>
      <c r="C547" s="795"/>
      <c r="D547" s="177"/>
      <c r="E547" s="795"/>
      <c r="F547" s="795"/>
      <c r="G547" s="177"/>
      <c r="H547" s="795"/>
      <c r="I547" s="177"/>
      <c r="J547" s="178"/>
      <c r="K547" s="178"/>
      <c r="L547" s="178"/>
      <c r="M547" s="179"/>
      <c r="N547" s="177"/>
      <c r="O547" s="795"/>
      <c r="P547" s="180"/>
      <c r="Q547" s="180"/>
      <c r="R547" s="180"/>
      <c r="S547" s="180"/>
      <c r="T547" s="180"/>
      <c r="U547" s="180"/>
      <c r="V547" s="180"/>
      <c r="W547" s="180"/>
      <c r="X547" s="180"/>
      <c r="Y547" s="180"/>
      <c r="Z547" s="180"/>
      <c r="AA547" s="180"/>
      <c r="AB547" s="180"/>
      <c r="AC547" s="180"/>
      <c r="AD547" s="181"/>
      <c r="AE547" s="181"/>
      <c r="AF547" s="181"/>
      <c r="AG547" s="181"/>
      <c r="AH547" s="181"/>
      <c r="AI547" s="181"/>
      <c r="AJ547" s="180"/>
      <c r="AK547" s="180"/>
      <c r="AL547" s="182"/>
      <c r="AM547" s="183"/>
      <c r="AN547" s="180"/>
      <c r="AO547" s="180"/>
      <c r="AP547" s="180"/>
      <c r="AQ547" s="695"/>
    </row>
    <row r="548" spans="1:43" ht="20.25" x14ac:dyDescent="0.25">
      <c r="A548" s="134" t="s">
        <v>666</v>
      </c>
      <c r="B548" s="135"/>
      <c r="C548" s="136"/>
      <c r="D548" s="135"/>
      <c r="E548" s="135"/>
      <c r="F548" s="135"/>
      <c r="G548" s="135"/>
      <c r="H548" s="136"/>
      <c r="I548" s="135"/>
      <c r="J548" s="135"/>
      <c r="K548" s="135"/>
      <c r="L548" s="135"/>
      <c r="M548" s="650"/>
      <c r="N548" s="135"/>
      <c r="O548" s="136"/>
      <c r="P548" s="135"/>
      <c r="Q548" s="135"/>
      <c r="R548" s="135"/>
      <c r="S548" s="135"/>
      <c r="T548" s="135"/>
      <c r="U548" s="135"/>
      <c r="V548" s="135"/>
      <c r="W548" s="135"/>
      <c r="X548" s="135"/>
      <c r="Y548" s="135"/>
      <c r="Z548" s="135"/>
      <c r="AA548" s="135"/>
      <c r="AB548" s="135"/>
      <c r="AC548" s="135"/>
      <c r="AD548" s="135"/>
      <c r="AE548" s="135"/>
      <c r="AF548" s="135"/>
      <c r="AG548" s="135"/>
      <c r="AH548" s="135"/>
      <c r="AI548" s="135"/>
      <c r="AJ548" s="135"/>
      <c r="AK548" s="135"/>
      <c r="AL548" s="137"/>
      <c r="AM548" s="138"/>
      <c r="AN548" s="135"/>
      <c r="AO548" s="135"/>
      <c r="AP548" s="135"/>
      <c r="AQ548" s="564" t="s">
        <v>0</v>
      </c>
    </row>
    <row r="549" spans="1:43" s="28" customFormat="1" ht="15" x14ac:dyDescent="0.25">
      <c r="A549" s="139">
        <v>3</v>
      </c>
      <c r="B549" s="140" t="s">
        <v>420</v>
      </c>
      <c r="C549" s="141"/>
      <c r="D549" s="140"/>
      <c r="E549" s="140"/>
      <c r="F549" s="140"/>
      <c r="G549" s="140"/>
      <c r="H549" s="141"/>
      <c r="I549" s="140"/>
      <c r="J549" s="140"/>
      <c r="K549" s="140"/>
      <c r="L549" s="140"/>
      <c r="M549" s="651"/>
      <c r="N549" s="140"/>
      <c r="O549" s="140"/>
      <c r="P549" s="140"/>
      <c r="Q549" s="140"/>
      <c r="R549" s="140"/>
      <c r="S549" s="140"/>
      <c r="T549" s="140"/>
      <c r="U549" s="140"/>
      <c r="V549" s="140"/>
      <c r="W549" s="140"/>
      <c r="X549" s="140"/>
      <c r="Y549" s="140"/>
      <c r="Z549" s="140"/>
      <c r="AA549" s="140"/>
      <c r="AB549" s="140"/>
      <c r="AC549" s="140"/>
      <c r="AD549" s="140"/>
      <c r="AE549" s="140"/>
      <c r="AF549" s="140"/>
      <c r="AG549" s="140"/>
      <c r="AH549" s="140"/>
      <c r="AI549" s="140"/>
      <c r="AJ549" s="140"/>
      <c r="AK549" s="140"/>
      <c r="AL549" s="142"/>
      <c r="AM549" s="140"/>
      <c r="AN549" s="140"/>
      <c r="AO549" s="140"/>
      <c r="AP549" s="140"/>
      <c r="AQ549" s="538"/>
    </row>
    <row r="550" spans="1:43" s="28" customFormat="1" ht="15" x14ac:dyDescent="0.25">
      <c r="A550" s="185"/>
      <c r="B550" s="243">
        <v>11</v>
      </c>
      <c r="C550" s="147" t="s">
        <v>421</v>
      </c>
      <c r="D550" s="146"/>
      <c r="E550" s="146"/>
      <c r="F550" s="146"/>
      <c r="G550" s="146"/>
      <c r="H550" s="147"/>
      <c r="I550" s="146"/>
      <c r="J550" s="146"/>
      <c r="K550" s="146"/>
      <c r="L550" s="146"/>
      <c r="M550" s="652"/>
      <c r="N550" s="146"/>
      <c r="O550" s="146"/>
      <c r="P550" s="146"/>
      <c r="Q550" s="146"/>
      <c r="R550" s="146"/>
      <c r="S550" s="146"/>
      <c r="T550" s="146"/>
      <c r="U550" s="146"/>
      <c r="V550" s="146"/>
      <c r="W550" s="146"/>
      <c r="X550" s="146"/>
      <c r="Y550" s="146"/>
      <c r="Z550" s="146"/>
      <c r="AA550" s="146"/>
      <c r="AB550" s="146"/>
      <c r="AC550" s="146"/>
      <c r="AD550" s="146"/>
      <c r="AE550" s="146"/>
      <c r="AF550" s="146"/>
      <c r="AG550" s="146"/>
      <c r="AH550" s="146"/>
      <c r="AI550" s="146"/>
      <c r="AJ550" s="146"/>
      <c r="AK550" s="146"/>
      <c r="AL550" s="148"/>
      <c r="AM550" s="146"/>
      <c r="AN550" s="146"/>
      <c r="AO550" s="146"/>
      <c r="AP550" s="146"/>
      <c r="AQ550" s="524"/>
    </row>
    <row r="551" spans="1:43" s="28" customFormat="1" ht="15" x14ac:dyDescent="0.25">
      <c r="A551" s="20"/>
      <c r="B551" s="185"/>
      <c r="C551" s="776"/>
      <c r="D551" s="223"/>
      <c r="E551" s="776"/>
      <c r="F551" s="772"/>
      <c r="G551" s="344">
        <v>35</v>
      </c>
      <c r="H551" s="189" t="s">
        <v>667</v>
      </c>
      <c r="I551" s="189"/>
      <c r="J551" s="189"/>
      <c r="K551" s="189"/>
      <c r="L551" s="189"/>
      <c r="M551" s="659"/>
      <c r="N551" s="189"/>
      <c r="O551" s="189"/>
      <c r="P551" s="189"/>
      <c r="Q551" s="189"/>
      <c r="R551" s="189"/>
      <c r="S551" s="189"/>
      <c r="T551" s="189"/>
      <c r="U551" s="189"/>
      <c r="V551" s="189"/>
      <c r="W551" s="189"/>
      <c r="X551" s="189"/>
      <c r="Y551" s="189"/>
      <c r="Z551" s="189"/>
      <c r="AA551" s="189"/>
      <c r="AB551" s="189"/>
      <c r="AC551" s="189"/>
      <c r="AD551" s="189"/>
      <c r="AE551" s="189"/>
      <c r="AF551" s="189"/>
      <c r="AG551" s="189"/>
      <c r="AH551" s="189"/>
      <c r="AI551" s="189"/>
      <c r="AJ551" s="189"/>
      <c r="AK551" s="189"/>
      <c r="AL551" s="190"/>
      <c r="AM551" s="189"/>
      <c r="AN551" s="189"/>
      <c r="AO551" s="189"/>
      <c r="AP551" s="189"/>
      <c r="AQ551" s="648"/>
    </row>
    <row r="552" spans="1:43" ht="105" customHeight="1" x14ac:dyDescent="0.25">
      <c r="A552" s="20"/>
      <c r="B552" s="19"/>
      <c r="C552" s="494"/>
      <c r="D552" s="495"/>
      <c r="E552" s="495"/>
      <c r="F552" s="495"/>
      <c r="G552" s="100"/>
      <c r="H552" s="773">
        <v>127</v>
      </c>
      <c r="I552" s="774" t="s">
        <v>668</v>
      </c>
      <c r="J552" s="775" t="s">
        <v>30</v>
      </c>
      <c r="K552" s="775">
        <v>1</v>
      </c>
      <c r="L552" s="858" t="s">
        <v>669</v>
      </c>
      <c r="M552" s="854" t="s">
        <v>670</v>
      </c>
      <c r="N552" s="849" t="s">
        <v>671</v>
      </c>
      <c r="O552" s="775" t="s">
        <v>38</v>
      </c>
      <c r="P552" s="26">
        <v>0</v>
      </c>
      <c r="Q552" s="26">
        <v>0</v>
      </c>
      <c r="R552" s="26">
        <v>0</v>
      </c>
      <c r="S552" s="26">
        <v>0</v>
      </c>
      <c r="T552" s="26">
        <v>0</v>
      </c>
      <c r="U552" s="26">
        <v>0</v>
      </c>
      <c r="V552" s="26">
        <v>0</v>
      </c>
      <c r="W552" s="14">
        <v>104940000</v>
      </c>
      <c r="X552" s="4"/>
      <c r="Y552" s="4"/>
      <c r="Z552" s="324">
        <v>0</v>
      </c>
      <c r="AA552" s="324"/>
      <c r="AB552" s="324">
        <v>0</v>
      </c>
      <c r="AC552" s="324">
        <v>0</v>
      </c>
      <c r="AD552" s="254"/>
      <c r="AE552" s="254"/>
      <c r="AF552" s="254"/>
      <c r="AG552" s="254"/>
      <c r="AH552" s="254"/>
      <c r="AI552" s="254"/>
      <c r="AJ552" s="324">
        <v>0</v>
      </c>
      <c r="AK552" s="324">
        <v>0</v>
      </c>
      <c r="AL552" s="496">
        <v>0</v>
      </c>
      <c r="AM552" s="497"/>
      <c r="AN552" s="324">
        <v>0</v>
      </c>
      <c r="AO552" s="293">
        <v>0</v>
      </c>
      <c r="AP552" s="293"/>
      <c r="AQ552" s="742">
        <f>P552+Q552+R552+S552+T552+U552+V552+W552+X552+Y552+Z552+AA552+AB552+AC552+AD552+AE552+AF552+AG552+AH552+AI552+AJ552+AK552+AL552+AM552+AN552+AP552+AO552</f>
        <v>104940000</v>
      </c>
    </row>
    <row r="553" spans="1:43" ht="69" customHeight="1" x14ac:dyDescent="0.25">
      <c r="A553" s="20"/>
      <c r="B553" s="19"/>
      <c r="C553" s="794">
        <v>24</v>
      </c>
      <c r="D553" s="764" t="s">
        <v>672</v>
      </c>
      <c r="E553" s="800" t="s">
        <v>673</v>
      </c>
      <c r="F553" s="800" t="s">
        <v>673</v>
      </c>
      <c r="G553" s="101"/>
      <c r="H553" s="773">
        <v>128</v>
      </c>
      <c r="I553" s="774" t="s">
        <v>674</v>
      </c>
      <c r="J553" s="775">
        <v>1</v>
      </c>
      <c r="K553" s="775">
        <v>1</v>
      </c>
      <c r="L553" s="860"/>
      <c r="M553" s="855"/>
      <c r="N553" s="857"/>
      <c r="O553" s="775" t="s">
        <v>38</v>
      </c>
      <c r="P553" s="26">
        <v>0</v>
      </c>
      <c r="Q553" s="26">
        <v>0</v>
      </c>
      <c r="R553" s="26">
        <v>0</v>
      </c>
      <c r="S553" s="26">
        <v>0</v>
      </c>
      <c r="T553" s="26">
        <v>0</v>
      </c>
      <c r="U553" s="26">
        <v>0</v>
      </c>
      <c r="V553" s="26">
        <v>0</v>
      </c>
      <c r="W553" s="4">
        <v>25750000</v>
      </c>
      <c r="X553" s="4"/>
      <c r="Y553" s="4"/>
      <c r="Z553" s="324">
        <v>0</v>
      </c>
      <c r="AA553" s="324"/>
      <c r="AB553" s="324">
        <v>0</v>
      </c>
      <c r="AC553" s="324">
        <v>0</v>
      </c>
      <c r="AD553" s="254"/>
      <c r="AE553" s="254"/>
      <c r="AF553" s="254"/>
      <c r="AG553" s="254"/>
      <c r="AH553" s="254"/>
      <c r="AI553" s="254"/>
      <c r="AJ553" s="324">
        <v>0</v>
      </c>
      <c r="AK553" s="324">
        <v>0</v>
      </c>
      <c r="AL553" s="496">
        <v>0</v>
      </c>
      <c r="AM553" s="497"/>
      <c r="AN553" s="324">
        <v>0</v>
      </c>
      <c r="AO553" s="293">
        <v>0</v>
      </c>
      <c r="AP553" s="293"/>
      <c r="AQ553" s="742">
        <f>P553+Q553+R553+S553+T553+U553+V553+W553+X553+Y553+Z553+AA553+AB553+AC553+AD553+AE553+AF553+AG553+AH553+AI553+AJ553+AK553+AL553+AM553+AN553+AP553+AO553</f>
        <v>25750000</v>
      </c>
    </row>
    <row r="554" spans="1:43" ht="102.75" customHeight="1" x14ac:dyDescent="0.25">
      <c r="A554" s="20"/>
      <c r="B554" s="19"/>
      <c r="C554" s="787"/>
      <c r="D554" s="786"/>
      <c r="E554" s="791"/>
      <c r="F554" s="791"/>
      <c r="G554" s="103"/>
      <c r="H554" s="773">
        <v>129</v>
      </c>
      <c r="I554" s="774" t="s">
        <v>675</v>
      </c>
      <c r="J554" s="775" t="s">
        <v>30</v>
      </c>
      <c r="K554" s="775">
        <v>6</v>
      </c>
      <c r="L554" s="859"/>
      <c r="M554" s="856"/>
      <c r="N554" s="850"/>
      <c r="O554" s="775" t="s">
        <v>38</v>
      </c>
      <c r="P554" s="26">
        <v>0</v>
      </c>
      <c r="Q554" s="26">
        <v>0</v>
      </c>
      <c r="R554" s="26">
        <v>0</v>
      </c>
      <c r="S554" s="26">
        <v>0</v>
      </c>
      <c r="T554" s="26">
        <v>0</v>
      </c>
      <c r="U554" s="26">
        <v>0</v>
      </c>
      <c r="V554" s="26">
        <v>0</v>
      </c>
      <c r="W554" s="4">
        <v>58709999.999999993</v>
      </c>
      <c r="X554" s="4"/>
      <c r="Y554" s="4"/>
      <c r="Z554" s="324">
        <v>0</v>
      </c>
      <c r="AA554" s="324"/>
      <c r="AB554" s="324">
        <v>0</v>
      </c>
      <c r="AC554" s="324">
        <v>0</v>
      </c>
      <c r="AD554" s="254"/>
      <c r="AE554" s="254"/>
      <c r="AF554" s="254"/>
      <c r="AG554" s="254"/>
      <c r="AH554" s="254"/>
      <c r="AI554" s="254"/>
      <c r="AJ554" s="324">
        <v>0</v>
      </c>
      <c r="AK554" s="324">
        <v>0</v>
      </c>
      <c r="AL554" s="496">
        <v>0</v>
      </c>
      <c r="AM554" s="497"/>
      <c r="AN554" s="324">
        <v>0</v>
      </c>
      <c r="AO554" s="293">
        <v>0</v>
      </c>
      <c r="AP554" s="293"/>
      <c r="AQ554" s="742">
        <f>P554+Q554+R554+S554+T554+U554+V554+W554+X554+Y554+Z554+AA554+AB554+AC554+AD554+AE554+AF554+AG554+AH554+AI554+AJ554+AK554+AL554+AM554+AN554+AP554+AO554</f>
        <v>58709999.999999993</v>
      </c>
    </row>
    <row r="555" spans="1:43" ht="15" x14ac:dyDescent="0.25">
      <c r="A555" s="20"/>
      <c r="B555" s="152"/>
      <c r="C555" s="767"/>
      <c r="D555" s="799"/>
      <c r="E555" s="791"/>
      <c r="F555" s="791"/>
      <c r="G555" s="154"/>
      <c r="H555" s="155"/>
      <c r="I555" s="154"/>
      <c r="J555" s="155"/>
      <c r="K555" s="155"/>
      <c r="L555" s="155"/>
      <c r="M555" s="157"/>
      <c r="N555" s="154"/>
      <c r="O555" s="155"/>
      <c r="P555" s="158">
        <f>SUM(P552:P554)</f>
        <v>0</v>
      </c>
      <c r="Q555" s="158">
        <f t="shared" ref="Q555:AK555" si="262">SUM(Q552:Q554)</f>
        <v>0</v>
      </c>
      <c r="R555" s="158">
        <f t="shared" si="262"/>
        <v>0</v>
      </c>
      <c r="S555" s="158">
        <f t="shared" si="262"/>
        <v>0</v>
      </c>
      <c r="T555" s="158">
        <f t="shared" si="262"/>
        <v>0</v>
      </c>
      <c r="U555" s="158">
        <f t="shared" si="262"/>
        <v>0</v>
      </c>
      <c r="V555" s="158">
        <f t="shared" si="262"/>
        <v>0</v>
      </c>
      <c r="W555" s="158">
        <f t="shared" si="262"/>
        <v>189400000</v>
      </c>
      <c r="X555" s="158">
        <f t="shared" si="262"/>
        <v>0</v>
      </c>
      <c r="Y555" s="158">
        <f t="shared" si="262"/>
        <v>0</v>
      </c>
      <c r="Z555" s="158">
        <f t="shared" si="262"/>
        <v>0</v>
      </c>
      <c r="AA555" s="158">
        <f t="shared" si="262"/>
        <v>0</v>
      </c>
      <c r="AB555" s="158">
        <f t="shared" si="262"/>
        <v>0</v>
      </c>
      <c r="AC555" s="158">
        <f t="shared" si="262"/>
        <v>0</v>
      </c>
      <c r="AD555" s="158">
        <f t="shared" si="262"/>
        <v>0</v>
      </c>
      <c r="AE555" s="158">
        <f t="shared" si="262"/>
        <v>0</v>
      </c>
      <c r="AF555" s="158">
        <f t="shared" si="262"/>
        <v>0</v>
      </c>
      <c r="AG555" s="158">
        <f t="shared" si="262"/>
        <v>0</v>
      </c>
      <c r="AH555" s="158">
        <f t="shared" si="262"/>
        <v>0</v>
      </c>
      <c r="AI555" s="158">
        <f t="shared" si="262"/>
        <v>0</v>
      </c>
      <c r="AJ555" s="158">
        <f t="shared" si="262"/>
        <v>0</v>
      </c>
      <c r="AK555" s="158">
        <f t="shared" si="262"/>
        <v>0</v>
      </c>
      <c r="AL555" s="158">
        <f t="shared" ref="AL555:AP555" si="263">SUM(AL552:AL554)</f>
        <v>0</v>
      </c>
      <c r="AM555" s="158">
        <f t="shared" si="263"/>
        <v>0</v>
      </c>
      <c r="AN555" s="158">
        <f t="shared" si="263"/>
        <v>0</v>
      </c>
      <c r="AO555" s="158">
        <f t="shared" si="263"/>
        <v>0</v>
      </c>
      <c r="AP555" s="158">
        <f t="shared" si="263"/>
        <v>0</v>
      </c>
      <c r="AQ555" s="396">
        <f>SUM(AQ552:AQ554)</f>
        <v>189400000</v>
      </c>
    </row>
    <row r="556" spans="1:43" ht="15" x14ac:dyDescent="0.25">
      <c r="A556" s="20"/>
      <c r="B556" s="218"/>
      <c r="C556" s="162"/>
      <c r="D556" s="161"/>
      <c r="E556" s="162"/>
      <c r="F556" s="162"/>
      <c r="G556" s="161"/>
      <c r="H556" s="162"/>
      <c r="I556" s="161"/>
      <c r="J556" s="162"/>
      <c r="K556" s="162"/>
      <c r="L556" s="162"/>
      <c r="M556" s="164"/>
      <c r="N556" s="161"/>
      <c r="O556" s="162"/>
      <c r="P556" s="165">
        <f>P555</f>
        <v>0</v>
      </c>
      <c r="Q556" s="165">
        <f t="shared" ref="Q556:AK556" si="264">Q555</f>
        <v>0</v>
      </c>
      <c r="R556" s="165">
        <f t="shared" si="264"/>
        <v>0</v>
      </c>
      <c r="S556" s="165">
        <f t="shared" si="264"/>
        <v>0</v>
      </c>
      <c r="T556" s="165">
        <f t="shared" si="264"/>
        <v>0</v>
      </c>
      <c r="U556" s="165">
        <f t="shared" si="264"/>
        <v>0</v>
      </c>
      <c r="V556" s="165">
        <f t="shared" si="264"/>
        <v>0</v>
      </c>
      <c r="W556" s="165">
        <f t="shared" si="264"/>
        <v>189400000</v>
      </c>
      <c r="X556" s="165">
        <f t="shared" si="264"/>
        <v>0</v>
      </c>
      <c r="Y556" s="165">
        <f t="shared" si="264"/>
        <v>0</v>
      </c>
      <c r="Z556" s="165">
        <f t="shared" si="264"/>
        <v>0</v>
      </c>
      <c r="AA556" s="165">
        <f t="shared" si="264"/>
        <v>0</v>
      </c>
      <c r="AB556" s="165">
        <f t="shared" si="264"/>
        <v>0</v>
      </c>
      <c r="AC556" s="165">
        <f t="shared" si="264"/>
        <v>0</v>
      </c>
      <c r="AD556" s="165">
        <f t="shared" si="264"/>
        <v>0</v>
      </c>
      <c r="AE556" s="165">
        <f t="shared" si="264"/>
        <v>0</v>
      </c>
      <c r="AF556" s="165">
        <f t="shared" si="264"/>
        <v>0</v>
      </c>
      <c r="AG556" s="165">
        <f t="shared" si="264"/>
        <v>0</v>
      </c>
      <c r="AH556" s="165">
        <f t="shared" si="264"/>
        <v>0</v>
      </c>
      <c r="AI556" s="165">
        <f t="shared" si="264"/>
        <v>0</v>
      </c>
      <c r="AJ556" s="165">
        <f t="shared" si="264"/>
        <v>0</v>
      </c>
      <c r="AK556" s="165">
        <f t="shared" si="264"/>
        <v>0</v>
      </c>
      <c r="AL556" s="165">
        <f t="shared" ref="AL556:AP556" si="265">AL555</f>
        <v>0</v>
      </c>
      <c r="AM556" s="165">
        <f t="shared" si="265"/>
        <v>0</v>
      </c>
      <c r="AN556" s="165">
        <f t="shared" si="265"/>
        <v>0</v>
      </c>
      <c r="AO556" s="165">
        <f t="shared" si="265"/>
        <v>0</v>
      </c>
      <c r="AP556" s="165">
        <f t="shared" si="265"/>
        <v>0</v>
      </c>
      <c r="AQ556" s="397">
        <f>AQ555</f>
        <v>189400000</v>
      </c>
    </row>
    <row r="557" spans="1:43" s="28" customFormat="1" ht="15" x14ac:dyDescent="0.25">
      <c r="A557" s="20"/>
      <c r="B557" s="177"/>
      <c r="C557" s="795"/>
      <c r="D557" s="177"/>
      <c r="E557" s="795"/>
      <c r="F557" s="795"/>
      <c r="G557" s="177"/>
      <c r="H557" s="795"/>
      <c r="I557" s="177"/>
      <c r="J557" s="795"/>
      <c r="K557" s="795"/>
      <c r="L557" s="776"/>
      <c r="M557" s="234"/>
      <c r="N557" s="223"/>
      <c r="O557" s="795"/>
      <c r="P557" s="180"/>
      <c r="Q557" s="180"/>
      <c r="R557" s="180"/>
      <c r="S557" s="180"/>
      <c r="T557" s="180"/>
      <c r="U557" s="180"/>
      <c r="V557" s="180"/>
      <c r="W557" s="180"/>
      <c r="X557" s="180"/>
      <c r="Y557" s="180"/>
      <c r="Z557" s="180"/>
      <c r="AA557" s="180"/>
      <c r="AB557" s="180"/>
      <c r="AC557" s="180"/>
      <c r="AD557" s="180"/>
      <c r="AE557" s="180"/>
      <c r="AF557" s="180"/>
      <c r="AG557" s="180"/>
      <c r="AH557" s="180"/>
      <c r="AI557" s="180"/>
      <c r="AJ557" s="180"/>
      <c r="AK557" s="180"/>
      <c r="AL557" s="182"/>
      <c r="AM557" s="180"/>
      <c r="AN557" s="180"/>
      <c r="AO557" s="180"/>
      <c r="AP557" s="180"/>
      <c r="AQ557" s="742"/>
    </row>
    <row r="558" spans="1:43" s="28" customFormat="1" ht="15" x14ac:dyDescent="0.25">
      <c r="A558" s="20"/>
      <c r="B558" s="498">
        <v>12</v>
      </c>
      <c r="C558" s="145" t="s">
        <v>676</v>
      </c>
      <c r="D558" s="146"/>
      <c r="E558" s="146"/>
      <c r="F558" s="146"/>
      <c r="G558" s="146"/>
      <c r="H558" s="147"/>
      <c r="I558" s="146"/>
      <c r="J558" s="146"/>
      <c r="K558" s="146"/>
      <c r="L558" s="146"/>
      <c r="M558" s="652"/>
      <c r="N558" s="146"/>
      <c r="O558" s="146"/>
      <c r="P558" s="146"/>
      <c r="Q558" s="146"/>
      <c r="R558" s="146"/>
      <c r="S558" s="146"/>
      <c r="T558" s="146"/>
      <c r="U558" s="146"/>
      <c r="V558" s="146"/>
      <c r="W558" s="146"/>
      <c r="X558" s="146"/>
      <c r="Y558" s="146"/>
      <c r="Z558" s="146"/>
      <c r="AA558" s="146"/>
      <c r="AB558" s="146"/>
      <c r="AC558" s="146"/>
      <c r="AD558" s="146"/>
      <c r="AE558" s="146"/>
      <c r="AF558" s="146"/>
      <c r="AG558" s="146"/>
      <c r="AH558" s="146"/>
      <c r="AI558" s="146"/>
      <c r="AJ558" s="146"/>
      <c r="AK558" s="146"/>
      <c r="AL558" s="148"/>
      <c r="AM558" s="146"/>
      <c r="AN558" s="146"/>
      <c r="AO558" s="146"/>
      <c r="AP558" s="146"/>
      <c r="AQ558" s="649"/>
    </row>
    <row r="559" spans="1:43" s="28" customFormat="1" ht="15" x14ac:dyDescent="0.25">
      <c r="A559" s="19"/>
      <c r="B559" s="20"/>
      <c r="C559" s="795"/>
      <c r="D559" s="177"/>
      <c r="E559" s="795"/>
      <c r="F559" s="773"/>
      <c r="G559" s="344">
        <v>36</v>
      </c>
      <c r="H559" s="189" t="s">
        <v>677</v>
      </c>
      <c r="I559" s="189"/>
      <c r="J559" s="189"/>
      <c r="K559" s="189"/>
      <c r="L559" s="189"/>
      <c r="M559" s="659"/>
      <c r="N559" s="189"/>
      <c r="O559" s="189"/>
      <c r="P559" s="189"/>
      <c r="Q559" s="189"/>
      <c r="R559" s="189"/>
      <c r="S559" s="189"/>
      <c r="T559" s="189"/>
      <c r="U559" s="189"/>
      <c r="V559" s="189"/>
      <c r="W559" s="189"/>
      <c r="X559" s="189"/>
      <c r="Y559" s="189"/>
      <c r="Z559" s="189"/>
      <c r="AA559" s="189"/>
      <c r="AB559" s="189"/>
      <c r="AC559" s="189"/>
      <c r="AD559" s="189"/>
      <c r="AE559" s="189"/>
      <c r="AF559" s="189"/>
      <c r="AG559" s="189"/>
      <c r="AH559" s="189"/>
      <c r="AI559" s="189"/>
      <c r="AJ559" s="189"/>
      <c r="AK559" s="189"/>
      <c r="AL559" s="190"/>
      <c r="AM559" s="189"/>
      <c r="AN559" s="189"/>
      <c r="AO559" s="189"/>
      <c r="AP559" s="189"/>
      <c r="AQ559" s="648"/>
    </row>
    <row r="560" spans="1:43" ht="42" customHeight="1" x14ac:dyDescent="0.25">
      <c r="A560" s="19"/>
      <c r="B560" s="20"/>
      <c r="C560" s="861">
        <v>3</v>
      </c>
      <c r="D560" s="935" t="s">
        <v>353</v>
      </c>
      <c r="E560" s="868" t="s">
        <v>140</v>
      </c>
      <c r="F560" s="868" t="s">
        <v>141</v>
      </c>
      <c r="G560" s="858"/>
      <c r="H560" s="775">
        <v>130</v>
      </c>
      <c r="I560" s="774" t="s">
        <v>678</v>
      </c>
      <c r="J560" s="323">
        <v>0</v>
      </c>
      <c r="K560" s="775">
        <v>1</v>
      </c>
      <c r="L560" s="931">
        <v>2</v>
      </c>
      <c r="M560" s="854" t="s">
        <v>679</v>
      </c>
      <c r="N560" s="849" t="s">
        <v>680</v>
      </c>
      <c r="O560" s="775" t="s">
        <v>38</v>
      </c>
      <c r="P560" s="26">
        <v>0</v>
      </c>
      <c r="Q560" s="26">
        <v>0</v>
      </c>
      <c r="R560" s="26">
        <v>0</v>
      </c>
      <c r="S560" s="26">
        <v>0</v>
      </c>
      <c r="T560" s="26">
        <v>0</v>
      </c>
      <c r="U560" s="26">
        <v>0</v>
      </c>
      <c r="V560" s="26">
        <v>0</v>
      </c>
      <c r="W560" s="499">
        <v>30900000</v>
      </c>
      <c r="X560" s="500"/>
      <c r="Y560" s="500"/>
      <c r="Z560" s="324">
        <v>0</v>
      </c>
      <c r="AA560" s="324"/>
      <c r="AB560" s="324">
        <v>0</v>
      </c>
      <c r="AC560" s="324">
        <v>0</v>
      </c>
      <c r="AD560" s="254"/>
      <c r="AE560" s="254"/>
      <c r="AF560" s="254"/>
      <c r="AG560" s="254"/>
      <c r="AH560" s="254"/>
      <c r="AI560" s="254"/>
      <c r="AJ560" s="324">
        <v>0</v>
      </c>
      <c r="AK560" s="324">
        <v>0</v>
      </c>
      <c r="AL560" s="496">
        <v>0</v>
      </c>
      <c r="AM560" s="497"/>
      <c r="AN560" s="324">
        <v>0</v>
      </c>
      <c r="AO560" s="293">
        <v>0</v>
      </c>
      <c r="AP560" s="293"/>
      <c r="AQ560" s="742">
        <f>P560+Q560+R560+S560+T560+U560+V560+W560+X560+Y560+Z560+AA560+AB560+AC560+AD560+AE560+AF560+AG560+AH560+AI560+AJ560+AK560+AL560+AM560+AN560+AP560+AO560</f>
        <v>30900000</v>
      </c>
    </row>
    <row r="561" spans="1:43" ht="70.5" customHeight="1" x14ac:dyDescent="0.25">
      <c r="A561" s="19"/>
      <c r="B561" s="20"/>
      <c r="C561" s="862"/>
      <c r="D561" s="937"/>
      <c r="E561" s="946"/>
      <c r="F561" s="946"/>
      <c r="G561" s="859"/>
      <c r="H561" s="775">
        <v>131</v>
      </c>
      <c r="I561" s="774" t="s">
        <v>681</v>
      </c>
      <c r="J561" s="775">
        <v>0</v>
      </c>
      <c r="K561" s="775">
        <v>12</v>
      </c>
      <c r="L561" s="932"/>
      <c r="M561" s="856"/>
      <c r="N561" s="850"/>
      <c r="O561" s="775" t="s">
        <v>34</v>
      </c>
      <c r="P561" s="26">
        <v>0</v>
      </c>
      <c r="Q561" s="26">
        <v>0</v>
      </c>
      <c r="R561" s="26">
        <v>0</v>
      </c>
      <c r="S561" s="26">
        <v>0</v>
      </c>
      <c r="T561" s="26">
        <v>0</v>
      </c>
      <c r="U561" s="26">
        <v>0</v>
      </c>
      <c r="V561" s="26">
        <v>0</v>
      </c>
      <c r="W561" s="499">
        <v>123600000</v>
      </c>
      <c r="X561" s="500"/>
      <c r="Y561" s="500"/>
      <c r="Z561" s="324">
        <v>0</v>
      </c>
      <c r="AA561" s="324"/>
      <c r="AB561" s="324">
        <v>0</v>
      </c>
      <c r="AC561" s="324">
        <v>0</v>
      </c>
      <c r="AD561" s="254"/>
      <c r="AE561" s="254"/>
      <c r="AF561" s="254"/>
      <c r="AG561" s="254"/>
      <c r="AH561" s="254"/>
      <c r="AI561" s="254"/>
      <c r="AJ561" s="324">
        <v>0</v>
      </c>
      <c r="AK561" s="324">
        <v>0</v>
      </c>
      <c r="AL561" s="496">
        <v>0</v>
      </c>
      <c r="AM561" s="497"/>
      <c r="AN561" s="324">
        <v>0</v>
      </c>
      <c r="AO561" s="293">
        <v>0</v>
      </c>
      <c r="AP561" s="293"/>
      <c r="AQ561" s="742">
        <f>P561+Q561+R561+S561+T561+U561+V561+W561+X561+Y561+Z561+AA561+AB561+AC561+AD561+AE561+AF561+AG561+AH561+AI561+AJ561+AK561+AL561+AM561+AN561+AP561+AO561</f>
        <v>123600000</v>
      </c>
    </row>
    <row r="562" spans="1:43" ht="15" x14ac:dyDescent="0.25">
      <c r="A562" s="19"/>
      <c r="B562" s="20"/>
      <c r="C562" s="773"/>
      <c r="D562" s="153"/>
      <c r="E562" s="579"/>
      <c r="F562" s="579"/>
      <c r="G562" s="154"/>
      <c r="H562" s="155"/>
      <c r="I562" s="154"/>
      <c r="J562" s="155"/>
      <c r="K562" s="155"/>
      <c r="L562" s="155"/>
      <c r="M562" s="157"/>
      <c r="N562" s="154"/>
      <c r="O562" s="155"/>
      <c r="P562" s="158">
        <f>SUM(P560:P561)</f>
        <v>0</v>
      </c>
      <c r="Q562" s="158">
        <f t="shared" ref="Q562:AK562" si="266">SUM(Q560:Q561)</f>
        <v>0</v>
      </c>
      <c r="R562" s="158">
        <f t="shared" si="266"/>
        <v>0</v>
      </c>
      <c r="S562" s="158">
        <f t="shared" si="266"/>
        <v>0</v>
      </c>
      <c r="T562" s="158">
        <f t="shared" si="266"/>
        <v>0</v>
      </c>
      <c r="U562" s="158">
        <f t="shared" si="266"/>
        <v>0</v>
      </c>
      <c r="V562" s="158">
        <f t="shared" si="266"/>
        <v>0</v>
      </c>
      <c r="W562" s="158">
        <f t="shared" si="266"/>
        <v>154500000</v>
      </c>
      <c r="X562" s="158">
        <f t="shared" si="266"/>
        <v>0</v>
      </c>
      <c r="Y562" s="158">
        <f t="shared" si="266"/>
        <v>0</v>
      </c>
      <c r="Z562" s="158">
        <f t="shared" si="266"/>
        <v>0</v>
      </c>
      <c r="AA562" s="158">
        <f t="shared" si="266"/>
        <v>0</v>
      </c>
      <c r="AB562" s="158">
        <f t="shared" si="266"/>
        <v>0</v>
      </c>
      <c r="AC562" s="158">
        <f t="shared" si="266"/>
        <v>0</v>
      </c>
      <c r="AD562" s="158">
        <f t="shared" si="266"/>
        <v>0</v>
      </c>
      <c r="AE562" s="158">
        <f t="shared" si="266"/>
        <v>0</v>
      </c>
      <c r="AF562" s="158">
        <f t="shared" si="266"/>
        <v>0</v>
      </c>
      <c r="AG562" s="158">
        <f t="shared" si="266"/>
        <v>0</v>
      </c>
      <c r="AH562" s="158">
        <f t="shared" si="266"/>
        <v>0</v>
      </c>
      <c r="AI562" s="158">
        <f t="shared" si="266"/>
        <v>0</v>
      </c>
      <c r="AJ562" s="158">
        <f t="shared" si="266"/>
        <v>0</v>
      </c>
      <c r="AK562" s="158">
        <f t="shared" si="266"/>
        <v>0</v>
      </c>
      <c r="AL562" s="158">
        <f t="shared" ref="AL562:AP562" si="267">SUM(AL560:AL561)</f>
        <v>0</v>
      </c>
      <c r="AM562" s="158">
        <f t="shared" si="267"/>
        <v>0</v>
      </c>
      <c r="AN562" s="158">
        <f t="shared" si="267"/>
        <v>0</v>
      </c>
      <c r="AO562" s="158">
        <f t="shared" si="267"/>
        <v>0</v>
      </c>
      <c r="AP562" s="158">
        <f t="shared" si="267"/>
        <v>0</v>
      </c>
      <c r="AQ562" s="396">
        <f>SUM(AQ560:AQ561)</f>
        <v>154500000</v>
      </c>
    </row>
    <row r="563" spans="1:43" s="28" customFormat="1" ht="15" x14ac:dyDescent="0.25">
      <c r="A563" s="19"/>
      <c r="B563" s="20"/>
      <c r="C563" s="795"/>
      <c r="D563" s="177"/>
      <c r="E563" s="795"/>
      <c r="F563" s="795"/>
      <c r="G563" s="177"/>
      <c r="H563" s="795"/>
      <c r="I563" s="177"/>
      <c r="J563" s="795"/>
      <c r="K563" s="795"/>
      <c r="L563" s="776"/>
      <c r="M563" s="234"/>
      <c r="N563" s="223"/>
      <c r="O563" s="795"/>
      <c r="P563" s="180"/>
      <c r="Q563" s="180"/>
      <c r="R563" s="180"/>
      <c r="S563" s="180"/>
      <c r="T563" s="180"/>
      <c r="U563" s="180"/>
      <c r="V563" s="180"/>
      <c r="W563" s="180"/>
      <c r="X563" s="180"/>
      <c r="Y563" s="180"/>
      <c r="Z563" s="180"/>
      <c r="AA563" s="180"/>
      <c r="AB563" s="180"/>
      <c r="AC563" s="180"/>
      <c r="AD563" s="180"/>
      <c r="AE563" s="180"/>
      <c r="AF563" s="180"/>
      <c r="AG563" s="180"/>
      <c r="AH563" s="180"/>
      <c r="AI563" s="180"/>
      <c r="AJ563" s="180"/>
      <c r="AK563" s="180"/>
      <c r="AL563" s="182"/>
      <c r="AM563" s="183"/>
      <c r="AN563" s="180"/>
      <c r="AO563" s="180"/>
      <c r="AP563" s="180"/>
      <c r="AQ563" s="742"/>
    </row>
    <row r="564" spans="1:43" ht="15" x14ac:dyDescent="0.25">
      <c r="A564" s="19"/>
      <c r="B564" s="20"/>
      <c r="C564" s="795"/>
      <c r="D564" s="153"/>
      <c r="E564" s="579"/>
      <c r="F564" s="579"/>
      <c r="G564" s="344">
        <v>37</v>
      </c>
      <c r="H564" s="189" t="s">
        <v>682</v>
      </c>
      <c r="I564" s="189"/>
      <c r="J564" s="189"/>
      <c r="K564" s="189"/>
      <c r="L564" s="189"/>
      <c r="M564" s="659"/>
      <c r="N564" s="189"/>
      <c r="O564" s="189"/>
      <c r="P564" s="189"/>
      <c r="Q564" s="189"/>
      <c r="R564" s="189"/>
      <c r="S564" s="189"/>
      <c r="T564" s="189"/>
      <c r="U564" s="189"/>
      <c r="V564" s="189"/>
      <c r="W564" s="189"/>
      <c r="X564" s="189"/>
      <c r="Y564" s="189"/>
      <c r="Z564" s="189"/>
      <c r="AA564" s="189"/>
      <c r="AB564" s="189"/>
      <c r="AC564" s="189"/>
      <c r="AD564" s="189"/>
      <c r="AE564" s="189"/>
      <c r="AF564" s="189"/>
      <c r="AG564" s="189"/>
      <c r="AH564" s="189"/>
      <c r="AI564" s="189"/>
      <c r="AJ564" s="189"/>
      <c r="AK564" s="189"/>
      <c r="AL564" s="190"/>
      <c r="AM564" s="189"/>
      <c r="AN564" s="189"/>
      <c r="AO564" s="189"/>
      <c r="AP564" s="189"/>
      <c r="AQ564" s="648"/>
    </row>
    <row r="565" spans="1:43" ht="70.5" customHeight="1" x14ac:dyDescent="0.25">
      <c r="A565" s="19"/>
      <c r="B565" s="20"/>
      <c r="C565" s="795">
        <v>22</v>
      </c>
      <c r="D565" s="475" t="s">
        <v>683</v>
      </c>
      <c r="E565" s="580" t="s">
        <v>602</v>
      </c>
      <c r="F565" s="580" t="s">
        <v>684</v>
      </c>
      <c r="G565" s="23"/>
      <c r="H565" s="773">
        <v>132</v>
      </c>
      <c r="I565" s="774" t="s">
        <v>685</v>
      </c>
      <c r="J565" s="775" t="s">
        <v>30</v>
      </c>
      <c r="K565" s="501">
        <v>8</v>
      </c>
      <c r="L565" s="858" t="s">
        <v>669</v>
      </c>
      <c r="M565" s="854" t="s">
        <v>686</v>
      </c>
      <c r="N565" s="849" t="s">
        <v>687</v>
      </c>
      <c r="O565" s="775" t="s">
        <v>34</v>
      </c>
      <c r="P565" s="26">
        <v>0</v>
      </c>
      <c r="Q565" s="26">
        <v>0</v>
      </c>
      <c r="R565" s="26">
        <v>0</v>
      </c>
      <c r="S565" s="26">
        <v>0</v>
      </c>
      <c r="T565" s="26">
        <v>0</v>
      </c>
      <c r="U565" s="26">
        <v>0</v>
      </c>
      <c r="V565" s="26">
        <v>0</v>
      </c>
      <c r="W565" s="14">
        <v>43100000</v>
      </c>
      <c r="X565" s="14"/>
      <c r="Y565" s="14"/>
      <c r="Z565" s="26">
        <v>0</v>
      </c>
      <c r="AA565" s="26"/>
      <c r="AB565" s="324">
        <v>0</v>
      </c>
      <c r="AC565" s="324">
        <v>0</v>
      </c>
      <c r="AD565" s="254"/>
      <c r="AE565" s="254"/>
      <c r="AF565" s="254"/>
      <c r="AG565" s="254"/>
      <c r="AH565" s="254"/>
      <c r="AI565" s="254"/>
      <c r="AJ565" s="324">
        <v>0</v>
      </c>
      <c r="AK565" s="324">
        <v>0</v>
      </c>
      <c r="AL565" s="496">
        <v>0</v>
      </c>
      <c r="AM565" s="497"/>
      <c r="AN565" s="324">
        <v>0</v>
      </c>
      <c r="AO565" s="293">
        <v>0</v>
      </c>
      <c r="AP565" s="293"/>
      <c r="AQ565" s="742">
        <f>P565+Q565+R565+S565+T565+U565+V565+W565+X565+Y565+Z565+AA565+AB565+AC565+AD565+AE565+AF565+AG565+AH565+AI565+AJ565+AK565+AL565+AM565+AN565+AP565+AO565</f>
        <v>43100000</v>
      </c>
    </row>
    <row r="566" spans="1:43" ht="83.25" customHeight="1" x14ac:dyDescent="0.25">
      <c r="A566" s="19"/>
      <c r="B566" s="20"/>
      <c r="C566" s="795">
        <v>31</v>
      </c>
      <c r="D566" s="502" t="s">
        <v>901</v>
      </c>
      <c r="E566" s="476">
        <v>0.249</v>
      </c>
      <c r="F566" s="503">
        <v>0.2</v>
      </c>
      <c r="G566" s="29"/>
      <c r="H566" s="773">
        <v>133</v>
      </c>
      <c r="I566" s="774" t="s">
        <v>688</v>
      </c>
      <c r="J566" s="775">
        <v>0</v>
      </c>
      <c r="K566" s="501">
        <v>12</v>
      </c>
      <c r="L566" s="860"/>
      <c r="M566" s="855"/>
      <c r="N566" s="857"/>
      <c r="O566" s="775" t="s">
        <v>38</v>
      </c>
      <c r="P566" s="26">
        <v>0</v>
      </c>
      <c r="Q566" s="26">
        <v>0</v>
      </c>
      <c r="R566" s="26">
        <v>0</v>
      </c>
      <c r="S566" s="26">
        <v>0</v>
      </c>
      <c r="T566" s="26">
        <v>0</v>
      </c>
      <c r="U566" s="26">
        <v>0</v>
      </c>
      <c r="V566" s="26">
        <v>0</v>
      </c>
      <c r="W566" s="14">
        <v>25750000</v>
      </c>
      <c r="X566" s="14"/>
      <c r="Y566" s="14"/>
      <c r="Z566" s="26">
        <v>0</v>
      </c>
      <c r="AA566" s="26"/>
      <c r="AB566" s="324">
        <v>0</v>
      </c>
      <c r="AC566" s="324">
        <v>0</v>
      </c>
      <c r="AD566" s="254"/>
      <c r="AE566" s="254"/>
      <c r="AF566" s="254"/>
      <c r="AG566" s="254"/>
      <c r="AH566" s="254"/>
      <c r="AI566" s="254"/>
      <c r="AJ566" s="324">
        <v>0</v>
      </c>
      <c r="AK566" s="324">
        <v>0</v>
      </c>
      <c r="AL566" s="496">
        <v>0</v>
      </c>
      <c r="AM566" s="497"/>
      <c r="AN566" s="324">
        <v>0</v>
      </c>
      <c r="AO566" s="293">
        <v>0</v>
      </c>
      <c r="AP566" s="293"/>
      <c r="AQ566" s="742">
        <f>P566+Q566+R566+S566+T566+U566+V566+W566+X566+Y566+Z566+AA566+AB566+AC566+AD566+AE566+AF566+AG566+AH566+AI566+AJ566+AK566+AL566+AM566+AN566+AP566+AO566</f>
        <v>25750000</v>
      </c>
    </row>
    <row r="567" spans="1:43" ht="76.5" customHeight="1" x14ac:dyDescent="0.25">
      <c r="A567" s="19"/>
      <c r="B567" s="20"/>
      <c r="C567" s="776">
        <v>33</v>
      </c>
      <c r="D567" s="803" t="s">
        <v>689</v>
      </c>
      <c r="E567" s="808">
        <v>0</v>
      </c>
      <c r="F567" s="760">
        <v>0</v>
      </c>
      <c r="G567" s="29"/>
      <c r="H567" s="775">
        <v>134</v>
      </c>
      <c r="I567" s="774" t="s">
        <v>690</v>
      </c>
      <c r="J567" s="53">
        <v>3600</v>
      </c>
      <c r="K567" s="501">
        <v>4800</v>
      </c>
      <c r="L567" s="860"/>
      <c r="M567" s="855"/>
      <c r="N567" s="857"/>
      <c r="O567" s="775" t="s">
        <v>38</v>
      </c>
      <c r="P567" s="26">
        <v>0</v>
      </c>
      <c r="Q567" s="26">
        <v>0</v>
      </c>
      <c r="R567" s="26">
        <v>0</v>
      </c>
      <c r="S567" s="26">
        <v>0</v>
      </c>
      <c r="T567" s="26">
        <v>0</v>
      </c>
      <c r="U567" s="26">
        <v>0</v>
      </c>
      <c r="V567" s="26">
        <v>0</v>
      </c>
      <c r="W567" s="14">
        <v>71700000</v>
      </c>
      <c r="X567" s="14"/>
      <c r="Y567" s="14"/>
      <c r="Z567" s="26">
        <v>0</v>
      </c>
      <c r="AA567" s="26"/>
      <c r="AB567" s="324">
        <v>0</v>
      </c>
      <c r="AC567" s="324">
        <v>0</v>
      </c>
      <c r="AD567" s="254"/>
      <c r="AE567" s="254"/>
      <c r="AF567" s="254"/>
      <c r="AG567" s="254"/>
      <c r="AH567" s="254"/>
      <c r="AI567" s="254"/>
      <c r="AJ567" s="324">
        <v>0</v>
      </c>
      <c r="AK567" s="324">
        <v>0</v>
      </c>
      <c r="AL567" s="496">
        <v>0</v>
      </c>
      <c r="AM567" s="497"/>
      <c r="AN567" s="324">
        <v>0</v>
      </c>
      <c r="AO567" s="293">
        <v>0</v>
      </c>
      <c r="AP567" s="293"/>
      <c r="AQ567" s="742">
        <f>P567+Q567+R567+S567+T567+U567+V567+W567+X567+Y567+Z567+AA567+AB567+AC567+AD567+AE567+AF567+AG567+AH567+AI567+AJ567+AK567+AL567+AM567+AN567+AP567+AO567</f>
        <v>71700000</v>
      </c>
    </row>
    <row r="568" spans="1:43" ht="84.75" customHeight="1" x14ac:dyDescent="0.25">
      <c r="A568" s="19"/>
      <c r="B568" s="20"/>
      <c r="C568" s="767">
        <v>31</v>
      </c>
      <c r="D568" s="774" t="s">
        <v>607</v>
      </c>
      <c r="E568" s="504">
        <v>0.249</v>
      </c>
      <c r="F568" s="80">
        <v>0.2</v>
      </c>
      <c r="G568" s="30"/>
      <c r="H568" s="775">
        <v>135</v>
      </c>
      <c r="I568" s="774" t="s">
        <v>691</v>
      </c>
      <c r="J568" s="53">
        <v>12</v>
      </c>
      <c r="K568" s="501">
        <v>12</v>
      </c>
      <c r="L568" s="859"/>
      <c r="M568" s="856"/>
      <c r="N568" s="850"/>
      <c r="O568" s="775" t="s">
        <v>38</v>
      </c>
      <c r="P568" s="26"/>
      <c r="Q568" s="26"/>
      <c r="R568" s="26"/>
      <c r="S568" s="26"/>
      <c r="T568" s="26"/>
      <c r="U568" s="26"/>
      <c r="V568" s="26"/>
      <c r="W568" s="14">
        <v>8050000</v>
      </c>
      <c r="X568" s="14"/>
      <c r="Y568" s="14"/>
      <c r="Z568" s="26"/>
      <c r="AA568" s="26"/>
      <c r="AB568" s="324"/>
      <c r="AC568" s="324"/>
      <c r="AD568" s="254"/>
      <c r="AE568" s="254"/>
      <c r="AF568" s="254"/>
      <c r="AG568" s="254"/>
      <c r="AH568" s="254"/>
      <c r="AI568" s="254"/>
      <c r="AJ568" s="324"/>
      <c r="AK568" s="324"/>
      <c r="AL568" s="496"/>
      <c r="AM568" s="497"/>
      <c r="AN568" s="324">
        <v>0</v>
      </c>
      <c r="AO568" s="106"/>
      <c r="AP568" s="26"/>
      <c r="AQ568" s="742">
        <f>P568+Q568+R568+S568+T568+U568+V568+W568+X568+Y568+Z568+AA568+AB568+AC568+AD568+AE568+AF568+AG568+AH568+AI568+AJ568+AK568+AL568+AM568+AN568+AP568+AO568</f>
        <v>8050000</v>
      </c>
    </row>
    <row r="569" spans="1:43" ht="15" x14ac:dyDescent="0.25">
      <c r="A569" s="19"/>
      <c r="B569" s="20"/>
      <c r="C569" s="773"/>
      <c r="D569" s="799"/>
      <c r="E569" s="791"/>
      <c r="F569" s="791"/>
      <c r="G569" s="154"/>
      <c r="H569" s="155"/>
      <c r="I569" s="154"/>
      <c r="J569" s="505"/>
      <c r="K569" s="505"/>
      <c r="L569" s="505"/>
      <c r="M569" s="157"/>
      <c r="N569" s="154"/>
      <c r="O569" s="155"/>
      <c r="P569" s="158">
        <f>SUM(P565:P568)</f>
        <v>0</v>
      </c>
      <c r="Q569" s="158">
        <f t="shared" ref="Q569:AK569" si="268">SUM(Q565:Q568)</f>
        <v>0</v>
      </c>
      <c r="R569" s="158">
        <f t="shared" si="268"/>
        <v>0</v>
      </c>
      <c r="S569" s="158">
        <f t="shared" si="268"/>
        <v>0</v>
      </c>
      <c r="T569" s="158">
        <f t="shared" si="268"/>
        <v>0</v>
      </c>
      <c r="U569" s="158">
        <f t="shared" si="268"/>
        <v>0</v>
      </c>
      <c r="V569" s="158">
        <f t="shared" si="268"/>
        <v>0</v>
      </c>
      <c r="W569" s="158">
        <f t="shared" si="268"/>
        <v>148600000</v>
      </c>
      <c r="X569" s="158">
        <f t="shared" si="268"/>
        <v>0</v>
      </c>
      <c r="Y569" s="158">
        <f t="shared" si="268"/>
        <v>0</v>
      </c>
      <c r="Z569" s="158">
        <f t="shared" si="268"/>
        <v>0</v>
      </c>
      <c r="AA569" s="158">
        <f t="shared" si="268"/>
        <v>0</v>
      </c>
      <c r="AB569" s="158">
        <f t="shared" si="268"/>
        <v>0</v>
      </c>
      <c r="AC569" s="158">
        <f t="shared" si="268"/>
        <v>0</v>
      </c>
      <c r="AD569" s="158">
        <f t="shared" si="268"/>
        <v>0</v>
      </c>
      <c r="AE569" s="158">
        <f t="shared" si="268"/>
        <v>0</v>
      </c>
      <c r="AF569" s="158">
        <f t="shared" si="268"/>
        <v>0</v>
      </c>
      <c r="AG569" s="158">
        <f t="shared" si="268"/>
        <v>0</v>
      </c>
      <c r="AH569" s="158">
        <f t="shared" si="268"/>
        <v>0</v>
      </c>
      <c r="AI569" s="158">
        <f t="shared" si="268"/>
        <v>0</v>
      </c>
      <c r="AJ569" s="158">
        <f t="shared" si="268"/>
        <v>0</v>
      </c>
      <c r="AK569" s="158">
        <f t="shared" si="268"/>
        <v>0</v>
      </c>
      <c r="AL569" s="158">
        <f t="shared" ref="AL569:AP569" si="269">SUM(AL565:AL568)</f>
        <v>0</v>
      </c>
      <c r="AM569" s="158">
        <f t="shared" si="269"/>
        <v>0</v>
      </c>
      <c r="AN569" s="158">
        <f t="shared" si="269"/>
        <v>0</v>
      </c>
      <c r="AO569" s="158">
        <f t="shared" si="269"/>
        <v>0</v>
      </c>
      <c r="AP569" s="158">
        <f t="shared" si="269"/>
        <v>0</v>
      </c>
      <c r="AQ569" s="396">
        <f>SUM(AQ565:AQ568)</f>
        <v>148600000</v>
      </c>
    </row>
    <row r="570" spans="1:43" ht="15" x14ac:dyDescent="0.25">
      <c r="A570" s="19"/>
      <c r="B570" s="20"/>
      <c r="C570" s="795"/>
      <c r="D570" s="177"/>
      <c r="E570" s="795"/>
      <c r="F570" s="795"/>
      <c r="G570" s="177"/>
      <c r="H570" s="795"/>
      <c r="I570" s="177"/>
      <c r="J570" s="795"/>
      <c r="K570" s="795"/>
      <c r="L570" s="776"/>
      <c r="M570" s="234"/>
      <c r="N570" s="223"/>
      <c r="O570" s="795"/>
      <c r="P570" s="180"/>
      <c r="Q570" s="180"/>
      <c r="R570" s="180"/>
      <c r="S570" s="180"/>
      <c r="T570" s="180"/>
      <c r="U570" s="180"/>
      <c r="V570" s="180"/>
      <c r="W570" s="180"/>
      <c r="X570" s="180"/>
      <c r="Y570" s="180"/>
      <c r="Z570" s="180"/>
      <c r="AA570" s="180"/>
      <c r="AB570" s="180"/>
      <c r="AC570" s="180"/>
      <c r="AD570" s="180"/>
      <c r="AE570" s="180"/>
      <c r="AF570" s="180"/>
      <c r="AG570" s="180"/>
      <c r="AH570" s="180"/>
      <c r="AI570" s="180"/>
      <c r="AJ570" s="180"/>
      <c r="AK570" s="180"/>
      <c r="AL570" s="182"/>
      <c r="AM570" s="183"/>
      <c r="AN570" s="180"/>
      <c r="AO570" s="180"/>
      <c r="AP570" s="180"/>
      <c r="AQ570" s="742"/>
    </row>
    <row r="571" spans="1:43" ht="15" x14ac:dyDescent="0.25">
      <c r="A571" s="19"/>
      <c r="B571" s="20"/>
      <c r="C571" s="795"/>
      <c r="D571" s="153"/>
      <c r="E571" s="579"/>
      <c r="F571" s="579"/>
      <c r="G571" s="344">
        <v>38</v>
      </c>
      <c r="H571" s="189" t="s">
        <v>692</v>
      </c>
      <c r="I571" s="189"/>
      <c r="J571" s="189"/>
      <c r="K571" s="189"/>
      <c r="L571" s="189"/>
      <c r="M571" s="189"/>
      <c r="N571" s="189"/>
      <c r="O571" s="189"/>
      <c r="P571" s="189"/>
      <c r="Q571" s="189"/>
      <c r="R571" s="189"/>
      <c r="S571" s="189"/>
      <c r="T571" s="189"/>
      <c r="U571" s="189"/>
      <c r="V571" s="189"/>
      <c r="W571" s="189"/>
      <c r="X571" s="189"/>
      <c r="Y571" s="189"/>
      <c r="Z571" s="189"/>
      <c r="AA571" s="189"/>
      <c r="AB571" s="189"/>
      <c r="AC571" s="189"/>
      <c r="AD571" s="189"/>
      <c r="AE571" s="189"/>
      <c r="AF571" s="189"/>
      <c r="AG571" s="189"/>
      <c r="AH571" s="189"/>
      <c r="AI571" s="189"/>
      <c r="AJ571" s="189"/>
      <c r="AK571" s="189"/>
      <c r="AL571" s="190"/>
      <c r="AM571" s="189"/>
      <c r="AN571" s="189"/>
      <c r="AO571" s="189"/>
      <c r="AP571" s="189"/>
      <c r="AQ571" s="648"/>
    </row>
    <row r="572" spans="1:43" ht="110.25" customHeight="1" x14ac:dyDescent="0.25">
      <c r="A572" s="19"/>
      <c r="B572" s="20"/>
      <c r="C572" s="905">
        <v>22</v>
      </c>
      <c r="D572" s="870" t="s">
        <v>601</v>
      </c>
      <c r="E572" s="870" t="s">
        <v>602</v>
      </c>
      <c r="F572" s="931" t="s">
        <v>603</v>
      </c>
      <c r="G572" s="506"/>
      <c r="H572" s="31">
        <v>136</v>
      </c>
      <c r="I572" s="774" t="s">
        <v>693</v>
      </c>
      <c r="J572" s="775" t="s">
        <v>30</v>
      </c>
      <c r="K572" s="507">
        <v>12</v>
      </c>
      <c r="L572" s="903" t="s">
        <v>669</v>
      </c>
      <c r="M572" s="854" t="s">
        <v>694</v>
      </c>
      <c r="N572" s="849" t="s">
        <v>695</v>
      </c>
      <c r="O572" s="775" t="s">
        <v>38</v>
      </c>
      <c r="P572" s="26">
        <v>0</v>
      </c>
      <c r="Q572" s="26">
        <v>0</v>
      </c>
      <c r="R572" s="26">
        <v>0</v>
      </c>
      <c r="S572" s="26">
        <v>0</v>
      </c>
      <c r="T572" s="26">
        <v>0</v>
      </c>
      <c r="U572" s="26">
        <v>0</v>
      </c>
      <c r="V572" s="26">
        <v>0</v>
      </c>
      <c r="W572" s="14">
        <v>55750000</v>
      </c>
      <c r="X572" s="14"/>
      <c r="Y572" s="14"/>
      <c r="Z572" s="324">
        <v>0</v>
      </c>
      <c r="AA572" s="324"/>
      <c r="AB572" s="324">
        <v>0</v>
      </c>
      <c r="AC572" s="324">
        <v>0</v>
      </c>
      <c r="AD572" s="254"/>
      <c r="AE572" s="254"/>
      <c r="AF572" s="254"/>
      <c r="AG572" s="254"/>
      <c r="AH572" s="254"/>
      <c r="AI572" s="254"/>
      <c r="AJ572" s="324">
        <v>0</v>
      </c>
      <c r="AK572" s="324">
        <v>0</v>
      </c>
      <c r="AL572" s="496">
        <v>0</v>
      </c>
      <c r="AM572" s="497"/>
      <c r="AN572" s="324">
        <v>0</v>
      </c>
      <c r="AO572" s="293">
        <v>0</v>
      </c>
      <c r="AP572" s="293"/>
      <c r="AQ572" s="742">
        <f>P572+Q572+R572+S572+T572+U572+V572+W572+X572+Y572+Z572+AA572+AB572+AC572+AD572+AE572+AF572+AG572+AH572+AI572+AJ572+AK572+AL572+AM572+AN572+AP572+AO572</f>
        <v>55750000</v>
      </c>
    </row>
    <row r="573" spans="1:43" ht="72" customHeight="1" x14ac:dyDescent="0.25">
      <c r="A573" s="19"/>
      <c r="B573" s="20"/>
      <c r="C573" s="906"/>
      <c r="D573" s="871"/>
      <c r="E573" s="871"/>
      <c r="F573" s="939"/>
      <c r="G573" s="377"/>
      <c r="H573" s="31">
        <v>137</v>
      </c>
      <c r="I573" s="774" t="s">
        <v>915</v>
      </c>
      <c r="J573" s="775">
        <v>0</v>
      </c>
      <c r="K573" s="507">
        <v>12</v>
      </c>
      <c r="L573" s="940"/>
      <c r="M573" s="855"/>
      <c r="N573" s="857"/>
      <c r="O573" s="775" t="s">
        <v>38</v>
      </c>
      <c r="P573" s="26">
        <v>0</v>
      </c>
      <c r="Q573" s="26">
        <v>0</v>
      </c>
      <c r="R573" s="26">
        <v>0</v>
      </c>
      <c r="S573" s="26">
        <v>0</v>
      </c>
      <c r="T573" s="26">
        <v>0</v>
      </c>
      <c r="U573" s="26">
        <v>0</v>
      </c>
      <c r="V573" s="26">
        <v>0</v>
      </c>
      <c r="W573" s="4">
        <v>41200000</v>
      </c>
      <c r="X573" s="14"/>
      <c r="Y573" s="14"/>
      <c r="Z573" s="324">
        <v>0</v>
      </c>
      <c r="AA573" s="324"/>
      <c r="AB573" s="324">
        <v>0</v>
      </c>
      <c r="AC573" s="324">
        <v>0</v>
      </c>
      <c r="AD573" s="254"/>
      <c r="AE573" s="254"/>
      <c r="AF573" s="254"/>
      <c r="AG573" s="254"/>
      <c r="AH573" s="254"/>
      <c r="AI573" s="254"/>
      <c r="AJ573" s="324">
        <v>0</v>
      </c>
      <c r="AK573" s="324">
        <v>0</v>
      </c>
      <c r="AL573" s="496">
        <v>0</v>
      </c>
      <c r="AM573" s="497"/>
      <c r="AN573" s="324">
        <v>0</v>
      </c>
      <c r="AO573" s="293">
        <v>0</v>
      </c>
      <c r="AP573" s="293"/>
      <c r="AQ573" s="742">
        <f>P573+Q573+R573+S573+T573+U573+V573+W573+X573+Y573+Z573+AA573+AB573+AC573+AD573+AE573+AF573+AG573+AH573+AI573+AJ573+AK573+AL573+AM573+AN573+AP573+AO573</f>
        <v>41200000</v>
      </c>
    </row>
    <row r="574" spans="1:43" ht="111.75" customHeight="1" x14ac:dyDescent="0.25">
      <c r="A574" s="19"/>
      <c r="B574" s="20"/>
      <c r="C574" s="907"/>
      <c r="D574" s="938"/>
      <c r="E574" s="938"/>
      <c r="F574" s="932"/>
      <c r="G574" s="377"/>
      <c r="H574" s="31">
        <v>138</v>
      </c>
      <c r="I574" s="774" t="s">
        <v>696</v>
      </c>
      <c r="J574" s="775" t="s">
        <v>30</v>
      </c>
      <c r="K574" s="31">
        <v>12</v>
      </c>
      <c r="L574" s="904"/>
      <c r="M574" s="856"/>
      <c r="N574" s="850"/>
      <c r="O574" s="775" t="s">
        <v>38</v>
      </c>
      <c r="P574" s="26">
        <v>0</v>
      </c>
      <c r="Q574" s="26">
        <v>0</v>
      </c>
      <c r="R574" s="26">
        <v>0</v>
      </c>
      <c r="S574" s="26">
        <v>0</v>
      </c>
      <c r="T574" s="26">
        <v>0</v>
      </c>
      <c r="U574" s="26">
        <v>0</v>
      </c>
      <c r="V574" s="26">
        <v>0</v>
      </c>
      <c r="W574" s="4">
        <v>25750000</v>
      </c>
      <c r="X574" s="14"/>
      <c r="Y574" s="14"/>
      <c r="Z574" s="324">
        <v>0</v>
      </c>
      <c r="AA574" s="324"/>
      <c r="AB574" s="324">
        <v>0</v>
      </c>
      <c r="AC574" s="324">
        <v>0</v>
      </c>
      <c r="AD574" s="254"/>
      <c r="AE574" s="254"/>
      <c r="AF574" s="254"/>
      <c r="AG574" s="254"/>
      <c r="AH574" s="254"/>
      <c r="AI574" s="254"/>
      <c r="AJ574" s="324">
        <v>0</v>
      </c>
      <c r="AK574" s="324">
        <v>0</v>
      </c>
      <c r="AL574" s="496">
        <v>0</v>
      </c>
      <c r="AM574" s="497"/>
      <c r="AN574" s="324">
        <v>0</v>
      </c>
      <c r="AO574" s="293">
        <v>0</v>
      </c>
      <c r="AP574" s="293"/>
      <c r="AQ574" s="742">
        <f>P574+Q574+R574+S574+T574+U574+V574+W574+X574+Y574+Z574+AA574+AB574+AC574+AD574+AE574+AF574+AG574+AH574+AI574+AJ574+AK574+AL574+AM574+AN574+AP574+AO574</f>
        <v>25750000</v>
      </c>
    </row>
    <row r="575" spans="1:43" ht="15" x14ac:dyDescent="0.25">
      <c r="A575" s="19"/>
      <c r="B575" s="20"/>
      <c r="C575" s="773"/>
      <c r="D575" s="153"/>
      <c r="E575" s="579"/>
      <c r="F575" s="579"/>
      <c r="G575" s="303"/>
      <c r="H575" s="316"/>
      <c r="I575" s="154"/>
      <c r="J575" s="155"/>
      <c r="K575" s="316"/>
      <c r="L575" s="316"/>
      <c r="M575" s="157"/>
      <c r="N575" s="364"/>
      <c r="O575" s="155"/>
      <c r="P575" s="158">
        <f t="shared" ref="P575:AK575" si="270">SUM(P572:P574)</f>
        <v>0</v>
      </c>
      <c r="Q575" s="158">
        <f t="shared" si="270"/>
        <v>0</v>
      </c>
      <c r="R575" s="158">
        <f t="shared" si="270"/>
        <v>0</v>
      </c>
      <c r="S575" s="158">
        <f t="shared" si="270"/>
        <v>0</v>
      </c>
      <c r="T575" s="158">
        <f t="shared" si="270"/>
        <v>0</v>
      </c>
      <c r="U575" s="158">
        <f t="shared" si="270"/>
        <v>0</v>
      </c>
      <c r="V575" s="158">
        <f t="shared" si="270"/>
        <v>0</v>
      </c>
      <c r="W575" s="158">
        <f t="shared" si="270"/>
        <v>122700000</v>
      </c>
      <c r="X575" s="158">
        <f t="shared" si="270"/>
        <v>0</v>
      </c>
      <c r="Y575" s="158">
        <f t="shared" si="270"/>
        <v>0</v>
      </c>
      <c r="Z575" s="158">
        <f t="shared" si="270"/>
        <v>0</v>
      </c>
      <c r="AA575" s="158">
        <f t="shared" si="270"/>
        <v>0</v>
      </c>
      <c r="AB575" s="158">
        <f t="shared" si="270"/>
        <v>0</v>
      </c>
      <c r="AC575" s="158">
        <f t="shared" si="270"/>
        <v>0</v>
      </c>
      <c r="AD575" s="158">
        <f t="shared" si="270"/>
        <v>0</v>
      </c>
      <c r="AE575" s="158">
        <f t="shared" si="270"/>
        <v>0</v>
      </c>
      <c r="AF575" s="158">
        <f t="shared" si="270"/>
        <v>0</v>
      </c>
      <c r="AG575" s="158">
        <f t="shared" si="270"/>
        <v>0</v>
      </c>
      <c r="AH575" s="158">
        <f t="shared" si="270"/>
        <v>0</v>
      </c>
      <c r="AI575" s="158">
        <f t="shared" si="270"/>
        <v>0</v>
      </c>
      <c r="AJ575" s="158">
        <f t="shared" si="270"/>
        <v>0</v>
      </c>
      <c r="AK575" s="158">
        <f t="shared" si="270"/>
        <v>0</v>
      </c>
      <c r="AL575" s="158">
        <f t="shared" ref="AL575:AP575" si="271">SUM(AL572:AL574)</f>
        <v>0</v>
      </c>
      <c r="AM575" s="158">
        <f t="shared" si="271"/>
        <v>0</v>
      </c>
      <c r="AN575" s="158">
        <f t="shared" si="271"/>
        <v>0</v>
      </c>
      <c r="AO575" s="158">
        <f t="shared" si="271"/>
        <v>0</v>
      </c>
      <c r="AP575" s="158">
        <f t="shared" si="271"/>
        <v>0</v>
      </c>
      <c r="AQ575" s="396">
        <f>SUM(AQ572:AQ574)</f>
        <v>122700000</v>
      </c>
    </row>
    <row r="576" spans="1:43" ht="15" x14ac:dyDescent="0.25">
      <c r="A576" s="19"/>
      <c r="B576" s="20"/>
      <c r="C576" s="795"/>
      <c r="D576" s="177"/>
      <c r="E576" s="795"/>
      <c r="F576" s="795"/>
      <c r="G576" s="177"/>
      <c r="H576" s="795"/>
      <c r="I576" s="177"/>
      <c r="J576" s="795"/>
      <c r="K576" s="795"/>
      <c r="L576" s="776"/>
      <c r="M576" s="234"/>
      <c r="N576" s="223"/>
      <c r="O576" s="795"/>
      <c r="P576" s="180"/>
      <c r="Q576" s="180"/>
      <c r="R576" s="180"/>
      <c r="S576" s="180"/>
      <c r="T576" s="180"/>
      <c r="U576" s="180"/>
      <c r="V576" s="180"/>
      <c r="W576" s="180"/>
      <c r="X576" s="180"/>
      <c r="Y576" s="180"/>
      <c r="Z576" s="180"/>
      <c r="AA576" s="180"/>
      <c r="AB576" s="180"/>
      <c r="AC576" s="180"/>
      <c r="AD576" s="180"/>
      <c r="AE576" s="180"/>
      <c r="AF576" s="180"/>
      <c r="AG576" s="180"/>
      <c r="AH576" s="180"/>
      <c r="AI576" s="180"/>
      <c r="AJ576" s="180"/>
      <c r="AK576" s="180"/>
      <c r="AL576" s="182"/>
      <c r="AM576" s="183"/>
      <c r="AN576" s="180"/>
      <c r="AO576" s="180"/>
      <c r="AP576" s="180"/>
      <c r="AQ576" s="742"/>
    </row>
    <row r="577" spans="1:43" ht="15" x14ac:dyDescent="0.25">
      <c r="A577" s="19"/>
      <c r="B577" s="20"/>
      <c r="C577" s="795"/>
      <c r="D577" s="153"/>
      <c r="E577" s="579"/>
      <c r="F577" s="579"/>
      <c r="G577" s="344">
        <v>39</v>
      </c>
      <c r="H577" s="945" t="s">
        <v>697</v>
      </c>
      <c r="I577" s="945"/>
      <c r="J577" s="945"/>
      <c r="K577" s="945"/>
      <c r="L577" s="189"/>
      <c r="M577" s="653"/>
      <c r="N577" s="189"/>
      <c r="O577" s="189"/>
      <c r="P577" s="189"/>
      <c r="Q577" s="189"/>
      <c r="R577" s="189"/>
      <c r="S577" s="189"/>
      <c r="T577" s="189"/>
      <c r="U577" s="189"/>
      <c r="V577" s="189"/>
      <c r="W577" s="189"/>
      <c r="X577" s="189"/>
      <c r="Y577" s="189"/>
      <c r="Z577" s="189"/>
      <c r="AA577" s="189"/>
      <c r="AB577" s="189"/>
      <c r="AC577" s="189"/>
      <c r="AD577" s="189"/>
      <c r="AE577" s="189"/>
      <c r="AF577" s="189"/>
      <c r="AG577" s="189"/>
      <c r="AH577" s="189"/>
      <c r="AI577" s="189"/>
      <c r="AJ577" s="189"/>
      <c r="AK577" s="189"/>
      <c r="AL577" s="190"/>
      <c r="AM577" s="189"/>
      <c r="AN577" s="189"/>
      <c r="AO577" s="189"/>
      <c r="AP577" s="189"/>
      <c r="AQ577" s="648"/>
    </row>
    <row r="578" spans="1:43" ht="54.95" customHeight="1" x14ac:dyDescent="0.25">
      <c r="A578" s="19"/>
      <c r="B578" s="20"/>
      <c r="C578" s="772">
        <v>36</v>
      </c>
      <c r="D578" s="508" t="s">
        <v>698</v>
      </c>
      <c r="E578" s="509">
        <v>0.4</v>
      </c>
      <c r="F578" s="510">
        <v>0.6</v>
      </c>
      <c r="G578" s="860"/>
      <c r="H578" s="775">
        <v>139</v>
      </c>
      <c r="I578" s="774" t="s">
        <v>699</v>
      </c>
      <c r="J578" s="775">
        <v>0</v>
      </c>
      <c r="K578" s="775">
        <v>1</v>
      </c>
      <c r="L578" s="860"/>
      <c r="M578" s="854" t="s">
        <v>700</v>
      </c>
      <c r="N578" s="935" t="s">
        <v>701</v>
      </c>
      <c r="O578" s="775" t="s">
        <v>38</v>
      </c>
      <c r="P578" s="26"/>
      <c r="Q578" s="26"/>
      <c r="R578" s="26"/>
      <c r="S578" s="26"/>
      <c r="T578" s="26"/>
      <c r="U578" s="26"/>
      <c r="V578" s="26"/>
      <c r="W578" s="17">
        <v>92700000</v>
      </c>
      <c r="X578" s="18"/>
      <c r="Y578" s="18"/>
      <c r="Z578" s="324"/>
      <c r="AA578" s="324"/>
      <c r="AB578" s="324"/>
      <c r="AC578" s="324"/>
      <c r="AD578" s="254"/>
      <c r="AE578" s="254"/>
      <c r="AF578" s="254"/>
      <c r="AG578" s="254"/>
      <c r="AH578" s="254"/>
      <c r="AI578" s="254"/>
      <c r="AJ578" s="324"/>
      <c r="AK578" s="324"/>
      <c r="AL578" s="496"/>
      <c r="AM578" s="497"/>
      <c r="AN578" s="324"/>
      <c r="AO578" s="293"/>
      <c r="AP578" s="293"/>
      <c r="AQ578" s="742">
        <f>P578+Q578+R578+S578+T578+U578+V578+W578+X578+Y578+Z578+AA578+AB578+AC578+AD578+AE578+AF578+AG578+AH578+AI578+AJ578+AK578+AL578+AM578+AN578+AP578+AO578</f>
        <v>92700000</v>
      </c>
    </row>
    <row r="579" spans="1:43" ht="42.75" x14ac:dyDescent="0.25">
      <c r="A579" s="19"/>
      <c r="B579" s="20"/>
      <c r="C579" s="858" t="s">
        <v>702</v>
      </c>
      <c r="D579" s="876" t="s">
        <v>703</v>
      </c>
      <c r="E579" s="941">
        <v>1</v>
      </c>
      <c r="F579" s="943">
        <v>1</v>
      </c>
      <c r="G579" s="860"/>
      <c r="H579" s="775">
        <v>140</v>
      </c>
      <c r="I579" s="774" t="s">
        <v>704</v>
      </c>
      <c r="J579" s="775">
        <v>1</v>
      </c>
      <c r="K579" s="775">
        <v>1</v>
      </c>
      <c r="L579" s="860"/>
      <c r="M579" s="855"/>
      <c r="N579" s="936"/>
      <c r="O579" s="775" t="s">
        <v>38</v>
      </c>
      <c r="P579" s="26">
        <v>0</v>
      </c>
      <c r="Q579" s="26">
        <v>0</v>
      </c>
      <c r="R579" s="26">
        <v>0</v>
      </c>
      <c r="S579" s="26">
        <v>0</v>
      </c>
      <c r="T579" s="26">
        <v>0</v>
      </c>
      <c r="U579" s="26">
        <v>0</v>
      </c>
      <c r="V579" s="26">
        <v>0</v>
      </c>
      <c r="W579" s="17">
        <v>25750000</v>
      </c>
      <c r="X579" s="18"/>
      <c r="Y579" s="18"/>
      <c r="Z579" s="324">
        <v>0</v>
      </c>
      <c r="AA579" s="324"/>
      <c r="AB579" s="324">
        <v>0</v>
      </c>
      <c r="AC579" s="324">
        <v>0</v>
      </c>
      <c r="AD579" s="254"/>
      <c r="AE579" s="254"/>
      <c r="AF579" s="254"/>
      <c r="AG579" s="254"/>
      <c r="AH579" s="254"/>
      <c r="AI579" s="254"/>
      <c r="AJ579" s="324">
        <v>0</v>
      </c>
      <c r="AK579" s="324">
        <v>0</v>
      </c>
      <c r="AL579" s="496">
        <v>0</v>
      </c>
      <c r="AM579" s="497"/>
      <c r="AN579" s="324">
        <v>0</v>
      </c>
      <c r="AO579" s="293">
        <v>0</v>
      </c>
      <c r="AP579" s="293"/>
      <c r="AQ579" s="742">
        <f>P579+Q579+R579+S579+T579+U579+V579+W579+X579+Y579+Z579+AA579+AB579+AC579+AD579+AE579+AF579+AG579+AH579+AI579+AJ579+AK579+AL579+AM579+AN579+AP579+AO579</f>
        <v>25750000</v>
      </c>
    </row>
    <row r="580" spans="1:43" ht="57" x14ac:dyDescent="0.25">
      <c r="A580" s="19"/>
      <c r="B580" s="20"/>
      <c r="C580" s="859"/>
      <c r="D580" s="878"/>
      <c r="E580" s="942"/>
      <c r="F580" s="944"/>
      <c r="G580" s="859"/>
      <c r="H580" s="775">
        <v>141</v>
      </c>
      <c r="I580" s="774" t="s">
        <v>705</v>
      </c>
      <c r="J580" s="775" t="s">
        <v>30</v>
      </c>
      <c r="K580" s="775">
        <v>1</v>
      </c>
      <c r="L580" s="859"/>
      <c r="M580" s="856"/>
      <c r="N580" s="937"/>
      <c r="O580" s="775" t="s">
        <v>38</v>
      </c>
      <c r="P580" s="26">
        <v>0</v>
      </c>
      <c r="Q580" s="26">
        <v>0</v>
      </c>
      <c r="R580" s="26">
        <v>0</v>
      </c>
      <c r="S580" s="26">
        <v>0</v>
      </c>
      <c r="T580" s="26">
        <v>0</v>
      </c>
      <c r="U580" s="26">
        <v>0</v>
      </c>
      <c r="V580" s="26">
        <v>0</v>
      </c>
      <c r="W580" s="17">
        <v>25750000</v>
      </c>
      <c r="X580" s="18"/>
      <c r="Y580" s="18"/>
      <c r="Z580" s="324">
        <v>0</v>
      </c>
      <c r="AA580" s="324"/>
      <c r="AB580" s="324">
        <v>0</v>
      </c>
      <c r="AC580" s="324">
        <v>0</v>
      </c>
      <c r="AD580" s="254"/>
      <c r="AE580" s="254"/>
      <c r="AF580" s="254"/>
      <c r="AG580" s="254"/>
      <c r="AH580" s="254"/>
      <c r="AI580" s="254"/>
      <c r="AJ580" s="324">
        <v>0</v>
      </c>
      <c r="AK580" s="324">
        <v>0</v>
      </c>
      <c r="AL580" s="496">
        <v>0</v>
      </c>
      <c r="AM580" s="497"/>
      <c r="AN580" s="324">
        <v>0</v>
      </c>
      <c r="AO580" s="293">
        <v>0</v>
      </c>
      <c r="AP580" s="293"/>
      <c r="AQ580" s="742">
        <f>P580+Q580+R580+S580+T580+U580+V580+W580+X580+Y580+Z580+AA580+AB580+AC580+AD580+AE580+AF580+AG580+AH580+AI580+AJ580+AK580+AL580+AM580+AN580+AP580+AO580</f>
        <v>25750000</v>
      </c>
    </row>
    <row r="581" spans="1:43" ht="15" x14ac:dyDescent="0.25">
      <c r="A581" s="19"/>
      <c r="B581" s="20"/>
      <c r="C581" s="773"/>
      <c r="D581" s="153"/>
      <c r="E581" s="579"/>
      <c r="F581" s="579"/>
      <c r="G581" s="154"/>
      <c r="H581" s="155"/>
      <c r="I581" s="154"/>
      <c r="J581" s="155"/>
      <c r="K581" s="155"/>
      <c r="L581" s="155"/>
      <c r="M581" s="157"/>
      <c r="N581" s="154"/>
      <c r="O581" s="155"/>
      <c r="P581" s="158">
        <f t="shared" ref="P581:AK581" si="272">SUM(P578:P580)</f>
        <v>0</v>
      </c>
      <c r="Q581" s="158">
        <f t="shared" si="272"/>
        <v>0</v>
      </c>
      <c r="R581" s="158">
        <f t="shared" si="272"/>
        <v>0</v>
      </c>
      <c r="S581" s="158">
        <f t="shared" si="272"/>
        <v>0</v>
      </c>
      <c r="T581" s="158">
        <f t="shared" si="272"/>
        <v>0</v>
      </c>
      <c r="U581" s="158">
        <f t="shared" si="272"/>
        <v>0</v>
      </c>
      <c r="V581" s="158">
        <f t="shared" si="272"/>
        <v>0</v>
      </c>
      <c r="W581" s="158">
        <f t="shared" si="272"/>
        <v>144200000</v>
      </c>
      <c r="X581" s="158">
        <f t="shared" si="272"/>
        <v>0</v>
      </c>
      <c r="Y581" s="158">
        <f t="shared" si="272"/>
        <v>0</v>
      </c>
      <c r="Z581" s="158">
        <f t="shared" si="272"/>
        <v>0</v>
      </c>
      <c r="AA581" s="158">
        <f t="shared" si="272"/>
        <v>0</v>
      </c>
      <c r="AB581" s="158">
        <f t="shared" si="272"/>
        <v>0</v>
      </c>
      <c r="AC581" s="158">
        <f t="shared" si="272"/>
        <v>0</v>
      </c>
      <c r="AD581" s="158">
        <f t="shared" si="272"/>
        <v>0</v>
      </c>
      <c r="AE581" s="158">
        <f t="shared" si="272"/>
        <v>0</v>
      </c>
      <c r="AF581" s="158">
        <f t="shared" si="272"/>
        <v>0</v>
      </c>
      <c r="AG581" s="158">
        <f t="shared" si="272"/>
        <v>0</v>
      </c>
      <c r="AH581" s="158">
        <f t="shared" si="272"/>
        <v>0</v>
      </c>
      <c r="AI581" s="158">
        <f t="shared" si="272"/>
        <v>0</v>
      </c>
      <c r="AJ581" s="158">
        <f t="shared" si="272"/>
        <v>0</v>
      </c>
      <c r="AK581" s="158">
        <f t="shared" si="272"/>
        <v>0</v>
      </c>
      <c r="AL581" s="158">
        <f t="shared" ref="AL581:AP581" si="273">SUM(AL578:AL580)</f>
        <v>0</v>
      </c>
      <c r="AM581" s="158">
        <f t="shared" si="273"/>
        <v>0</v>
      </c>
      <c r="AN581" s="158">
        <f t="shared" si="273"/>
        <v>0</v>
      </c>
      <c r="AO581" s="158">
        <f t="shared" si="273"/>
        <v>0</v>
      </c>
      <c r="AP581" s="158">
        <f t="shared" si="273"/>
        <v>0</v>
      </c>
      <c r="AQ581" s="396">
        <f>SUM(AQ578:AQ580)</f>
        <v>144200000</v>
      </c>
    </row>
    <row r="582" spans="1:43" ht="15" x14ac:dyDescent="0.25">
      <c r="A582" s="19"/>
      <c r="B582" s="20"/>
      <c r="C582" s="795"/>
      <c r="D582" s="177"/>
      <c r="E582" s="795"/>
      <c r="F582" s="795"/>
      <c r="G582" s="177"/>
      <c r="H582" s="795"/>
      <c r="I582" s="177"/>
      <c r="J582" s="795"/>
      <c r="K582" s="795"/>
      <c r="L582" s="776"/>
      <c r="M582" s="234"/>
      <c r="N582" s="223"/>
      <c r="O582" s="795"/>
      <c r="P582" s="180"/>
      <c r="Q582" s="180"/>
      <c r="R582" s="180"/>
      <c r="S582" s="180"/>
      <c r="T582" s="180"/>
      <c r="U582" s="180"/>
      <c r="V582" s="180"/>
      <c r="W582" s="180"/>
      <c r="X582" s="180"/>
      <c r="Y582" s="180"/>
      <c r="Z582" s="180"/>
      <c r="AA582" s="180"/>
      <c r="AB582" s="180"/>
      <c r="AC582" s="180"/>
      <c r="AD582" s="180"/>
      <c r="AE582" s="180"/>
      <c r="AF582" s="180"/>
      <c r="AG582" s="180"/>
      <c r="AH582" s="180"/>
      <c r="AI582" s="180"/>
      <c r="AJ582" s="180"/>
      <c r="AK582" s="180"/>
      <c r="AL582" s="182"/>
      <c r="AM582" s="183"/>
      <c r="AN582" s="180"/>
      <c r="AO582" s="180"/>
      <c r="AP582" s="180"/>
      <c r="AQ582" s="742"/>
    </row>
    <row r="583" spans="1:43" ht="15" x14ac:dyDescent="0.25">
      <c r="A583" s="19"/>
      <c r="B583" s="20"/>
      <c r="C583" s="795"/>
      <c r="D583" s="153"/>
      <c r="E583" s="579"/>
      <c r="F583" s="579"/>
      <c r="G583" s="344">
        <v>40</v>
      </c>
      <c r="H583" s="189" t="s">
        <v>706</v>
      </c>
      <c r="I583" s="189"/>
      <c r="J583" s="189"/>
      <c r="K583" s="189"/>
      <c r="L583" s="189"/>
      <c r="M583" s="659"/>
      <c r="N583" s="189"/>
      <c r="O583" s="189"/>
      <c r="P583" s="189"/>
      <c r="Q583" s="189"/>
      <c r="R583" s="189"/>
      <c r="S583" s="189"/>
      <c r="T583" s="189"/>
      <c r="U583" s="189"/>
      <c r="V583" s="189"/>
      <c r="W583" s="189"/>
      <c r="X583" s="189"/>
      <c r="Y583" s="189"/>
      <c r="Z583" s="189"/>
      <c r="AA583" s="189"/>
      <c r="AB583" s="189"/>
      <c r="AC583" s="189"/>
      <c r="AD583" s="189"/>
      <c r="AE583" s="189"/>
      <c r="AF583" s="189"/>
      <c r="AG583" s="189"/>
      <c r="AH583" s="189"/>
      <c r="AI583" s="189"/>
      <c r="AJ583" s="189"/>
      <c r="AK583" s="189"/>
      <c r="AL583" s="190"/>
      <c r="AM583" s="189"/>
      <c r="AN583" s="189"/>
      <c r="AO583" s="189"/>
      <c r="AP583" s="189"/>
      <c r="AQ583" s="648"/>
    </row>
    <row r="584" spans="1:43" ht="93" customHeight="1" x14ac:dyDescent="0.25">
      <c r="A584" s="19"/>
      <c r="B584" s="20"/>
      <c r="C584" s="511">
        <v>26</v>
      </c>
      <c r="D584" s="512" t="s">
        <v>707</v>
      </c>
      <c r="E584" s="580" t="s">
        <v>708</v>
      </c>
      <c r="F584" s="580" t="s">
        <v>709</v>
      </c>
      <c r="G584" s="23"/>
      <c r="H584" s="773">
        <v>142</v>
      </c>
      <c r="I584" s="774" t="s">
        <v>710</v>
      </c>
      <c r="J584" s="775" t="s">
        <v>30</v>
      </c>
      <c r="K584" s="775">
        <v>12</v>
      </c>
      <c r="L584" s="858" t="s">
        <v>669</v>
      </c>
      <c r="M584" s="854" t="s">
        <v>711</v>
      </c>
      <c r="N584" s="849" t="s">
        <v>712</v>
      </c>
      <c r="O584" s="775" t="s">
        <v>38</v>
      </c>
      <c r="P584" s="26">
        <v>0</v>
      </c>
      <c r="Q584" s="26">
        <v>0</v>
      </c>
      <c r="R584" s="26">
        <v>0</v>
      </c>
      <c r="S584" s="26">
        <v>0</v>
      </c>
      <c r="T584" s="26">
        <v>0</v>
      </c>
      <c r="U584" s="26">
        <v>0</v>
      </c>
      <c r="V584" s="26">
        <v>0</v>
      </c>
      <c r="W584" s="4">
        <v>6147580</v>
      </c>
      <c r="X584" s="14"/>
      <c r="Y584" s="14"/>
      <c r="Z584" s="26">
        <v>56000000</v>
      </c>
      <c r="AA584" s="324"/>
      <c r="AB584" s="324">
        <v>0</v>
      </c>
      <c r="AC584" s="324">
        <v>0</v>
      </c>
      <c r="AD584" s="254"/>
      <c r="AE584" s="254"/>
      <c r="AF584" s="254"/>
      <c r="AG584" s="254"/>
      <c r="AH584" s="254"/>
      <c r="AI584" s="254"/>
      <c r="AJ584" s="324">
        <v>0</v>
      </c>
      <c r="AK584" s="324">
        <v>0</v>
      </c>
      <c r="AL584" s="496">
        <v>0</v>
      </c>
      <c r="AM584" s="497"/>
      <c r="AN584" s="324">
        <v>0</v>
      </c>
      <c r="AO584" s="59">
        <v>0</v>
      </c>
      <c r="AP584" s="59"/>
      <c r="AQ584" s="742">
        <f>P584+Q584+R584+S584+T584+U584+V584+W584+X584+Y584+Z584+AA584+AB584+AC584+AD584+AE584+AF584+AG584+AH584+AI584+AJ584+AK584+AL584+AM584+AN584+AP584+AO584</f>
        <v>62147580</v>
      </c>
    </row>
    <row r="585" spans="1:43" ht="90.75" customHeight="1" x14ac:dyDescent="0.25">
      <c r="A585" s="19"/>
      <c r="B585" s="20"/>
      <c r="C585" s="795">
        <v>30</v>
      </c>
      <c r="D585" s="514" t="s">
        <v>713</v>
      </c>
      <c r="E585" s="478" t="s">
        <v>714</v>
      </c>
      <c r="F585" s="478" t="s">
        <v>714</v>
      </c>
      <c r="G585" s="29"/>
      <c r="H585" s="773">
        <v>143</v>
      </c>
      <c r="I585" s="774" t="s">
        <v>715</v>
      </c>
      <c r="J585" s="775">
        <v>1</v>
      </c>
      <c r="K585" s="775">
        <v>1</v>
      </c>
      <c r="L585" s="859"/>
      <c r="M585" s="856"/>
      <c r="N585" s="850"/>
      <c r="O585" s="775" t="s">
        <v>38</v>
      </c>
      <c r="P585" s="26">
        <v>0</v>
      </c>
      <c r="Q585" s="26">
        <v>0</v>
      </c>
      <c r="R585" s="26">
        <v>0</v>
      </c>
      <c r="S585" s="26">
        <v>0</v>
      </c>
      <c r="T585" s="26">
        <v>0</v>
      </c>
      <c r="U585" s="26">
        <v>0</v>
      </c>
      <c r="V585" s="26">
        <v>0</v>
      </c>
      <c r="W585" s="4"/>
      <c r="X585" s="14"/>
      <c r="Y585" s="14"/>
      <c r="Z585" s="26">
        <v>20000000</v>
      </c>
      <c r="AA585" s="324"/>
      <c r="AB585" s="324">
        <v>0</v>
      </c>
      <c r="AC585" s="324">
        <v>0</v>
      </c>
      <c r="AD585" s="254"/>
      <c r="AE585" s="254"/>
      <c r="AF585" s="254"/>
      <c r="AG585" s="254"/>
      <c r="AH585" s="254"/>
      <c r="AI585" s="254"/>
      <c r="AJ585" s="324">
        <v>0</v>
      </c>
      <c r="AK585" s="324">
        <v>0</v>
      </c>
      <c r="AL585" s="496">
        <v>0</v>
      </c>
      <c r="AM585" s="497"/>
      <c r="AN585" s="324">
        <v>0</v>
      </c>
      <c r="AO585" s="293">
        <v>0</v>
      </c>
      <c r="AP585" s="293"/>
      <c r="AQ585" s="742">
        <f>P585+Q585+R585+S585+T585+U585+V585+W585+X585+Y585+Z585+AA585+AB585+AC585+AD585+AE585+AF585+AG585+AH585+AI585+AJ585+AK585+AL585+AM585+AN585+AP585+AO585</f>
        <v>20000000</v>
      </c>
    </row>
    <row r="586" spans="1:43" s="28" customFormat="1" ht="98.25" customHeight="1" x14ac:dyDescent="0.25">
      <c r="A586" s="19"/>
      <c r="B586" s="20"/>
      <c r="C586" s="773" t="s">
        <v>702</v>
      </c>
      <c r="D586" s="765" t="s">
        <v>716</v>
      </c>
      <c r="E586" s="762">
        <v>10</v>
      </c>
      <c r="F586" s="762" t="s">
        <v>717</v>
      </c>
      <c r="G586" s="29"/>
      <c r="H586" s="773">
        <v>144</v>
      </c>
      <c r="I586" s="774" t="s">
        <v>718</v>
      </c>
      <c r="J586" s="775">
        <v>5</v>
      </c>
      <c r="K586" s="775">
        <v>5</v>
      </c>
      <c r="L586" s="858" t="s">
        <v>669</v>
      </c>
      <c r="M586" s="854" t="s">
        <v>719</v>
      </c>
      <c r="N586" s="857" t="s">
        <v>720</v>
      </c>
      <c r="O586" s="775" t="s">
        <v>38</v>
      </c>
      <c r="P586" s="26">
        <v>0</v>
      </c>
      <c r="Q586" s="26">
        <v>0</v>
      </c>
      <c r="R586" s="26">
        <v>0</v>
      </c>
      <c r="S586" s="26">
        <v>0</v>
      </c>
      <c r="T586" s="26">
        <v>0</v>
      </c>
      <c r="U586" s="26">
        <v>0</v>
      </c>
      <c r="V586" s="26">
        <v>0</v>
      </c>
      <c r="W586" s="14">
        <f>145101159+25000000</f>
        <v>170101159</v>
      </c>
      <c r="X586" s="14"/>
      <c r="Y586" s="14"/>
      <c r="Z586" s="26">
        <f>24000000</f>
        <v>24000000</v>
      </c>
      <c r="AA586" s="26"/>
      <c r="AB586" s="26">
        <v>0</v>
      </c>
      <c r="AC586" s="77"/>
      <c r="AD586" s="26"/>
      <c r="AE586" s="26"/>
      <c r="AF586" s="26"/>
      <c r="AG586" s="26"/>
      <c r="AH586" s="26"/>
      <c r="AI586" s="26"/>
      <c r="AJ586" s="26">
        <v>0</v>
      </c>
      <c r="AK586" s="26">
        <v>0</v>
      </c>
      <c r="AL586" s="110">
        <v>0</v>
      </c>
      <c r="AM586" s="38"/>
      <c r="AN586" s="26">
        <v>0</v>
      </c>
      <c r="AO586" s="26">
        <v>238136825</v>
      </c>
      <c r="AP586" s="26"/>
      <c r="AQ586" s="742">
        <f>P586+Q586+R586+S586+T586+U586+V586+W586+X586+Y586+Z586+AA586+AB586+AC586+AD586+AE586+AF586+AG586+AH586+AI586+AJ586+AK586+AL586+AM586+AN586+AP586+AO586</f>
        <v>432237984</v>
      </c>
    </row>
    <row r="587" spans="1:43" ht="91.5" customHeight="1" x14ac:dyDescent="0.25">
      <c r="A587" s="19"/>
      <c r="B587" s="20"/>
      <c r="C587" s="773" t="s">
        <v>702</v>
      </c>
      <c r="D587" s="774" t="s">
        <v>721</v>
      </c>
      <c r="E587" s="775" t="s">
        <v>722</v>
      </c>
      <c r="F587" s="80">
        <v>0.8</v>
      </c>
      <c r="G587" s="29"/>
      <c r="H587" s="773">
        <v>145</v>
      </c>
      <c r="I587" s="774" t="s">
        <v>723</v>
      </c>
      <c r="J587" s="39" t="s">
        <v>30</v>
      </c>
      <c r="K587" s="53">
        <v>1</v>
      </c>
      <c r="L587" s="859"/>
      <c r="M587" s="856"/>
      <c r="N587" s="850"/>
      <c r="O587" s="775" t="s">
        <v>38</v>
      </c>
      <c r="P587" s="26">
        <v>0</v>
      </c>
      <c r="Q587" s="26">
        <v>0</v>
      </c>
      <c r="R587" s="26">
        <v>0</v>
      </c>
      <c r="S587" s="26">
        <v>0</v>
      </c>
      <c r="T587" s="26">
        <v>0</v>
      </c>
      <c r="U587" s="26">
        <v>0</v>
      </c>
      <c r="V587" s="26">
        <v>0</v>
      </c>
      <c r="W587" s="14">
        <v>88395537.9969109</v>
      </c>
      <c r="X587" s="14"/>
      <c r="Y587" s="14"/>
      <c r="Z587" s="324">
        <v>0</v>
      </c>
      <c r="AA587" s="324"/>
      <c r="AB587" s="324">
        <v>0</v>
      </c>
      <c r="AC587" s="324">
        <v>0</v>
      </c>
      <c r="AD587" s="254"/>
      <c r="AE587" s="254"/>
      <c r="AF587" s="254"/>
      <c r="AG587" s="254"/>
      <c r="AH587" s="254"/>
      <c r="AI587" s="254"/>
      <c r="AJ587" s="324">
        <v>0</v>
      </c>
      <c r="AK587" s="324">
        <v>0</v>
      </c>
      <c r="AL587" s="496">
        <v>0</v>
      </c>
      <c r="AM587" s="497"/>
      <c r="AN587" s="324">
        <v>0</v>
      </c>
      <c r="AO587" s="293">
        <v>0</v>
      </c>
      <c r="AP587" s="293"/>
      <c r="AQ587" s="742">
        <f>P587+Q587+R587+S587+T587+U587+V587+W587+X587+Y587+Z587+AA587+AB587+AC587+AD587+AE587+AF587+AG587+AH587+AI587+AJ587+AK587+AL587+AM587+AN587+AP587+AO587</f>
        <v>88395537.9969109</v>
      </c>
    </row>
    <row r="588" spans="1:43" ht="86.25" customHeight="1" x14ac:dyDescent="0.25">
      <c r="A588" s="19"/>
      <c r="B588" s="20"/>
      <c r="C588" s="773" t="s">
        <v>702</v>
      </c>
      <c r="D588" s="774" t="s">
        <v>724</v>
      </c>
      <c r="E588" s="80">
        <v>0.68</v>
      </c>
      <c r="F588" s="80">
        <v>0.73</v>
      </c>
      <c r="G588" s="30"/>
      <c r="H588" s="773">
        <v>146</v>
      </c>
      <c r="I588" s="774" t="s">
        <v>725</v>
      </c>
      <c r="J588" s="775" t="s">
        <v>30</v>
      </c>
      <c r="K588" s="775">
        <v>1</v>
      </c>
      <c r="L588" s="775" t="s">
        <v>669</v>
      </c>
      <c r="M588" s="37" t="s">
        <v>726</v>
      </c>
      <c r="N588" s="774" t="s">
        <v>727</v>
      </c>
      <c r="O588" s="775" t="s">
        <v>38</v>
      </c>
      <c r="P588" s="26">
        <v>0</v>
      </c>
      <c r="Q588" s="26">
        <v>0</v>
      </c>
      <c r="R588" s="26">
        <v>0</v>
      </c>
      <c r="S588" s="26">
        <v>0</v>
      </c>
      <c r="T588" s="26">
        <v>0</v>
      </c>
      <c r="U588" s="26">
        <v>0</v>
      </c>
      <c r="V588" s="26">
        <v>0</v>
      </c>
      <c r="W588" s="4">
        <v>24590320</v>
      </c>
      <c r="X588" s="14"/>
      <c r="Y588" s="14"/>
      <c r="Z588" s="324"/>
      <c r="AA588" s="324"/>
      <c r="AB588" s="324">
        <v>0</v>
      </c>
      <c r="AC588" s="324"/>
      <c r="AD588" s="254"/>
      <c r="AE588" s="254"/>
      <c r="AF588" s="254"/>
      <c r="AG588" s="254"/>
      <c r="AH588" s="254"/>
      <c r="AI588" s="254"/>
      <c r="AJ588" s="324">
        <v>0</v>
      </c>
      <c r="AK588" s="324">
        <v>0</v>
      </c>
      <c r="AL588" s="496">
        <v>0</v>
      </c>
      <c r="AM588" s="497"/>
      <c r="AN588" s="324">
        <v>0</v>
      </c>
      <c r="AO588" s="27">
        <v>169295280</v>
      </c>
      <c r="AP588" s="27"/>
      <c r="AQ588" s="742">
        <f>P588+Q588+R588+S588+T588+U588+V588+W588+X588+Y588+Z588+AA588+AB588+AC588+AD588+AE588+AF588+AG588+AH588+AI588+AJ588+AK588+AL588+AM588+AN588+AP588+AO588</f>
        <v>193885600</v>
      </c>
    </row>
    <row r="589" spans="1:43" ht="15" x14ac:dyDescent="0.25">
      <c r="A589" s="19"/>
      <c r="B589" s="20"/>
      <c r="C589" s="773"/>
      <c r="D589" s="153"/>
      <c r="E589" s="579"/>
      <c r="F589" s="579"/>
      <c r="G589" s="154"/>
      <c r="H589" s="155"/>
      <c r="I589" s="154"/>
      <c r="J589" s="155"/>
      <c r="K589" s="155"/>
      <c r="L589" s="155"/>
      <c r="M589" s="157"/>
      <c r="N589" s="154"/>
      <c r="O589" s="155"/>
      <c r="P589" s="158">
        <f t="shared" ref="P589:AK589" si="274">SUM(P584:P588)</f>
        <v>0</v>
      </c>
      <c r="Q589" s="158">
        <f t="shared" si="274"/>
        <v>0</v>
      </c>
      <c r="R589" s="158">
        <f t="shared" si="274"/>
        <v>0</v>
      </c>
      <c r="S589" s="158">
        <f t="shared" si="274"/>
        <v>0</v>
      </c>
      <c r="T589" s="158">
        <f t="shared" si="274"/>
        <v>0</v>
      </c>
      <c r="U589" s="158">
        <f t="shared" si="274"/>
        <v>0</v>
      </c>
      <c r="V589" s="158">
        <f t="shared" si="274"/>
        <v>0</v>
      </c>
      <c r="W589" s="158">
        <f t="shared" si="274"/>
        <v>289234596.99691093</v>
      </c>
      <c r="X589" s="158">
        <f t="shared" si="274"/>
        <v>0</v>
      </c>
      <c r="Y589" s="158">
        <f t="shared" si="274"/>
        <v>0</v>
      </c>
      <c r="Z589" s="158">
        <f t="shared" si="274"/>
        <v>100000000</v>
      </c>
      <c r="AA589" s="158">
        <f t="shared" si="274"/>
        <v>0</v>
      </c>
      <c r="AB589" s="158">
        <f t="shared" si="274"/>
        <v>0</v>
      </c>
      <c r="AC589" s="158">
        <f t="shared" si="274"/>
        <v>0</v>
      </c>
      <c r="AD589" s="158">
        <f t="shared" si="274"/>
        <v>0</v>
      </c>
      <c r="AE589" s="158">
        <f t="shared" si="274"/>
        <v>0</v>
      </c>
      <c r="AF589" s="158">
        <f t="shared" si="274"/>
        <v>0</v>
      </c>
      <c r="AG589" s="158">
        <f t="shared" si="274"/>
        <v>0</v>
      </c>
      <c r="AH589" s="158">
        <f t="shared" si="274"/>
        <v>0</v>
      </c>
      <c r="AI589" s="158">
        <f t="shared" si="274"/>
        <v>0</v>
      </c>
      <c r="AJ589" s="158">
        <f t="shared" si="274"/>
        <v>0</v>
      </c>
      <c r="AK589" s="158">
        <f t="shared" si="274"/>
        <v>0</v>
      </c>
      <c r="AL589" s="158">
        <f t="shared" ref="AL589:AP589" si="275">SUM(AL584:AL588)</f>
        <v>0</v>
      </c>
      <c r="AM589" s="158">
        <f t="shared" si="275"/>
        <v>0</v>
      </c>
      <c r="AN589" s="158">
        <f t="shared" si="275"/>
        <v>0</v>
      </c>
      <c r="AO589" s="158">
        <f t="shared" si="275"/>
        <v>407432105</v>
      </c>
      <c r="AP589" s="158">
        <f t="shared" si="275"/>
        <v>0</v>
      </c>
      <c r="AQ589" s="396">
        <f>SUM(AQ584:AQ588)</f>
        <v>796666701.99691093</v>
      </c>
    </row>
    <row r="590" spans="1:43" ht="15" x14ac:dyDescent="0.25">
      <c r="A590" s="19"/>
      <c r="B590" s="20"/>
      <c r="C590" s="795"/>
      <c r="D590" s="177"/>
      <c r="E590" s="795"/>
      <c r="F590" s="795"/>
      <c r="G590" s="177"/>
      <c r="H590" s="795"/>
      <c r="I590" s="177"/>
      <c r="J590" s="795"/>
      <c r="K590" s="795"/>
      <c r="L590" s="776"/>
      <c r="M590" s="234"/>
      <c r="N590" s="223"/>
      <c r="O590" s="795"/>
      <c r="P590" s="180"/>
      <c r="Q590" s="180"/>
      <c r="R590" s="180"/>
      <c r="S590" s="180"/>
      <c r="T590" s="180"/>
      <c r="U590" s="180"/>
      <c r="V590" s="180"/>
      <c r="W590" s="180"/>
      <c r="X590" s="180"/>
      <c r="Y590" s="180"/>
      <c r="Z590" s="180"/>
      <c r="AA590" s="180"/>
      <c r="AB590" s="180"/>
      <c r="AC590" s="180"/>
      <c r="AD590" s="180"/>
      <c r="AE590" s="180"/>
      <c r="AF590" s="180"/>
      <c r="AG590" s="180"/>
      <c r="AH590" s="180"/>
      <c r="AI590" s="180"/>
      <c r="AJ590" s="180"/>
      <c r="AK590" s="180"/>
      <c r="AL590" s="182"/>
      <c r="AM590" s="183"/>
      <c r="AN590" s="180"/>
      <c r="AO590" s="180"/>
      <c r="AP590" s="180"/>
      <c r="AQ590" s="742"/>
    </row>
    <row r="591" spans="1:43" ht="15" x14ac:dyDescent="0.25">
      <c r="A591" s="19"/>
      <c r="B591" s="20"/>
      <c r="C591" s="795"/>
      <c r="D591" s="153"/>
      <c r="E591" s="579"/>
      <c r="F591" s="579"/>
      <c r="G591" s="344">
        <v>41</v>
      </c>
      <c r="H591" s="189" t="s">
        <v>728</v>
      </c>
      <c r="I591" s="189"/>
      <c r="J591" s="189"/>
      <c r="K591" s="189"/>
      <c r="L591" s="189"/>
      <c r="M591" s="189"/>
      <c r="N591" s="189"/>
      <c r="O591" s="189"/>
      <c r="P591" s="189"/>
      <c r="Q591" s="189"/>
      <c r="R591" s="189"/>
      <c r="S591" s="189"/>
      <c r="T591" s="189"/>
      <c r="U591" s="189"/>
      <c r="V591" s="189"/>
      <c r="W591" s="189"/>
      <c r="X591" s="189"/>
      <c r="Y591" s="189"/>
      <c r="Z591" s="189"/>
      <c r="AA591" s="189"/>
      <c r="AB591" s="189"/>
      <c r="AC591" s="189"/>
      <c r="AD591" s="189"/>
      <c r="AE591" s="189"/>
      <c r="AF591" s="189"/>
      <c r="AG591" s="189"/>
      <c r="AH591" s="189"/>
      <c r="AI591" s="189"/>
      <c r="AJ591" s="189"/>
      <c r="AK591" s="189"/>
      <c r="AL591" s="190"/>
      <c r="AM591" s="189"/>
      <c r="AN591" s="189"/>
      <c r="AO591" s="189"/>
      <c r="AP591" s="189"/>
      <c r="AQ591" s="648"/>
    </row>
    <row r="592" spans="1:43" ht="51.75" customHeight="1" x14ac:dyDescent="0.25">
      <c r="A592" s="19"/>
      <c r="B592" s="20"/>
      <c r="C592" s="905">
        <v>28</v>
      </c>
      <c r="D592" s="927" t="s">
        <v>902</v>
      </c>
      <c r="E592" s="929">
        <v>0.5</v>
      </c>
      <c r="F592" s="929">
        <v>1</v>
      </c>
      <c r="G592" s="931"/>
      <c r="H592" s="773">
        <v>147</v>
      </c>
      <c r="I592" s="774" t="s">
        <v>729</v>
      </c>
      <c r="J592" s="775">
        <v>14</v>
      </c>
      <c r="K592" s="775">
        <v>14</v>
      </c>
      <c r="L592" s="858" t="s">
        <v>669</v>
      </c>
      <c r="M592" s="854" t="s">
        <v>730</v>
      </c>
      <c r="N592" s="849" t="s">
        <v>731</v>
      </c>
      <c r="O592" s="775" t="s">
        <v>38</v>
      </c>
      <c r="P592" s="26">
        <v>0</v>
      </c>
      <c r="Q592" s="26">
        <v>0</v>
      </c>
      <c r="R592" s="26">
        <v>0</v>
      </c>
      <c r="S592" s="26">
        <v>0</v>
      </c>
      <c r="T592" s="26">
        <v>0</v>
      </c>
      <c r="U592" s="26">
        <v>0</v>
      </c>
      <c r="V592" s="26">
        <v>0</v>
      </c>
      <c r="W592" s="4">
        <v>5150000</v>
      </c>
      <c r="X592" s="14"/>
      <c r="Y592" s="14"/>
      <c r="Z592" s="324">
        <v>0</v>
      </c>
      <c r="AA592" s="324"/>
      <c r="AB592" s="324">
        <v>0</v>
      </c>
      <c r="AC592" s="324">
        <v>0</v>
      </c>
      <c r="AD592" s="254"/>
      <c r="AE592" s="254"/>
      <c r="AF592" s="254"/>
      <c r="AG592" s="254"/>
      <c r="AH592" s="254"/>
      <c r="AI592" s="254"/>
      <c r="AJ592" s="324">
        <v>0</v>
      </c>
      <c r="AK592" s="324">
        <v>0</v>
      </c>
      <c r="AL592" s="496">
        <v>0</v>
      </c>
      <c r="AM592" s="497"/>
      <c r="AN592" s="324">
        <v>0</v>
      </c>
      <c r="AO592" s="293">
        <v>0</v>
      </c>
      <c r="AP592" s="293"/>
      <c r="AQ592" s="742">
        <f>P592+Q592+R592+S592+T592+U592+V592+W592+X592+Y592+Z592+AA592+AB592+AC592+AD592+AE592+AF592+AG592+AH592+AI592+AJ592+AK592+AL592+AM592+AN592+AP592+AO592</f>
        <v>5150000</v>
      </c>
    </row>
    <row r="593" spans="1:43" ht="62.25" customHeight="1" x14ac:dyDescent="0.25">
      <c r="A593" s="19"/>
      <c r="B593" s="20"/>
      <c r="C593" s="907"/>
      <c r="D593" s="928"/>
      <c r="E593" s="930"/>
      <c r="F593" s="930"/>
      <c r="G593" s="932"/>
      <c r="H593" s="773">
        <v>148</v>
      </c>
      <c r="I593" s="774" t="s">
        <v>732</v>
      </c>
      <c r="J593" s="775" t="s">
        <v>30</v>
      </c>
      <c r="K593" s="775">
        <v>11</v>
      </c>
      <c r="L593" s="859"/>
      <c r="M593" s="856"/>
      <c r="N593" s="850"/>
      <c r="O593" s="775" t="s">
        <v>38</v>
      </c>
      <c r="P593" s="26">
        <v>0</v>
      </c>
      <c r="Q593" s="26">
        <v>0</v>
      </c>
      <c r="R593" s="26">
        <v>0</v>
      </c>
      <c r="S593" s="26">
        <v>0</v>
      </c>
      <c r="T593" s="26">
        <v>0</v>
      </c>
      <c r="U593" s="26">
        <v>0</v>
      </c>
      <c r="V593" s="26">
        <v>0</v>
      </c>
      <c r="W593" s="4">
        <v>5150000</v>
      </c>
      <c r="X593" s="14"/>
      <c r="Y593" s="14"/>
      <c r="Z593" s="324">
        <v>0</v>
      </c>
      <c r="AA593" s="324"/>
      <c r="AB593" s="324">
        <v>0</v>
      </c>
      <c r="AC593" s="324">
        <v>0</v>
      </c>
      <c r="AD593" s="254"/>
      <c r="AE593" s="254"/>
      <c r="AF593" s="254"/>
      <c r="AG593" s="254"/>
      <c r="AH593" s="254"/>
      <c r="AI593" s="254"/>
      <c r="AJ593" s="324">
        <v>0</v>
      </c>
      <c r="AK593" s="324">
        <v>0</v>
      </c>
      <c r="AL593" s="496">
        <v>0</v>
      </c>
      <c r="AM593" s="497"/>
      <c r="AN593" s="324">
        <v>0</v>
      </c>
      <c r="AO593" s="293">
        <v>0</v>
      </c>
      <c r="AP593" s="293"/>
      <c r="AQ593" s="742">
        <f>P593+Q593+R593+S593+T593+U593+V593+W593+X593+Y593+Z593+AA593+AB593+AC593+AD593+AE593+AF593+AG593+AH593+AI593+AJ593+AK593+AL593+AM593+AN593+AP593+AO593</f>
        <v>5150000</v>
      </c>
    </row>
    <row r="594" spans="1:43" ht="15" x14ac:dyDescent="0.25">
      <c r="A594" s="19"/>
      <c r="B594" s="20"/>
      <c r="C594" s="773"/>
      <c r="D594" s="153"/>
      <c r="E594" s="579"/>
      <c r="F594" s="579"/>
      <c r="G594" s="154"/>
      <c r="H594" s="155"/>
      <c r="I594" s="154"/>
      <c r="J594" s="155"/>
      <c r="K594" s="155"/>
      <c r="L594" s="155"/>
      <c r="M594" s="157"/>
      <c r="N594" s="154"/>
      <c r="O594" s="155"/>
      <c r="P594" s="158">
        <f t="shared" ref="P594:AK594" si="276">SUM(P592:P593)</f>
        <v>0</v>
      </c>
      <c r="Q594" s="158">
        <f t="shared" si="276"/>
        <v>0</v>
      </c>
      <c r="R594" s="158">
        <f t="shared" si="276"/>
        <v>0</v>
      </c>
      <c r="S594" s="158">
        <f t="shared" si="276"/>
        <v>0</v>
      </c>
      <c r="T594" s="158">
        <f t="shared" si="276"/>
        <v>0</v>
      </c>
      <c r="U594" s="158">
        <f t="shared" si="276"/>
        <v>0</v>
      </c>
      <c r="V594" s="158">
        <f t="shared" si="276"/>
        <v>0</v>
      </c>
      <c r="W594" s="158">
        <f t="shared" si="276"/>
        <v>10300000</v>
      </c>
      <c r="X594" s="158">
        <f t="shared" si="276"/>
        <v>0</v>
      </c>
      <c r="Y594" s="158">
        <f t="shared" si="276"/>
        <v>0</v>
      </c>
      <c r="Z594" s="158">
        <f t="shared" si="276"/>
        <v>0</v>
      </c>
      <c r="AA594" s="158">
        <f t="shared" si="276"/>
        <v>0</v>
      </c>
      <c r="AB594" s="158">
        <f t="shared" si="276"/>
        <v>0</v>
      </c>
      <c r="AC594" s="158">
        <f t="shared" si="276"/>
        <v>0</v>
      </c>
      <c r="AD594" s="158">
        <f t="shared" si="276"/>
        <v>0</v>
      </c>
      <c r="AE594" s="158">
        <f t="shared" si="276"/>
        <v>0</v>
      </c>
      <c r="AF594" s="158">
        <f t="shared" si="276"/>
        <v>0</v>
      </c>
      <c r="AG594" s="158">
        <f t="shared" si="276"/>
        <v>0</v>
      </c>
      <c r="AH594" s="158">
        <f t="shared" si="276"/>
        <v>0</v>
      </c>
      <c r="AI594" s="158">
        <f t="shared" si="276"/>
        <v>0</v>
      </c>
      <c r="AJ594" s="158">
        <f t="shared" si="276"/>
        <v>0</v>
      </c>
      <c r="AK594" s="158">
        <f t="shared" si="276"/>
        <v>0</v>
      </c>
      <c r="AL594" s="158">
        <f t="shared" ref="AL594:AP594" si="277">SUM(AL592:AL593)</f>
        <v>0</v>
      </c>
      <c r="AM594" s="158">
        <f t="shared" si="277"/>
        <v>0</v>
      </c>
      <c r="AN594" s="158">
        <f t="shared" si="277"/>
        <v>0</v>
      </c>
      <c r="AO594" s="158">
        <f t="shared" si="277"/>
        <v>0</v>
      </c>
      <c r="AP594" s="158">
        <f t="shared" si="277"/>
        <v>0</v>
      </c>
      <c r="AQ594" s="396">
        <f>SUM(AQ592:AQ593)</f>
        <v>10300000</v>
      </c>
    </row>
    <row r="595" spans="1:43" ht="15" x14ac:dyDescent="0.25">
      <c r="A595" s="19"/>
      <c r="B595" s="20"/>
      <c r="C595" s="795"/>
      <c r="D595" s="177"/>
      <c r="E595" s="795"/>
      <c r="F595" s="795"/>
      <c r="G595" s="177"/>
      <c r="H595" s="795"/>
      <c r="I595" s="177"/>
      <c r="J595" s="795"/>
      <c r="K595" s="795"/>
      <c r="L595" s="776"/>
      <c r="M595" s="234"/>
      <c r="N595" s="223"/>
      <c r="O595" s="795"/>
      <c r="P595" s="180"/>
      <c r="Q595" s="180"/>
      <c r="R595" s="180"/>
      <c r="S595" s="180"/>
      <c r="T595" s="180"/>
      <c r="U595" s="180"/>
      <c r="V595" s="180"/>
      <c r="W595" s="180"/>
      <c r="X595" s="180"/>
      <c r="Y595" s="180"/>
      <c r="Z595" s="180"/>
      <c r="AA595" s="180"/>
      <c r="AB595" s="180"/>
      <c r="AC595" s="180"/>
      <c r="AD595" s="180"/>
      <c r="AE595" s="180"/>
      <c r="AF595" s="180"/>
      <c r="AG595" s="180"/>
      <c r="AH595" s="180"/>
      <c r="AI595" s="180"/>
      <c r="AJ595" s="180"/>
      <c r="AK595" s="180"/>
      <c r="AL595" s="182"/>
      <c r="AM595" s="183"/>
      <c r="AN595" s="180"/>
      <c r="AO595" s="180"/>
      <c r="AP595" s="180"/>
      <c r="AQ595" s="742"/>
    </row>
    <row r="596" spans="1:43" ht="15" x14ac:dyDescent="0.25">
      <c r="A596" s="19"/>
      <c r="B596" s="20"/>
      <c r="C596" s="795"/>
      <c r="D596" s="153"/>
      <c r="E596" s="579"/>
      <c r="F596" s="579"/>
      <c r="G596" s="344">
        <v>42</v>
      </c>
      <c r="H596" s="189" t="s">
        <v>733</v>
      </c>
      <c r="I596" s="189"/>
      <c r="J596" s="189"/>
      <c r="K596" s="189"/>
      <c r="L596" s="189"/>
      <c r="M596" s="189"/>
      <c r="N596" s="189"/>
      <c r="O596" s="189"/>
      <c r="P596" s="189"/>
      <c r="Q596" s="189"/>
      <c r="R596" s="189"/>
      <c r="S596" s="189"/>
      <c r="T596" s="189"/>
      <c r="U596" s="189"/>
      <c r="V596" s="189"/>
      <c r="W596" s="189"/>
      <c r="X596" s="189"/>
      <c r="Y596" s="189"/>
      <c r="Z596" s="189"/>
      <c r="AA596" s="189"/>
      <c r="AB596" s="189"/>
      <c r="AC596" s="189"/>
      <c r="AD596" s="189"/>
      <c r="AE596" s="189"/>
      <c r="AF596" s="189"/>
      <c r="AG596" s="189"/>
      <c r="AH596" s="189"/>
      <c r="AI596" s="189"/>
      <c r="AJ596" s="189"/>
      <c r="AK596" s="189"/>
      <c r="AL596" s="190"/>
      <c r="AM596" s="189"/>
      <c r="AN596" s="189"/>
      <c r="AO596" s="189"/>
      <c r="AP596" s="189"/>
      <c r="AQ596" s="648"/>
    </row>
    <row r="597" spans="1:43" ht="66" customHeight="1" x14ac:dyDescent="0.25">
      <c r="A597" s="19"/>
      <c r="B597" s="20"/>
      <c r="C597" s="760" t="s">
        <v>702</v>
      </c>
      <c r="D597" s="87" t="s">
        <v>734</v>
      </c>
      <c r="E597" s="87" t="s">
        <v>735</v>
      </c>
      <c r="F597" s="87" t="s">
        <v>736</v>
      </c>
      <c r="G597" s="933"/>
      <c r="H597" s="31">
        <v>149</v>
      </c>
      <c r="I597" s="774" t="s">
        <v>737</v>
      </c>
      <c r="J597" s="775" t="s">
        <v>30</v>
      </c>
      <c r="K597" s="775">
        <v>8</v>
      </c>
      <c r="L597" s="858" t="s">
        <v>669</v>
      </c>
      <c r="M597" s="854" t="s">
        <v>738</v>
      </c>
      <c r="N597" s="857" t="s">
        <v>942</v>
      </c>
      <c r="O597" s="775" t="s">
        <v>38</v>
      </c>
      <c r="P597" s="26"/>
      <c r="Q597" s="26"/>
      <c r="R597" s="26"/>
      <c r="S597" s="26"/>
      <c r="T597" s="26"/>
      <c r="U597" s="26"/>
      <c r="V597" s="26"/>
      <c r="W597" s="4">
        <v>38625000</v>
      </c>
      <c r="X597" s="14"/>
      <c r="Y597" s="14"/>
      <c r="Z597" s="26"/>
      <c r="AA597" s="26"/>
      <c r="AB597" s="26"/>
      <c r="AC597" s="26"/>
      <c r="AD597" s="254"/>
      <c r="AE597" s="254"/>
      <c r="AF597" s="254"/>
      <c r="AG597" s="254"/>
      <c r="AH597" s="254"/>
      <c r="AI597" s="254"/>
      <c r="AJ597" s="26"/>
      <c r="AK597" s="26"/>
      <c r="AL597" s="496"/>
      <c r="AM597" s="497"/>
      <c r="AN597" s="324"/>
      <c r="AO597" s="293"/>
      <c r="AP597" s="293"/>
      <c r="AQ597" s="742">
        <f>P597+Q597+R597+S597+T597+U597+V597+W597+X597+Y597+Z597+AA597+AB597+AC597+AD597+AE597+AF597+AG597+AH597+AI597+AJ597+AK597+AL597+AM597+AN597+AP597+AO597</f>
        <v>38625000</v>
      </c>
    </row>
    <row r="598" spans="1:43" ht="111.75" customHeight="1" x14ac:dyDescent="0.25">
      <c r="A598" s="19"/>
      <c r="B598" s="20"/>
      <c r="C598" s="775">
        <v>28</v>
      </c>
      <c r="D598" s="87" t="s">
        <v>739</v>
      </c>
      <c r="E598" s="80">
        <v>0.5</v>
      </c>
      <c r="F598" s="80">
        <v>1</v>
      </c>
      <c r="G598" s="934"/>
      <c r="H598" s="31">
        <v>150</v>
      </c>
      <c r="I598" s="774" t="s">
        <v>740</v>
      </c>
      <c r="J598" s="775">
        <v>0</v>
      </c>
      <c r="K598" s="775">
        <v>14</v>
      </c>
      <c r="L598" s="859"/>
      <c r="M598" s="856"/>
      <c r="N598" s="850"/>
      <c r="O598" s="775" t="s">
        <v>38</v>
      </c>
      <c r="P598" s="26">
        <v>0</v>
      </c>
      <c r="Q598" s="26">
        <v>0</v>
      </c>
      <c r="R598" s="26">
        <v>0</v>
      </c>
      <c r="S598" s="26">
        <v>0</v>
      </c>
      <c r="T598" s="26">
        <v>0</v>
      </c>
      <c r="U598" s="26">
        <v>0</v>
      </c>
      <c r="V598" s="26">
        <v>0</v>
      </c>
      <c r="W598" s="4">
        <v>12875000</v>
      </c>
      <c r="X598" s="14"/>
      <c r="Y598" s="14"/>
      <c r="Z598" s="26">
        <v>0</v>
      </c>
      <c r="AA598" s="26"/>
      <c r="AB598" s="26">
        <v>0</v>
      </c>
      <c r="AC598" s="26">
        <v>0</v>
      </c>
      <c r="AD598" s="254"/>
      <c r="AE598" s="254"/>
      <c r="AF598" s="254"/>
      <c r="AG598" s="254"/>
      <c r="AH598" s="254"/>
      <c r="AI598" s="254"/>
      <c r="AJ598" s="26">
        <v>0</v>
      </c>
      <c r="AK598" s="26">
        <v>0</v>
      </c>
      <c r="AL598" s="496">
        <v>0</v>
      </c>
      <c r="AM598" s="497"/>
      <c r="AN598" s="324">
        <v>0</v>
      </c>
      <c r="AO598" s="293">
        <v>0</v>
      </c>
      <c r="AP598" s="293"/>
      <c r="AQ598" s="742">
        <f>P598+Q598+R598+S598+T598+U598+V598+W598+X598+Y598+Z598+AA598+AB598+AC598+AD598+AE598+AF598+AG598+AH598+AI598+AJ598+AK598+AL598+AM598+AN598+AP598+AO598</f>
        <v>12875000</v>
      </c>
    </row>
    <row r="599" spans="1:43" ht="15" x14ac:dyDescent="0.25">
      <c r="A599" s="19"/>
      <c r="B599" s="20"/>
      <c r="C599" s="773"/>
      <c r="D599" s="774"/>
      <c r="E599" s="775"/>
      <c r="F599" s="775"/>
      <c r="G599" s="303"/>
      <c r="H599" s="316"/>
      <c r="I599" s="154"/>
      <c r="J599" s="155"/>
      <c r="K599" s="155"/>
      <c r="L599" s="155"/>
      <c r="M599" s="157"/>
      <c r="N599" s="154"/>
      <c r="O599" s="155"/>
      <c r="P599" s="158">
        <f t="shared" ref="P599:AK599" si="278">SUM(P597:P598)</f>
        <v>0</v>
      </c>
      <c r="Q599" s="158">
        <f t="shared" si="278"/>
        <v>0</v>
      </c>
      <c r="R599" s="158">
        <f t="shared" si="278"/>
        <v>0</v>
      </c>
      <c r="S599" s="158">
        <f t="shared" si="278"/>
        <v>0</v>
      </c>
      <c r="T599" s="158">
        <f t="shared" si="278"/>
        <v>0</v>
      </c>
      <c r="U599" s="158">
        <f t="shared" si="278"/>
        <v>0</v>
      </c>
      <c r="V599" s="158">
        <f t="shared" si="278"/>
        <v>0</v>
      </c>
      <c r="W599" s="158">
        <f t="shared" si="278"/>
        <v>51500000</v>
      </c>
      <c r="X599" s="158">
        <f t="shared" si="278"/>
        <v>0</v>
      </c>
      <c r="Y599" s="158">
        <f t="shared" si="278"/>
        <v>0</v>
      </c>
      <c r="Z599" s="158">
        <f t="shared" si="278"/>
        <v>0</v>
      </c>
      <c r="AA599" s="158">
        <f t="shared" si="278"/>
        <v>0</v>
      </c>
      <c r="AB599" s="158">
        <f t="shared" si="278"/>
        <v>0</v>
      </c>
      <c r="AC599" s="158">
        <f t="shared" si="278"/>
        <v>0</v>
      </c>
      <c r="AD599" s="158">
        <f t="shared" si="278"/>
        <v>0</v>
      </c>
      <c r="AE599" s="158">
        <f t="shared" si="278"/>
        <v>0</v>
      </c>
      <c r="AF599" s="158">
        <f t="shared" si="278"/>
        <v>0</v>
      </c>
      <c r="AG599" s="158">
        <f t="shared" si="278"/>
        <v>0</v>
      </c>
      <c r="AH599" s="158">
        <f t="shared" si="278"/>
        <v>0</v>
      </c>
      <c r="AI599" s="158">
        <f t="shared" si="278"/>
        <v>0</v>
      </c>
      <c r="AJ599" s="158">
        <f t="shared" si="278"/>
        <v>0</v>
      </c>
      <c r="AK599" s="158">
        <f t="shared" si="278"/>
        <v>0</v>
      </c>
      <c r="AL599" s="158">
        <f t="shared" ref="AL599:AP599" si="279">SUM(AL597:AL598)</f>
        <v>0</v>
      </c>
      <c r="AM599" s="158">
        <f t="shared" si="279"/>
        <v>0</v>
      </c>
      <c r="AN599" s="158">
        <f t="shared" si="279"/>
        <v>0</v>
      </c>
      <c r="AO599" s="158">
        <f t="shared" si="279"/>
        <v>0</v>
      </c>
      <c r="AP599" s="158">
        <f t="shared" si="279"/>
        <v>0</v>
      </c>
      <c r="AQ599" s="396">
        <f>SUM(AQ597:AQ598)</f>
        <v>51500000</v>
      </c>
    </row>
    <row r="600" spans="1:43" ht="15" x14ac:dyDescent="0.25">
      <c r="A600" s="19"/>
      <c r="B600" s="20"/>
      <c r="C600" s="795"/>
      <c r="D600" s="177"/>
      <c r="E600" s="795"/>
      <c r="F600" s="795"/>
      <c r="G600" s="177"/>
      <c r="H600" s="795"/>
      <c r="I600" s="177"/>
      <c r="J600" s="795"/>
      <c r="K600" s="795"/>
      <c r="L600" s="776"/>
      <c r="M600" s="234"/>
      <c r="N600" s="223"/>
      <c r="O600" s="795"/>
      <c r="P600" s="180"/>
      <c r="Q600" s="180"/>
      <c r="R600" s="180"/>
      <c r="S600" s="180"/>
      <c r="T600" s="180"/>
      <c r="U600" s="180"/>
      <c r="V600" s="180"/>
      <c r="W600" s="180"/>
      <c r="X600" s="180"/>
      <c r="Y600" s="180"/>
      <c r="Z600" s="180"/>
      <c r="AA600" s="180"/>
      <c r="AB600" s="180"/>
      <c r="AC600" s="180"/>
      <c r="AD600" s="180"/>
      <c r="AE600" s="180"/>
      <c r="AF600" s="180"/>
      <c r="AG600" s="180"/>
      <c r="AH600" s="180"/>
      <c r="AI600" s="180"/>
      <c r="AJ600" s="180"/>
      <c r="AK600" s="180"/>
      <c r="AL600" s="182"/>
      <c r="AM600" s="183"/>
      <c r="AN600" s="180"/>
      <c r="AO600" s="180"/>
      <c r="AP600" s="180"/>
      <c r="AQ600" s="742"/>
    </row>
    <row r="601" spans="1:43" ht="15" x14ac:dyDescent="0.25">
      <c r="A601" s="19"/>
      <c r="B601" s="19"/>
      <c r="C601" s="760"/>
      <c r="D601" s="798"/>
      <c r="E601" s="790"/>
      <c r="F601" s="790"/>
      <c r="G601" s="344">
        <v>43</v>
      </c>
      <c r="H601" s="189" t="s">
        <v>741</v>
      </c>
      <c r="I601" s="189"/>
      <c r="J601" s="189"/>
      <c r="K601" s="189"/>
      <c r="L601" s="189"/>
      <c r="M601" s="189"/>
      <c r="N601" s="189"/>
      <c r="O601" s="189"/>
      <c r="P601" s="189"/>
      <c r="Q601" s="189"/>
      <c r="R601" s="189"/>
      <c r="S601" s="189"/>
      <c r="T601" s="189"/>
      <c r="U601" s="189"/>
      <c r="V601" s="189"/>
      <c r="W601" s="189"/>
      <c r="X601" s="189"/>
      <c r="Y601" s="189"/>
      <c r="Z601" s="189"/>
      <c r="AA601" s="189"/>
      <c r="AB601" s="189"/>
      <c r="AC601" s="189"/>
      <c r="AD601" s="189"/>
      <c r="AE601" s="189"/>
      <c r="AF601" s="189"/>
      <c r="AG601" s="189"/>
      <c r="AH601" s="189"/>
      <c r="AI601" s="189"/>
      <c r="AJ601" s="189"/>
      <c r="AK601" s="189"/>
      <c r="AL601" s="190"/>
      <c r="AM601" s="189"/>
      <c r="AN601" s="189"/>
      <c r="AO601" s="189"/>
      <c r="AP601" s="189"/>
      <c r="AQ601" s="648"/>
    </row>
    <row r="602" spans="1:43" ht="111" customHeight="1" x14ac:dyDescent="0.25">
      <c r="A602" s="19"/>
      <c r="B602" s="19"/>
      <c r="C602" s="761" t="s">
        <v>702</v>
      </c>
      <c r="D602" s="860" t="s">
        <v>742</v>
      </c>
      <c r="E602" s="922">
        <v>0</v>
      </c>
      <c r="F602" s="922">
        <v>1</v>
      </c>
      <c r="G602" s="861"/>
      <c r="H602" s="775">
        <v>151</v>
      </c>
      <c r="I602" s="774" t="s">
        <v>743</v>
      </c>
      <c r="J602" s="775" t="s">
        <v>30</v>
      </c>
      <c r="K602" s="775">
        <v>12</v>
      </c>
      <c r="L602" s="858" t="s">
        <v>669</v>
      </c>
      <c r="M602" s="924" t="s">
        <v>744</v>
      </c>
      <c r="N602" s="849" t="s">
        <v>745</v>
      </c>
      <c r="O602" s="57" t="s">
        <v>38</v>
      </c>
      <c r="P602" s="26">
        <v>0</v>
      </c>
      <c r="Q602" s="26">
        <v>0</v>
      </c>
      <c r="R602" s="26">
        <v>0</v>
      </c>
      <c r="S602" s="26">
        <v>0</v>
      </c>
      <c r="T602" s="26">
        <v>0</v>
      </c>
      <c r="U602" s="26">
        <v>0</v>
      </c>
      <c r="V602" s="26">
        <v>0</v>
      </c>
      <c r="W602" s="108">
        <v>120837740</v>
      </c>
      <c r="X602" s="108"/>
      <c r="Y602" s="108"/>
      <c r="Z602" s="26">
        <v>0</v>
      </c>
      <c r="AA602" s="26"/>
      <c r="AB602" s="254">
        <f>5339423-5339423</f>
        <v>0</v>
      </c>
      <c r="AC602" s="26">
        <v>0</v>
      </c>
      <c r="AD602" s="254"/>
      <c r="AE602" s="254"/>
      <c r="AF602" s="254"/>
      <c r="AG602" s="254"/>
      <c r="AH602" s="254"/>
      <c r="AI602" s="254"/>
      <c r="AJ602" s="26">
        <v>0</v>
      </c>
      <c r="AK602" s="26"/>
      <c r="AL602" s="114">
        <v>100000000</v>
      </c>
      <c r="AM602" s="4"/>
      <c r="AN602" s="26">
        <v>0</v>
      </c>
      <c r="AO602" s="515"/>
      <c r="AP602" s="515"/>
      <c r="AQ602" s="742">
        <f>P602+Q602+R602+S602+T602+U602+V602+W602+X602+Y602+Z602+AA602+AB602+AC602+AD602+AE602+AF602+AG602+AH602+AI602+AJ602+AK602+AL602+AM602+AN602+AP602+AO602</f>
        <v>220837740</v>
      </c>
    </row>
    <row r="603" spans="1:43" ht="71.25" customHeight="1" x14ac:dyDescent="0.25">
      <c r="A603" s="19"/>
      <c r="B603" s="19"/>
      <c r="C603" s="761"/>
      <c r="D603" s="859"/>
      <c r="E603" s="923"/>
      <c r="F603" s="923"/>
      <c r="G603" s="875"/>
      <c r="H603" s="775">
        <v>152</v>
      </c>
      <c r="I603" s="480" t="s">
        <v>746</v>
      </c>
      <c r="J603" s="323" t="s">
        <v>30</v>
      </c>
      <c r="K603" s="775">
        <v>1</v>
      </c>
      <c r="L603" s="860"/>
      <c r="M603" s="925"/>
      <c r="N603" s="857"/>
      <c r="O603" s="57" t="s">
        <v>38</v>
      </c>
      <c r="P603" s="26">
        <v>0</v>
      </c>
      <c r="Q603" s="26">
        <v>0</v>
      </c>
      <c r="R603" s="26">
        <v>0</v>
      </c>
      <c r="S603" s="26">
        <v>0</v>
      </c>
      <c r="T603" s="26">
        <v>0</v>
      </c>
      <c r="U603" s="26">
        <v>0</v>
      </c>
      <c r="V603" s="26">
        <v>0</v>
      </c>
      <c r="W603" s="4">
        <v>89020304</v>
      </c>
      <c r="X603" s="14"/>
      <c r="Y603" s="14"/>
      <c r="Z603" s="26">
        <v>0</v>
      </c>
      <c r="AA603" s="26"/>
      <c r="AB603" s="26">
        <v>0</v>
      </c>
      <c r="AC603" s="26">
        <v>0</v>
      </c>
      <c r="AD603" s="254"/>
      <c r="AE603" s="254"/>
      <c r="AF603" s="254"/>
      <c r="AG603" s="254"/>
      <c r="AH603" s="254"/>
      <c r="AI603" s="254"/>
      <c r="AJ603" s="26">
        <v>0</v>
      </c>
      <c r="AK603" s="26"/>
      <c r="AL603" s="114"/>
      <c r="AM603" s="333"/>
      <c r="AN603" s="26">
        <v>0</v>
      </c>
      <c r="AO603" s="293">
        <v>0</v>
      </c>
      <c r="AP603" s="293"/>
      <c r="AQ603" s="742">
        <f>P603+Q603+R603+S603+T603+U603+V603+W603+X603+Y603+Z603+AA603+AB603+AC603+AD603+AE603+AF603+AG603+AH603+AI603+AJ603+AK603+AL603+AM603+AN603+AP603+AO603</f>
        <v>89020304</v>
      </c>
    </row>
    <row r="604" spans="1:43" ht="99.75" customHeight="1" x14ac:dyDescent="0.25">
      <c r="A604" s="19"/>
      <c r="B604" s="19"/>
      <c r="C604" s="761" t="s">
        <v>702</v>
      </c>
      <c r="D604" s="765" t="s">
        <v>883</v>
      </c>
      <c r="E604" s="783">
        <v>0</v>
      </c>
      <c r="F604" s="783">
        <v>1</v>
      </c>
      <c r="G604" s="766"/>
      <c r="H604" s="775">
        <v>153</v>
      </c>
      <c r="I604" s="774" t="s">
        <v>884</v>
      </c>
      <c r="J604" s="775" t="s">
        <v>30</v>
      </c>
      <c r="K604" s="775">
        <v>150</v>
      </c>
      <c r="L604" s="859"/>
      <c r="M604" s="926"/>
      <c r="N604" s="850"/>
      <c r="O604" s="57" t="s">
        <v>38</v>
      </c>
      <c r="P604" s="26"/>
      <c r="Q604" s="26"/>
      <c r="R604" s="26"/>
      <c r="S604" s="26"/>
      <c r="T604" s="26"/>
      <c r="U604" s="26"/>
      <c r="V604" s="26"/>
      <c r="W604" s="4"/>
      <c r="X604" s="14"/>
      <c r="Y604" s="14"/>
      <c r="Z604" s="26"/>
      <c r="AA604" s="26"/>
      <c r="AB604" s="742">
        <v>1375125452.1300001</v>
      </c>
      <c r="AC604" s="26"/>
      <c r="AD604" s="254"/>
      <c r="AE604" s="254"/>
      <c r="AF604" s="254"/>
      <c r="AG604" s="254"/>
      <c r="AH604" s="254"/>
      <c r="AI604" s="254"/>
      <c r="AJ604" s="26"/>
      <c r="AK604" s="26"/>
      <c r="AL604" s="114"/>
      <c r="AM604" s="333"/>
      <c r="AN604" s="26"/>
      <c r="AO604" s="293"/>
      <c r="AP604" s="293"/>
      <c r="AQ604" s="742">
        <f>P604+Q604+R604+S604+T604+U604+V604+W604+X604+Y604+Z604+AA604+AB604+AC604+AD604+AE604+AF604+AG604+AH604+AI604+AJ604+AK604+AL604+AM604+AN604+AP604+AO604</f>
        <v>1375125452.1300001</v>
      </c>
    </row>
    <row r="605" spans="1:43" ht="19.5" customHeight="1" x14ac:dyDescent="0.25">
      <c r="A605" s="19"/>
      <c r="B605" s="20"/>
      <c r="C605" s="773"/>
      <c r="D605" s="153"/>
      <c r="E605" s="579"/>
      <c r="F605" s="579"/>
      <c r="G605" s="154"/>
      <c r="H605" s="155"/>
      <c r="I605" s="154"/>
      <c r="J605" s="155"/>
      <c r="K605" s="316"/>
      <c r="L605" s="316"/>
      <c r="M605" s="157"/>
      <c r="N605" s="154"/>
      <c r="O605" s="155"/>
      <c r="P605" s="158">
        <f t="shared" ref="P605:AK605" si="280">SUM(P602:P604)</f>
        <v>0</v>
      </c>
      <c r="Q605" s="158">
        <f t="shared" si="280"/>
        <v>0</v>
      </c>
      <c r="R605" s="158">
        <f t="shared" si="280"/>
        <v>0</v>
      </c>
      <c r="S605" s="158">
        <f t="shared" si="280"/>
        <v>0</v>
      </c>
      <c r="T605" s="158">
        <f t="shared" si="280"/>
        <v>0</v>
      </c>
      <c r="U605" s="158">
        <f t="shared" si="280"/>
        <v>0</v>
      </c>
      <c r="V605" s="158">
        <f t="shared" si="280"/>
        <v>0</v>
      </c>
      <c r="W605" s="158">
        <f t="shared" si="280"/>
        <v>209858044</v>
      </c>
      <c r="X605" s="158">
        <f t="shared" si="280"/>
        <v>0</v>
      </c>
      <c r="Y605" s="158">
        <f t="shared" si="280"/>
        <v>0</v>
      </c>
      <c r="Z605" s="158">
        <f t="shared" si="280"/>
        <v>0</v>
      </c>
      <c r="AA605" s="158">
        <f t="shared" si="280"/>
        <v>0</v>
      </c>
      <c r="AB605" s="158">
        <f t="shared" si="280"/>
        <v>1375125452.1300001</v>
      </c>
      <c r="AC605" s="158">
        <f t="shared" si="280"/>
        <v>0</v>
      </c>
      <c r="AD605" s="158">
        <f t="shared" si="280"/>
        <v>0</v>
      </c>
      <c r="AE605" s="158">
        <f t="shared" si="280"/>
        <v>0</v>
      </c>
      <c r="AF605" s="158">
        <f t="shared" si="280"/>
        <v>0</v>
      </c>
      <c r="AG605" s="158">
        <f t="shared" si="280"/>
        <v>0</v>
      </c>
      <c r="AH605" s="158">
        <f t="shared" si="280"/>
        <v>0</v>
      </c>
      <c r="AI605" s="158">
        <f t="shared" si="280"/>
        <v>0</v>
      </c>
      <c r="AJ605" s="158">
        <f t="shared" si="280"/>
        <v>0</v>
      </c>
      <c r="AK605" s="158">
        <f t="shared" si="280"/>
        <v>0</v>
      </c>
      <c r="AL605" s="158">
        <f t="shared" ref="AL605:AP605" si="281">SUM(AL602:AL604)</f>
        <v>100000000</v>
      </c>
      <c r="AM605" s="158">
        <f t="shared" si="281"/>
        <v>0</v>
      </c>
      <c r="AN605" s="158">
        <f t="shared" si="281"/>
        <v>0</v>
      </c>
      <c r="AO605" s="158">
        <f t="shared" si="281"/>
        <v>0</v>
      </c>
      <c r="AP605" s="158">
        <f t="shared" si="281"/>
        <v>0</v>
      </c>
      <c r="AQ605" s="396">
        <f>SUM(AQ602:AQ604)</f>
        <v>1684983496.1300001</v>
      </c>
    </row>
    <row r="606" spans="1:43" ht="22.5" customHeight="1" x14ac:dyDescent="0.25">
      <c r="A606" s="19"/>
      <c r="B606" s="20"/>
      <c r="C606" s="795"/>
      <c r="D606" s="177"/>
      <c r="E606" s="795"/>
      <c r="F606" s="795"/>
      <c r="G606" s="177"/>
      <c r="H606" s="795"/>
      <c r="I606" s="177"/>
      <c r="J606" s="795"/>
      <c r="K606" s="795"/>
      <c r="L606" s="776"/>
      <c r="M606" s="234"/>
      <c r="N606" s="223"/>
      <c r="O606" s="795"/>
      <c r="P606" s="180"/>
      <c r="Q606" s="180"/>
      <c r="R606" s="180"/>
      <c r="S606" s="180"/>
      <c r="T606" s="180"/>
      <c r="U606" s="180"/>
      <c r="V606" s="180"/>
      <c r="W606" s="180"/>
      <c r="X606" s="180"/>
      <c r="Y606" s="180"/>
      <c r="Z606" s="180"/>
      <c r="AA606" s="180"/>
      <c r="AB606" s="180"/>
      <c r="AC606" s="180"/>
      <c r="AD606" s="180"/>
      <c r="AE606" s="180"/>
      <c r="AF606" s="180"/>
      <c r="AG606" s="180"/>
      <c r="AH606" s="180"/>
      <c r="AI606" s="180"/>
      <c r="AJ606" s="180"/>
      <c r="AK606" s="180"/>
      <c r="AL606" s="182"/>
      <c r="AM606" s="183"/>
      <c r="AN606" s="180"/>
      <c r="AO606" s="180"/>
      <c r="AP606" s="180"/>
      <c r="AQ606" s="742"/>
    </row>
    <row r="607" spans="1:43" ht="15" x14ac:dyDescent="0.25">
      <c r="A607" s="19"/>
      <c r="B607" s="20"/>
      <c r="C607" s="776"/>
      <c r="D607" s="798"/>
      <c r="E607" s="790"/>
      <c r="F607" s="790"/>
      <c r="G607" s="407">
        <v>44</v>
      </c>
      <c r="H607" s="189" t="s">
        <v>747</v>
      </c>
      <c r="I607" s="189"/>
      <c r="J607" s="189"/>
      <c r="K607" s="189"/>
      <c r="L607" s="189"/>
      <c r="M607" s="189"/>
      <c r="N607" s="189"/>
      <c r="O607" s="189"/>
      <c r="P607" s="189"/>
      <c r="Q607" s="189"/>
      <c r="R607" s="189"/>
      <c r="S607" s="189"/>
      <c r="T607" s="189"/>
      <c r="U607" s="189"/>
      <c r="V607" s="189"/>
      <c r="W607" s="189"/>
      <c r="X607" s="189"/>
      <c r="Y607" s="189"/>
      <c r="Z607" s="189"/>
      <c r="AA607" s="189"/>
      <c r="AB607" s="189"/>
      <c r="AC607" s="189"/>
      <c r="AD607" s="189"/>
      <c r="AE607" s="189"/>
      <c r="AF607" s="189"/>
      <c r="AG607" s="189"/>
      <c r="AH607" s="189"/>
      <c r="AI607" s="189"/>
      <c r="AJ607" s="189"/>
      <c r="AK607" s="189"/>
      <c r="AL607" s="190"/>
      <c r="AM607" s="189"/>
      <c r="AN607" s="189"/>
      <c r="AO607" s="189"/>
      <c r="AP607" s="189"/>
      <c r="AQ607" s="648"/>
    </row>
    <row r="608" spans="1:43" s="28" customFormat="1" ht="94.5" customHeight="1" x14ac:dyDescent="0.25">
      <c r="A608" s="19"/>
      <c r="B608" s="19"/>
      <c r="C608" s="775">
        <v>37</v>
      </c>
      <c r="D608" s="774" t="s">
        <v>633</v>
      </c>
      <c r="E608" s="775" t="s">
        <v>634</v>
      </c>
      <c r="F608" s="80">
        <v>0.6</v>
      </c>
      <c r="G608" s="87"/>
      <c r="H608" s="775">
        <v>154</v>
      </c>
      <c r="I608" s="774" t="s">
        <v>748</v>
      </c>
      <c r="J608" s="775" t="s">
        <v>30</v>
      </c>
      <c r="K608" s="31">
        <v>5</v>
      </c>
      <c r="L608" s="851" t="s">
        <v>669</v>
      </c>
      <c r="M608" s="854" t="s">
        <v>749</v>
      </c>
      <c r="N608" s="849" t="s">
        <v>750</v>
      </c>
      <c r="O608" s="775" t="s">
        <v>38</v>
      </c>
      <c r="P608" s="26">
        <v>0</v>
      </c>
      <c r="Q608" s="26">
        <v>0</v>
      </c>
      <c r="R608" s="26">
        <v>0</v>
      </c>
      <c r="S608" s="26">
        <v>0</v>
      </c>
      <c r="T608" s="26">
        <v>0</v>
      </c>
      <c r="U608" s="26">
        <v>0</v>
      </c>
      <c r="V608" s="26">
        <v>0</v>
      </c>
      <c r="W608" s="14">
        <v>59500000</v>
      </c>
      <c r="X608" s="14"/>
      <c r="Y608" s="14"/>
      <c r="Z608" s="26">
        <v>0</v>
      </c>
      <c r="AA608" s="26"/>
      <c r="AB608" s="26">
        <v>0</v>
      </c>
      <c r="AC608" s="26">
        <v>0</v>
      </c>
      <c r="AD608" s="26"/>
      <c r="AE608" s="26"/>
      <c r="AF608" s="26"/>
      <c r="AG608" s="26"/>
      <c r="AH608" s="26"/>
      <c r="AI608" s="26"/>
      <c r="AJ608" s="26">
        <v>0</v>
      </c>
      <c r="AK608" s="26">
        <v>0</v>
      </c>
      <c r="AL608" s="110">
        <v>100000000</v>
      </c>
      <c r="AM608" s="38"/>
      <c r="AN608" s="26">
        <v>0</v>
      </c>
      <c r="AO608" s="27">
        <v>0</v>
      </c>
      <c r="AP608" s="27"/>
      <c r="AQ608" s="742">
        <f>P608+Q608+R608+S608+T608+U608+V608+W608+X608+Y608+Z608+AA608+AB608+AC608+AD608+AE608+AF608+AG608+AH608+AI608+AJ608+AK608+AL608+AM608+AN608+AP608+AO608</f>
        <v>159500000</v>
      </c>
    </row>
    <row r="609" spans="1:43" ht="87" customHeight="1" x14ac:dyDescent="0.25">
      <c r="A609" s="19"/>
      <c r="B609" s="19"/>
      <c r="C609" s="787">
        <v>13</v>
      </c>
      <c r="D609" s="804" t="s">
        <v>903</v>
      </c>
      <c r="E609" s="580">
        <v>71.040000000000006</v>
      </c>
      <c r="F609" s="476">
        <v>0.88170000000000004</v>
      </c>
      <c r="G609" s="87"/>
      <c r="H609" s="775">
        <v>155</v>
      </c>
      <c r="I609" s="774" t="s">
        <v>751</v>
      </c>
      <c r="J609" s="775">
        <v>0</v>
      </c>
      <c r="K609" s="31">
        <v>1</v>
      </c>
      <c r="L609" s="852"/>
      <c r="M609" s="855"/>
      <c r="N609" s="857"/>
      <c r="O609" s="57" t="s">
        <v>38</v>
      </c>
      <c r="P609" s="26">
        <v>0</v>
      </c>
      <c r="Q609" s="26">
        <v>0</v>
      </c>
      <c r="R609" s="26">
        <v>0</v>
      </c>
      <c r="S609" s="26">
        <v>0</v>
      </c>
      <c r="T609" s="26">
        <v>0</v>
      </c>
      <c r="U609" s="26">
        <v>0</v>
      </c>
      <c r="V609" s="26">
        <v>0</v>
      </c>
      <c r="W609" s="4">
        <v>34000000</v>
      </c>
      <c r="X609" s="14"/>
      <c r="Y609" s="14"/>
      <c r="Z609" s="26">
        <v>0</v>
      </c>
      <c r="AA609" s="26"/>
      <c r="AB609" s="26">
        <v>0</v>
      </c>
      <c r="AC609" s="26">
        <v>0</v>
      </c>
      <c r="AD609" s="254"/>
      <c r="AE609" s="254"/>
      <c r="AF609" s="254"/>
      <c r="AG609" s="254"/>
      <c r="AH609" s="254"/>
      <c r="AI609" s="254"/>
      <c r="AJ609" s="26">
        <v>0</v>
      </c>
      <c r="AK609" s="26">
        <v>0</v>
      </c>
      <c r="AL609" s="110">
        <v>0</v>
      </c>
      <c r="AM609" s="38"/>
      <c r="AN609" s="26">
        <v>0</v>
      </c>
      <c r="AO609" s="293">
        <v>0</v>
      </c>
      <c r="AP609" s="293"/>
      <c r="AQ609" s="742">
        <f>P609+Q609+R609+S609+T609+U609+V609+W609+X609+Y609+Z609+AA609+AB609+AC609+AD609+AE609+AF609+AG609+AH609+AI609+AJ609+AK609+AL609+AM609+AN609+AP609+AO609</f>
        <v>34000000</v>
      </c>
    </row>
    <row r="610" spans="1:43" ht="207.75" customHeight="1" x14ac:dyDescent="0.25">
      <c r="A610" s="19"/>
      <c r="B610" s="19"/>
      <c r="C610" s="787" t="s">
        <v>752</v>
      </c>
      <c r="D610" s="786" t="s">
        <v>753</v>
      </c>
      <c r="E610" s="787" t="s">
        <v>754</v>
      </c>
      <c r="F610" s="787" t="s">
        <v>755</v>
      </c>
      <c r="G610" s="101"/>
      <c r="H610" s="775">
        <v>156</v>
      </c>
      <c r="I610" s="774" t="s">
        <v>756</v>
      </c>
      <c r="J610" s="775">
        <v>12</v>
      </c>
      <c r="K610" s="31">
        <v>12</v>
      </c>
      <c r="L610" s="852"/>
      <c r="M610" s="855"/>
      <c r="N610" s="857"/>
      <c r="O610" s="57" t="s">
        <v>38</v>
      </c>
      <c r="P610" s="26">
        <v>0</v>
      </c>
      <c r="Q610" s="26">
        <v>0</v>
      </c>
      <c r="R610" s="26">
        <v>0</v>
      </c>
      <c r="S610" s="26">
        <v>0</v>
      </c>
      <c r="T610" s="26">
        <v>0</v>
      </c>
      <c r="U610" s="26">
        <v>0</v>
      </c>
      <c r="V610" s="26">
        <v>0</v>
      </c>
      <c r="W610" s="26">
        <v>122208333.33</v>
      </c>
      <c r="X610" s="26"/>
      <c r="Y610" s="26"/>
      <c r="Z610" s="26">
        <v>0</v>
      </c>
      <c r="AA610" s="26"/>
      <c r="AB610" s="26">
        <v>0</v>
      </c>
      <c r="AC610" s="26">
        <v>0</v>
      </c>
      <c r="AD610" s="254"/>
      <c r="AE610" s="254"/>
      <c r="AF610" s="254"/>
      <c r="AG610" s="254"/>
      <c r="AH610" s="254"/>
      <c r="AI610" s="254"/>
      <c r="AJ610" s="26">
        <v>0</v>
      </c>
      <c r="AK610" s="26">
        <v>0</v>
      </c>
      <c r="AL610" s="110">
        <v>19440000</v>
      </c>
      <c r="AM610" s="38"/>
      <c r="AN610" s="26">
        <v>0</v>
      </c>
      <c r="AO610" s="293">
        <v>0</v>
      </c>
      <c r="AP610" s="293"/>
      <c r="AQ610" s="742">
        <f>P610+Q610+R610+S610+T610+U610+V610+W610+X610+Y610+Z610+AA610+AB610+AC610+AD610+AE610+AF610+AG610+AH610+AI610+AJ610+AK610+AL610+AM610+AN610+AP610+AO610</f>
        <v>141648333.32999998</v>
      </c>
    </row>
    <row r="611" spans="1:43" ht="54.75" customHeight="1" x14ac:dyDescent="0.25">
      <c r="A611" s="19"/>
      <c r="B611" s="19"/>
      <c r="C611" s="5">
        <v>34</v>
      </c>
      <c r="D611" s="475" t="s">
        <v>904</v>
      </c>
      <c r="E611" s="580" t="s">
        <v>30</v>
      </c>
      <c r="F611" s="516">
        <v>0.4</v>
      </c>
      <c r="G611" s="101"/>
      <c r="H611" s="775">
        <v>157</v>
      </c>
      <c r="I611" s="774" t="s">
        <v>757</v>
      </c>
      <c r="J611" s="775">
        <v>12</v>
      </c>
      <c r="K611" s="31">
        <v>12</v>
      </c>
      <c r="L611" s="853"/>
      <c r="M611" s="856"/>
      <c r="N611" s="850"/>
      <c r="O611" s="57" t="s">
        <v>38</v>
      </c>
      <c r="P611" s="26">
        <v>0</v>
      </c>
      <c r="Q611" s="26">
        <v>0</v>
      </c>
      <c r="R611" s="26">
        <v>0</v>
      </c>
      <c r="S611" s="26">
        <v>0</v>
      </c>
      <c r="T611" s="26">
        <v>0</v>
      </c>
      <c r="U611" s="26">
        <v>0</v>
      </c>
      <c r="V611" s="26">
        <v>0</v>
      </c>
      <c r="W611" s="26">
        <v>58599270.670000002</v>
      </c>
      <c r="X611" s="14"/>
      <c r="Y611" s="14"/>
      <c r="Z611" s="26">
        <v>0</v>
      </c>
      <c r="AA611" s="26"/>
      <c r="AB611" s="26">
        <v>0</v>
      </c>
      <c r="AC611" s="26">
        <v>0</v>
      </c>
      <c r="AD611" s="254"/>
      <c r="AE611" s="254"/>
      <c r="AF611" s="254"/>
      <c r="AG611" s="254"/>
      <c r="AH611" s="254"/>
      <c r="AI611" s="254"/>
      <c r="AJ611" s="26">
        <v>0</v>
      </c>
      <c r="AK611" s="26">
        <v>0</v>
      </c>
      <c r="AL611" s="110">
        <v>10560000</v>
      </c>
      <c r="AM611" s="38"/>
      <c r="AN611" s="26">
        <v>0</v>
      </c>
      <c r="AO611" s="293">
        <v>0</v>
      </c>
      <c r="AP611" s="293"/>
      <c r="AQ611" s="742">
        <f>P611+Q611+R611+S611+T611+U611+V611+W611+X611+Y611+Z611+AA611+AB611+AC611+AD611+AE611+AF611+AG611+AH611+AI611+AJ611+AK611+AL611+AM611+AN611+AP611+AO611</f>
        <v>69159270.670000002</v>
      </c>
    </row>
    <row r="612" spans="1:43" ht="15" x14ac:dyDescent="0.25">
      <c r="A612" s="19"/>
      <c r="B612" s="20"/>
      <c r="C612" s="767"/>
      <c r="D612" s="799"/>
      <c r="E612" s="791"/>
      <c r="F612" s="791"/>
      <c r="G612" s="154"/>
      <c r="H612" s="155"/>
      <c r="I612" s="154"/>
      <c r="J612" s="155"/>
      <c r="K612" s="316"/>
      <c r="L612" s="316"/>
      <c r="M612" s="157"/>
      <c r="N612" s="154"/>
      <c r="O612" s="155"/>
      <c r="P612" s="158">
        <f t="shared" ref="P612:AK612" si="282">SUM(P608:P611)</f>
        <v>0</v>
      </c>
      <c r="Q612" s="158">
        <f t="shared" si="282"/>
        <v>0</v>
      </c>
      <c r="R612" s="158">
        <f t="shared" si="282"/>
        <v>0</v>
      </c>
      <c r="S612" s="158">
        <f t="shared" si="282"/>
        <v>0</v>
      </c>
      <c r="T612" s="158">
        <f t="shared" si="282"/>
        <v>0</v>
      </c>
      <c r="U612" s="158">
        <f t="shared" si="282"/>
        <v>0</v>
      </c>
      <c r="V612" s="158">
        <f t="shared" si="282"/>
        <v>0</v>
      </c>
      <c r="W612" s="396">
        <f t="shared" si="282"/>
        <v>274307604</v>
      </c>
      <c r="X612" s="158">
        <f t="shared" si="282"/>
        <v>0</v>
      </c>
      <c r="Y612" s="158">
        <f t="shared" si="282"/>
        <v>0</v>
      </c>
      <c r="Z612" s="158">
        <f t="shared" si="282"/>
        <v>0</v>
      </c>
      <c r="AA612" s="158">
        <f t="shared" si="282"/>
        <v>0</v>
      </c>
      <c r="AB612" s="158">
        <f t="shared" si="282"/>
        <v>0</v>
      </c>
      <c r="AC612" s="158">
        <f t="shared" si="282"/>
        <v>0</v>
      </c>
      <c r="AD612" s="158">
        <f t="shared" si="282"/>
        <v>0</v>
      </c>
      <c r="AE612" s="158">
        <f t="shared" si="282"/>
        <v>0</v>
      </c>
      <c r="AF612" s="158">
        <f t="shared" si="282"/>
        <v>0</v>
      </c>
      <c r="AG612" s="158">
        <f t="shared" si="282"/>
        <v>0</v>
      </c>
      <c r="AH612" s="158">
        <f t="shared" si="282"/>
        <v>0</v>
      </c>
      <c r="AI612" s="158">
        <f t="shared" si="282"/>
        <v>0</v>
      </c>
      <c r="AJ612" s="158">
        <f t="shared" si="282"/>
        <v>0</v>
      </c>
      <c r="AK612" s="158">
        <f t="shared" si="282"/>
        <v>0</v>
      </c>
      <c r="AL612" s="158">
        <f t="shared" ref="AL612:AP612" si="283">SUM(AL608:AL611)</f>
        <v>130000000</v>
      </c>
      <c r="AM612" s="158">
        <f t="shared" si="283"/>
        <v>0</v>
      </c>
      <c r="AN612" s="158">
        <f t="shared" si="283"/>
        <v>0</v>
      </c>
      <c r="AO612" s="158">
        <f t="shared" si="283"/>
        <v>0</v>
      </c>
      <c r="AP612" s="158">
        <f t="shared" si="283"/>
        <v>0</v>
      </c>
      <c r="AQ612" s="396">
        <f>SUM(AQ608:AQ611)</f>
        <v>404307604</v>
      </c>
    </row>
    <row r="613" spans="1:43" ht="15" x14ac:dyDescent="0.25">
      <c r="A613" s="19"/>
      <c r="B613" s="20"/>
      <c r="C613" s="795"/>
      <c r="D613" s="177"/>
      <c r="E613" s="795"/>
      <c r="F613" s="795"/>
      <c r="G613" s="177"/>
      <c r="H613" s="795"/>
      <c r="I613" s="177"/>
      <c r="J613" s="795"/>
      <c r="K613" s="795"/>
      <c r="L613" s="776"/>
      <c r="M613" s="234"/>
      <c r="N613" s="223"/>
      <c r="O613" s="795"/>
      <c r="P613" s="180"/>
      <c r="Q613" s="180"/>
      <c r="R613" s="180"/>
      <c r="S613" s="180"/>
      <c r="T613" s="180"/>
      <c r="U613" s="180"/>
      <c r="V613" s="180"/>
      <c r="W613" s="180"/>
      <c r="X613" s="180"/>
      <c r="Y613" s="180"/>
      <c r="Z613" s="180"/>
      <c r="AA613" s="180"/>
      <c r="AB613" s="180"/>
      <c r="AC613" s="180"/>
      <c r="AD613" s="180"/>
      <c r="AE613" s="180"/>
      <c r="AF613" s="180"/>
      <c r="AG613" s="180"/>
      <c r="AH613" s="180"/>
      <c r="AI613" s="180"/>
      <c r="AJ613" s="180"/>
      <c r="AK613" s="180"/>
      <c r="AL613" s="182"/>
      <c r="AM613" s="183"/>
      <c r="AN613" s="180"/>
      <c r="AO613" s="180"/>
      <c r="AP613" s="180"/>
      <c r="AQ613" s="742"/>
    </row>
    <row r="614" spans="1:43" ht="15" x14ac:dyDescent="0.25">
      <c r="A614" s="19"/>
      <c r="B614" s="20"/>
      <c r="C614" s="795"/>
      <c r="D614" s="153"/>
      <c r="E614" s="579"/>
      <c r="F614" s="579"/>
      <c r="G614" s="344">
        <v>45</v>
      </c>
      <c r="H614" s="189" t="s">
        <v>758</v>
      </c>
      <c r="I614" s="189"/>
      <c r="J614" s="189"/>
      <c r="K614" s="189"/>
      <c r="L614" s="189"/>
      <c r="M614" s="189"/>
      <c r="N614" s="189"/>
      <c r="O614" s="189"/>
      <c r="P614" s="189"/>
      <c r="Q614" s="189"/>
      <c r="R614" s="189"/>
      <c r="S614" s="189"/>
      <c r="T614" s="189"/>
      <c r="U614" s="189"/>
      <c r="V614" s="189"/>
      <c r="W614" s="189"/>
      <c r="X614" s="189"/>
      <c r="Y614" s="189"/>
      <c r="Z614" s="189"/>
      <c r="AA614" s="189"/>
      <c r="AB614" s="189"/>
      <c r="AC614" s="189"/>
      <c r="AD614" s="189"/>
      <c r="AE614" s="189"/>
      <c r="AF614" s="189"/>
      <c r="AG614" s="189"/>
      <c r="AH614" s="189"/>
      <c r="AI614" s="189"/>
      <c r="AJ614" s="189"/>
      <c r="AK614" s="189"/>
      <c r="AL614" s="190"/>
      <c r="AM614" s="189"/>
      <c r="AN614" s="189"/>
      <c r="AO614" s="189"/>
      <c r="AP614" s="189"/>
      <c r="AQ614" s="648"/>
    </row>
    <row r="615" spans="1:43" ht="88.5" customHeight="1" x14ac:dyDescent="0.25">
      <c r="A615" s="19"/>
      <c r="B615" s="20"/>
      <c r="C615" s="920" t="s">
        <v>759</v>
      </c>
      <c r="D615" s="849" t="s">
        <v>760</v>
      </c>
      <c r="E615" s="858" t="s">
        <v>761</v>
      </c>
      <c r="F615" s="858" t="s">
        <v>762</v>
      </c>
      <c r="G615" s="851"/>
      <c r="H615" s="31">
        <v>158</v>
      </c>
      <c r="I615" s="774" t="s">
        <v>763</v>
      </c>
      <c r="J615" s="31" t="s">
        <v>30</v>
      </c>
      <c r="K615" s="775">
        <v>11</v>
      </c>
      <c r="L615" s="858" t="s">
        <v>669</v>
      </c>
      <c r="M615" s="854" t="s">
        <v>764</v>
      </c>
      <c r="N615" s="849" t="s">
        <v>765</v>
      </c>
      <c r="O615" s="775" t="s">
        <v>38</v>
      </c>
      <c r="P615" s="26">
        <v>0</v>
      </c>
      <c r="Q615" s="26">
        <v>0</v>
      </c>
      <c r="R615" s="26">
        <v>0</v>
      </c>
      <c r="S615" s="26">
        <v>0</v>
      </c>
      <c r="T615" s="26">
        <v>0</v>
      </c>
      <c r="U615" s="26">
        <v>0</v>
      </c>
      <c r="V615" s="26">
        <v>0</v>
      </c>
      <c r="W615" s="26">
        <f>1396230607+100000000+4000000</f>
        <v>1500230607</v>
      </c>
      <c r="X615" s="14"/>
      <c r="Y615" s="14"/>
      <c r="Z615" s="324">
        <v>0</v>
      </c>
      <c r="AA615" s="324"/>
      <c r="AB615" s="324">
        <v>0</v>
      </c>
      <c r="AC615" s="324">
        <v>0</v>
      </c>
      <c r="AD615" s="254"/>
      <c r="AE615" s="254"/>
      <c r="AF615" s="254"/>
      <c r="AG615" s="254"/>
      <c r="AH615" s="254"/>
      <c r="AI615" s="254"/>
      <c r="AJ615" s="324">
        <v>0</v>
      </c>
      <c r="AK615" s="324">
        <v>0</v>
      </c>
      <c r="AL615" s="496">
        <v>0</v>
      </c>
      <c r="AM615" s="497"/>
      <c r="AN615" s="324">
        <v>0</v>
      </c>
      <c r="AO615" s="293">
        <v>0</v>
      </c>
      <c r="AP615" s="293"/>
      <c r="AQ615" s="742">
        <f>P615+Q615+R615+S615+T615+U615+V615+W615+X615+Y615+Z615+AA615+AB615+AC615+AD615+AE615+AF615+AG615+AH615+AI615+AJ615+AK615+AL615+AM615+AN615+AP615+AO615</f>
        <v>1500230607</v>
      </c>
    </row>
    <row r="616" spans="1:43" ht="157.5" customHeight="1" x14ac:dyDescent="0.25">
      <c r="A616" s="19"/>
      <c r="B616" s="20"/>
      <c r="C616" s="921"/>
      <c r="D616" s="850"/>
      <c r="E616" s="859"/>
      <c r="F616" s="859"/>
      <c r="G616" s="853"/>
      <c r="H616" s="31">
        <v>159</v>
      </c>
      <c r="I616" s="774" t="s">
        <v>766</v>
      </c>
      <c r="J616" s="31" t="s">
        <v>30</v>
      </c>
      <c r="K616" s="775">
        <v>8</v>
      </c>
      <c r="L616" s="859"/>
      <c r="M616" s="856"/>
      <c r="N616" s="850"/>
      <c r="O616" s="775" t="s">
        <v>38</v>
      </c>
      <c r="P616" s="26">
        <v>0</v>
      </c>
      <c r="Q616" s="26">
        <v>0</v>
      </c>
      <c r="R616" s="26">
        <v>0</v>
      </c>
      <c r="S616" s="26">
        <v>0</v>
      </c>
      <c r="T616" s="26">
        <v>0</v>
      </c>
      <c r="U616" s="26">
        <v>0</v>
      </c>
      <c r="V616" s="26">
        <v>0</v>
      </c>
      <c r="W616" s="254">
        <v>0</v>
      </c>
      <c r="X616" s="26"/>
      <c r="Y616" s="26"/>
      <c r="Z616" s="324">
        <v>0</v>
      </c>
      <c r="AA616" s="324"/>
      <c r="AB616" s="324">
        <v>0</v>
      </c>
      <c r="AC616" s="324">
        <v>0</v>
      </c>
      <c r="AD616" s="254"/>
      <c r="AE616" s="254"/>
      <c r="AF616" s="254"/>
      <c r="AG616" s="254"/>
      <c r="AH616" s="254"/>
      <c r="AI616" s="254"/>
      <c r="AJ616" s="324">
        <v>0</v>
      </c>
      <c r="AK616" s="324">
        <v>0</v>
      </c>
      <c r="AL616" s="496">
        <v>0</v>
      </c>
      <c r="AM616" s="497"/>
      <c r="AN616" s="324">
        <v>0</v>
      </c>
      <c r="AO616" s="293">
        <v>0</v>
      </c>
      <c r="AP616" s="293"/>
      <c r="AQ616" s="742">
        <f>P616+Q616+R616+S616+T616+U616+V616+W616+X616+Y616+Z616+AA616+AB616+AC616+AD616+AE616+AF616+AG616+AH616+AI616+AJ616+AK616+AL616+AM616+AN616+AP616+AO616</f>
        <v>0</v>
      </c>
    </row>
    <row r="617" spans="1:43" ht="15" x14ac:dyDescent="0.25">
      <c r="A617" s="19"/>
      <c r="B617" s="20"/>
      <c r="C617" s="773"/>
      <c r="D617" s="153"/>
      <c r="E617" s="579"/>
      <c r="F617" s="579"/>
      <c r="G617" s="303"/>
      <c r="H617" s="316"/>
      <c r="I617" s="154"/>
      <c r="J617" s="316"/>
      <c r="K617" s="155"/>
      <c r="L617" s="155"/>
      <c r="M617" s="157"/>
      <c r="N617" s="154"/>
      <c r="O617" s="155"/>
      <c r="P617" s="158">
        <f t="shared" ref="P617:AK617" si="284">SUM(P615:P616)</f>
        <v>0</v>
      </c>
      <c r="Q617" s="158">
        <f t="shared" si="284"/>
        <v>0</v>
      </c>
      <c r="R617" s="158">
        <f t="shared" si="284"/>
        <v>0</v>
      </c>
      <c r="S617" s="158">
        <f t="shared" si="284"/>
        <v>0</v>
      </c>
      <c r="T617" s="158">
        <f t="shared" si="284"/>
        <v>0</v>
      </c>
      <c r="U617" s="158">
        <f t="shared" si="284"/>
        <v>0</v>
      </c>
      <c r="V617" s="158">
        <f t="shared" si="284"/>
        <v>0</v>
      </c>
      <c r="W617" s="158">
        <f t="shared" si="284"/>
        <v>1500230607</v>
      </c>
      <c r="X617" s="158">
        <f t="shared" si="284"/>
        <v>0</v>
      </c>
      <c r="Y617" s="158">
        <f t="shared" si="284"/>
        <v>0</v>
      </c>
      <c r="Z617" s="158">
        <f t="shared" si="284"/>
        <v>0</v>
      </c>
      <c r="AA617" s="158">
        <f t="shared" si="284"/>
        <v>0</v>
      </c>
      <c r="AB617" s="158">
        <f t="shared" si="284"/>
        <v>0</v>
      </c>
      <c r="AC617" s="158">
        <f t="shared" si="284"/>
        <v>0</v>
      </c>
      <c r="AD617" s="158">
        <f t="shared" si="284"/>
        <v>0</v>
      </c>
      <c r="AE617" s="158">
        <f t="shared" si="284"/>
        <v>0</v>
      </c>
      <c r="AF617" s="158">
        <f t="shared" si="284"/>
        <v>0</v>
      </c>
      <c r="AG617" s="158">
        <f t="shared" si="284"/>
        <v>0</v>
      </c>
      <c r="AH617" s="158">
        <f t="shared" si="284"/>
        <v>0</v>
      </c>
      <c r="AI617" s="158">
        <f t="shared" si="284"/>
        <v>0</v>
      </c>
      <c r="AJ617" s="158">
        <f t="shared" si="284"/>
        <v>0</v>
      </c>
      <c r="AK617" s="158">
        <f t="shared" si="284"/>
        <v>0</v>
      </c>
      <c r="AL617" s="158">
        <f t="shared" ref="AL617:AP617" si="285">SUM(AL615:AL616)</f>
        <v>0</v>
      </c>
      <c r="AM617" s="158">
        <f t="shared" si="285"/>
        <v>0</v>
      </c>
      <c r="AN617" s="158">
        <f t="shared" si="285"/>
        <v>0</v>
      </c>
      <c r="AO617" s="158">
        <f t="shared" si="285"/>
        <v>0</v>
      </c>
      <c r="AP617" s="158">
        <f t="shared" si="285"/>
        <v>0</v>
      </c>
      <c r="AQ617" s="396">
        <f>SUM(AQ615:AQ616)</f>
        <v>1500230607</v>
      </c>
    </row>
    <row r="618" spans="1:43" ht="15" x14ac:dyDescent="0.25">
      <c r="A618" s="19"/>
      <c r="B618" s="20"/>
      <c r="C618" s="795"/>
      <c r="D618" s="177"/>
      <c r="E618" s="795"/>
      <c r="F618" s="795"/>
      <c r="G618" s="177"/>
      <c r="H618" s="795"/>
      <c r="I618" s="177"/>
      <c r="J618" s="795"/>
      <c r="K618" s="795"/>
      <c r="L618" s="776"/>
      <c r="M618" s="234"/>
      <c r="N618" s="223"/>
      <c r="O618" s="795"/>
      <c r="P618" s="180"/>
      <c r="Q618" s="180"/>
      <c r="R618" s="180"/>
      <c r="S618" s="180"/>
      <c r="T618" s="180"/>
      <c r="U618" s="180"/>
      <c r="V618" s="180"/>
      <c r="W618" s="180"/>
      <c r="X618" s="180"/>
      <c r="Y618" s="180"/>
      <c r="Z618" s="180"/>
      <c r="AA618" s="180"/>
      <c r="AB618" s="180"/>
      <c r="AC618" s="180"/>
      <c r="AD618" s="180"/>
      <c r="AE618" s="180"/>
      <c r="AF618" s="180"/>
      <c r="AG618" s="180"/>
      <c r="AH618" s="180"/>
      <c r="AI618" s="180"/>
      <c r="AJ618" s="180"/>
      <c r="AK618" s="180"/>
      <c r="AL618" s="182"/>
      <c r="AM618" s="183"/>
      <c r="AN618" s="180"/>
      <c r="AO618" s="180"/>
      <c r="AP618" s="180"/>
      <c r="AQ618" s="742"/>
    </row>
    <row r="619" spans="1:43" ht="15" x14ac:dyDescent="0.25">
      <c r="A619" s="19"/>
      <c r="B619" s="20"/>
      <c r="C619" s="795"/>
      <c r="D619" s="153"/>
      <c r="E619" s="579"/>
      <c r="F619" s="579"/>
      <c r="G619" s="344">
        <v>46</v>
      </c>
      <c r="H619" s="189" t="s">
        <v>767</v>
      </c>
      <c r="I619" s="189"/>
      <c r="J619" s="189"/>
      <c r="K619" s="189"/>
      <c r="L619" s="189"/>
      <c r="M619" s="189"/>
      <c r="N619" s="189"/>
      <c r="O619" s="189"/>
      <c r="P619" s="189"/>
      <c r="Q619" s="189"/>
      <c r="R619" s="189"/>
      <c r="S619" s="189"/>
      <c r="T619" s="189"/>
      <c r="U619" s="189"/>
      <c r="V619" s="189"/>
      <c r="W619" s="189"/>
      <c r="X619" s="189"/>
      <c r="Y619" s="189"/>
      <c r="Z619" s="189"/>
      <c r="AA619" s="189"/>
      <c r="AB619" s="189"/>
      <c r="AC619" s="189"/>
      <c r="AD619" s="189"/>
      <c r="AE619" s="189"/>
      <c r="AF619" s="189"/>
      <c r="AG619" s="189"/>
      <c r="AH619" s="189"/>
      <c r="AI619" s="189"/>
      <c r="AJ619" s="189"/>
      <c r="AK619" s="189"/>
      <c r="AL619" s="190"/>
      <c r="AM619" s="189"/>
      <c r="AN619" s="189"/>
      <c r="AO619" s="189"/>
      <c r="AP619" s="189"/>
      <c r="AQ619" s="648"/>
    </row>
    <row r="620" spans="1:43" ht="90" customHeight="1" x14ac:dyDescent="0.25">
      <c r="A620" s="19"/>
      <c r="B620" s="20"/>
      <c r="C620" s="773">
        <v>26</v>
      </c>
      <c r="D620" s="765" t="s">
        <v>768</v>
      </c>
      <c r="E620" s="762" t="s">
        <v>708</v>
      </c>
      <c r="F620" s="762" t="s">
        <v>769</v>
      </c>
      <c r="G620" s="23"/>
      <c r="H620" s="775">
        <v>160</v>
      </c>
      <c r="I620" s="70" t="s">
        <v>770</v>
      </c>
      <c r="J620" s="775">
        <v>250</v>
      </c>
      <c r="K620" s="775">
        <v>300</v>
      </c>
      <c r="L620" s="775" t="s">
        <v>669</v>
      </c>
      <c r="M620" s="37" t="s">
        <v>771</v>
      </c>
      <c r="N620" s="774" t="s">
        <v>772</v>
      </c>
      <c r="O620" s="775" t="s">
        <v>38</v>
      </c>
      <c r="P620" s="26">
        <v>0</v>
      </c>
      <c r="Q620" s="26">
        <v>0</v>
      </c>
      <c r="R620" s="26">
        <v>0</v>
      </c>
      <c r="S620" s="26">
        <v>0</v>
      </c>
      <c r="T620" s="26">
        <v>0</v>
      </c>
      <c r="U620" s="26">
        <v>0</v>
      </c>
      <c r="V620" s="26">
        <v>0</v>
      </c>
      <c r="W620" s="26">
        <f>1021461289+229853919+8000000</f>
        <v>1259315208</v>
      </c>
      <c r="X620" s="14"/>
      <c r="Y620" s="14"/>
      <c r="Z620" s="26">
        <v>0</v>
      </c>
      <c r="AA620" s="26"/>
      <c r="AB620" s="324">
        <v>0</v>
      </c>
      <c r="AC620" s="324">
        <v>0</v>
      </c>
      <c r="AD620" s="254"/>
      <c r="AE620" s="254"/>
      <c r="AF620" s="254"/>
      <c r="AG620" s="254"/>
      <c r="AH620" s="254"/>
      <c r="AI620" s="254"/>
      <c r="AJ620" s="324">
        <v>0</v>
      </c>
      <c r="AK620" s="324">
        <v>0</v>
      </c>
      <c r="AL620" s="496">
        <v>0</v>
      </c>
      <c r="AM620" s="497"/>
      <c r="AN620" s="324">
        <v>0</v>
      </c>
      <c r="AO620" s="293">
        <v>0</v>
      </c>
      <c r="AP620" s="293"/>
      <c r="AQ620" s="742">
        <f>P620+Q620+R620+S620+T620+U620+V620+W620+X620+Y620+Z620+AA620+AB620+AC620+AD620+AE620+AF620+AG620+AH620+AI620+AJ620+AK620+AL620+AM620+AN620+AP620+AO620</f>
        <v>1259315208</v>
      </c>
    </row>
    <row r="621" spans="1:43" ht="71.25" x14ac:dyDescent="0.25">
      <c r="A621" s="19"/>
      <c r="B621" s="20"/>
      <c r="C621" s="858" t="s">
        <v>773</v>
      </c>
      <c r="D621" s="858" t="s">
        <v>774</v>
      </c>
      <c r="E621" s="858" t="s">
        <v>775</v>
      </c>
      <c r="F621" s="858" t="s">
        <v>776</v>
      </c>
      <c r="G621" s="29"/>
      <c r="H621" s="775">
        <v>161</v>
      </c>
      <c r="I621" s="774" t="s">
        <v>777</v>
      </c>
      <c r="J621" s="775">
        <v>90</v>
      </c>
      <c r="K621" s="775">
        <v>100</v>
      </c>
      <c r="L621" s="858" t="s">
        <v>669</v>
      </c>
      <c r="M621" s="854" t="s">
        <v>778</v>
      </c>
      <c r="N621" s="849" t="s">
        <v>779</v>
      </c>
      <c r="O621" s="775" t="s">
        <v>38</v>
      </c>
      <c r="P621" s="26">
        <v>0</v>
      </c>
      <c r="Q621" s="26">
        <v>0</v>
      </c>
      <c r="R621" s="26">
        <v>0</v>
      </c>
      <c r="S621" s="26">
        <v>0</v>
      </c>
      <c r="T621" s="26">
        <v>0</v>
      </c>
      <c r="U621" s="26">
        <v>0</v>
      </c>
      <c r="V621" s="26">
        <v>0</v>
      </c>
      <c r="W621" s="26">
        <v>87500000</v>
      </c>
      <c r="X621" s="14"/>
      <c r="Y621" s="14"/>
      <c r="Z621" s="26">
        <v>0</v>
      </c>
      <c r="AA621" s="26"/>
      <c r="AB621" s="324">
        <v>0</v>
      </c>
      <c r="AC621" s="324">
        <v>0</v>
      </c>
      <c r="AD621" s="254"/>
      <c r="AE621" s="254"/>
      <c r="AF621" s="254"/>
      <c r="AG621" s="254"/>
      <c r="AH621" s="254"/>
      <c r="AI621" s="254"/>
      <c r="AJ621" s="324">
        <v>0</v>
      </c>
      <c r="AK621" s="324">
        <v>0</v>
      </c>
      <c r="AL621" s="496">
        <v>0</v>
      </c>
      <c r="AM621" s="497"/>
      <c r="AN621" s="324">
        <v>0</v>
      </c>
      <c r="AO621" s="293">
        <v>0</v>
      </c>
      <c r="AP621" s="293"/>
      <c r="AQ621" s="742">
        <f>P621+Q621+R621+S621+T621+U621+V621+W621+X621+Y621+Z621+AA621+AB621+AC621+AD621+AE621+AF621+AG621+AH621+AI621+AJ621+AK621+AL621+AM621+AN621+AP621+AO621</f>
        <v>87500000</v>
      </c>
    </row>
    <row r="622" spans="1:43" ht="186.75" customHeight="1" x14ac:dyDescent="0.25">
      <c r="A622" s="19"/>
      <c r="B622" s="20"/>
      <c r="C622" s="859"/>
      <c r="D622" s="859"/>
      <c r="E622" s="859"/>
      <c r="F622" s="859"/>
      <c r="G622" s="30"/>
      <c r="H622" s="775">
        <v>162</v>
      </c>
      <c r="I622" s="774" t="s">
        <v>780</v>
      </c>
      <c r="J622" s="775">
        <v>83</v>
      </c>
      <c r="K622" s="775">
        <v>83</v>
      </c>
      <c r="L622" s="859"/>
      <c r="M622" s="856"/>
      <c r="N622" s="850"/>
      <c r="O622" s="775" t="s">
        <v>38</v>
      </c>
      <c r="P622" s="26">
        <v>0</v>
      </c>
      <c r="Q622" s="26">
        <v>0</v>
      </c>
      <c r="R622" s="26">
        <v>0</v>
      </c>
      <c r="S622" s="26">
        <v>0</v>
      </c>
      <c r="T622" s="26">
        <v>0</v>
      </c>
      <c r="U622" s="26">
        <v>0</v>
      </c>
      <c r="V622" s="26">
        <v>0</v>
      </c>
      <c r="W622" s="254">
        <v>279309844</v>
      </c>
      <c r="X622" s="14"/>
      <c r="Y622" s="14"/>
      <c r="Z622" s="26">
        <v>0</v>
      </c>
      <c r="AA622" s="26"/>
      <c r="AB622" s="324">
        <v>0</v>
      </c>
      <c r="AC622" s="324">
        <v>0</v>
      </c>
      <c r="AD622" s="254"/>
      <c r="AE622" s="254"/>
      <c r="AF622" s="254"/>
      <c r="AG622" s="254"/>
      <c r="AH622" s="254"/>
      <c r="AI622" s="254"/>
      <c r="AJ622" s="324">
        <v>0</v>
      </c>
      <c r="AK622" s="324">
        <v>0</v>
      </c>
      <c r="AL622" s="496">
        <v>0</v>
      </c>
      <c r="AM622" s="497"/>
      <c r="AN622" s="324">
        <v>0</v>
      </c>
      <c r="AO622" s="293">
        <v>0</v>
      </c>
      <c r="AP622" s="293"/>
      <c r="AQ622" s="742">
        <f>P622+Q622+R622+S622+T622+U622+V622+W622+X622+Y622+Z622+AA622+AB622+AC622+AD622+AE622+AF622+AG622+AH622+AI622+AJ622+AK622+AL622+AM622+AN622+AP622+AO622</f>
        <v>279309844</v>
      </c>
    </row>
    <row r="623" spans="1:43" ht="15" x14ac:dyDescent="0.25">
      <c r="A623" s="20"/>
      <c r="B623" s="152"/>
      <c r="C623" s="773"/>
      <c r="D623" s="153"/>
      <c r="E623" s="579"/>
      <c r="F623" s="579"/>
      <c r="G623" s="154"/>
      <c r="H623" s="155"/>
      <c r="I623" s="154"/>
      <c r="J623" s="155"/>
      <c r="K623" s="155"/>
      <c r="L623" s="155"/>
      <c r="M623" s="157"/>
      <c r="N623" s="154"/>
      <c r="O623" s="155"/>
      <c r="P623" s="158">
        <f>SUM(P620:P622)</f>
        <v>0</v>
      </c>
      <c r="Q623" s="158">
        <f>SUM(Q620:Q622)</f>
        <v>0</v>
      </c>
      <c r="R623" s="158">
        <f t="shared" ref="R623:AL623" si="286">SUM(R620:R622)</f>
        <v>0</v>
      </c>
      <c r="S623" s="158">
        <f t="shared" si="286"/>
        <v>0</v>
      </c>
      <c r="T623" s="158">
        <f t="shared" si="286"/>
        <v>0</v>
      </c>
      <c r="U623" s="158">
        <f t="shared" si="286"/>
        <v>0</v>
      </c>
      <c r="V623" s="158">
        <f t="shared" si="286"/>
        <v>0</v>
      </c>
      <c r="W623" s="158">
        <f t="shared" si="286"/>
        <v>1626125052</v>
      </c>
      <c r="X623" s="158">
        <f t="shared" si="286"/>
        <v>0</v>
      </c>
      <c r="Y623" s="158">
        <f t="shared" si="286"/>
        <v>0</v>
      </c>
      <c r="Z623" s="158">
        <f t="shared" si="286"/>
        <v>0</v>
      </c>
      <c r="AA623" s="158">
        <f t="shared" si="286"/>
        <v>0</v>
      </c>
      <c r="AB623" s="158">
        <f t="shared" si="286"/>
        <v>0</v>
      </c>
      <c r="AC623" s="158">
        <f t="shared" si="286"/>
        <v>0</v>
      </c>
      <c r="AD623" s="158">
        <f t="shared" si="286"/>
        <v>0</v>
      </c>
      <c r="AE623" s="158">
        <f t="shared" si="286"/>
        <v>0</v>
      </c>
      <c r="AF623" s="158">
        <f t="shared" si="286"/>
        <v>0</v>
      </c>
      <c r="AG623" s="158">
        <f t="shared" si="286"/>
        <v>0</v>
      </c>
      <c r="AH623" s="158">
        <f t="shared" si="286"/>
        <v>0</v>
      </c>
      <c r="AI623" s="158">
        <f t="shared" si="286"/>
        <v>0</v>
      </c>
      <c r="AJ623" s="158">
        <f t="shared" si="286"/>
        <v>0</v>
      </c>
      <c r="AK623" s="158">
        <f t="shared" si="286"/>
        <v>0</v>
      </c>
      <c r="AL623" s="158">
        <f t="shared" si="286"/>
        <v>0</v>
      </c>
      <c r="AM623" s="158">
        <f t="shared" ref="AM623:AP623" si="287">SUM(AM620:AM622)</f>
        <v>0</v>
      </c>
      <c r="AN623" s="158">
        <f t="shared" si="287"/>
        <v>0</v>
      </c>
      <c r="AO623" s="158">
        <f t="shared" si="287"/>
        <v>0</v>
      </c>
      <c r="AP623" s="158">
        <f t="shared" si="287"/>
        <v>0</v>
      </c>
      <c r="AQ623" s="396">
        <f>SUM(AQ620:AQ622)</f>
        <v>1626125052</v>
      </c>
    </row>
    <row r="624" spans="1:43" ht="15" x14ac:dyDescent="0.25">
      <c r="A624" s="20"/>
      <c r="B624" s="218"/>
      <c r="C624" s="162"/>
      <c r="D624" s="161"/>
      <c r="E624" s="162"/>
      <c r="F624" s="162"/>
      <c r="G624" s="161"/>
      <c r="H624" s="162"/>
      <c r="I624" s="161"/>
      <c r="J624" s="162"/>
      <c r="K624" s="162"/>
      <c r="L624" s="162"/>
      <c r="M624" s="164"/>
      <c r="N624" s="161"/>
      <c r="O624" s="162"/>
      <c r="P624" s="165">
        <f>P623+P617+P612+P605+P599+P594+P589+P581+P575+P569+P562</f>
        <v>0</v>
      </c>
      <c r="Q624" s="165">
        <f>Q623+Q617+Q612+Q605+Q599+Q594+Q589+Q581+Q575+Q569+Q562</f>
        <v>0</v>
      </c>
      <c r="R624" s="165">
        <f t="shared" ref="R624:AL624" si="288">R623+R617+R612+R605+R599+R594+R589+R581+R575+R569+R562</f>
        <v>0</v>
      </c>
      <c r="S624" s="165">
        <f t="shared" si="288"/>
        <v>0</v>
      </c>
      <c r="T624" s="165">
        <f t="shared" si="288"/>
        <v>0</v>
      </c>
      <c r="U624" s="165">
        <f t="shared" si="288"/>
        <v>0</v>
      </c>
      <c r="V624" s="165">
        <f t="shared" si="288"/>
        <v>0</v>
      </c>
      <c r="W624" s="165">
        <f t="shared" si="288"/>
        <v>4531555903.996911</v>
      </c>
      <c r="X624" s="165">
        <f t="shared" si="288"/>
        <v>0</v>
      </c>
      <c r="Y624" s="165">
        <f t="shared" si="288"/>
        <v>0</v>
      </c>
      <c r="Z624" s="165">
        <f t="shared" si="288"/>
        <v>100000000</v>
      </c>
      <c r="AA624" s="165">
        <f t="shared" si="288"/>
        <v>0</v>
      </c>
      <c r="AB624" s="165">
        <f t="shared" si="288"/>
        <v>1375125452.1300001</v>
      </c>
      <c r="AC624" s="165">
        <f t="shared" si="288"/>
        <v>0</v>
      </c>
      <c r="AD624" s="165">
        <f t="shared" si="288"/>
        <v>0</v>
      </c>
      <c r="AE624" s="165">
        <f t="shared" si="288"/>
        <v>0</v>
      </c>
      <c r="AF624" s="165">
        <f t="shared" si="288"/>
        <v>0</v>
      </c>
      <c r="AG624" s="165">
        <f t="shared" si="288"/>
        <v>0</v>
      </c>
      <c r="AH624" s="165">
        <f t="shared" si="288"/>
        <v>0</v>
      </c>
      <c r="AI624" s="165">
        <f t="shared" si="288"/>
        <v>0</v>
      </c>
      <c r="AJ624" s="165">
        <f t="shared" si="288"/>
        <v>0</v>
      </c>
      <c r="AK624" s="165">
        <f t="shared" si="288"/>
        <v>0</v>
      </c>
      <c r="AL624" s="165">
        <f t="shared" si="288"/>
        <v>230000000</v>
      </c>
      <c r="AM624" s="165">
        <f t="shared" ref="AM624:AP624" si="289">AM623+AM617+AM612+AM605+AM599+AM594+AM589+AM581+AM575+AM569+AM562</f>
        <v>0</v>
      </c>
      <c r="AN624" s="165">
        <f t="shared" si="289"/>
        <v>0</v>
      </c>
      <c r="AO624" s="165">
        <f t="shared" si="289"/>
        <v>407432105</v>
      </c>
      <c r="AP624" s="165">
        <f t="shared" si="289"/>
        <v>0</v>
      </c>
      <c r="AQ624" s="397">
        <f>AQ623+AQ617+AQ612+AQ605+AQ599+AQ594+AQ589+AQ581+AQ575+AQ569+AQ562</f>
        <v>6644113461.1269112</v>
      </c>
    </row>
    <row r="625" spans="1:43" s="28" customFormat="1" ht="15" x14ac:dyDescent="0.25">
      <c r="A625" s="20"/>
      <c r="B625" s="177"/>
      <c r="C625" s="795"/>
      <c r="D625" s="177"/>
      <c r="E625" s="795"/>
      <c r="F625" s="795"/>
      <c r="G625" s="177"/>
      <c r="H625" s="795"/>
      <c r="I625" s="177"/>
      <c r="J625" s="795"/>
      <c r="K625" s="795"/>
      <c r="L625" s="776"/>
      <c r="M625" s="234"/>
      <c r="N625" s="223"/>
      <c r="O625" s="795"/>
      <c r="P625" s="180"/>
      <c r="Q625" s="180"/>
      <c r="R625" s="180"/>
      <c r="S625" s="180"/>
      <c r="T625" s="180"/>
      <c r="U625" s="180"/>
      <c r="V625" s="180"/>
      <c r="W625" s="180"/>
      <c r="X625" s="180"/>
      <c r="Y625" s="180"/>
      <c r="Z625" s="180"/>
      <c r="AA625" s="180"/>
      <c r="AB625" s="180"/>
      <c r="AC625" s="180"/>
      <c r="AD625" s="180"/>
      <c r="AE625" s="180"/>
      <c r="AF625" s="180"/>
      <c r="AG625" s="180"/>
      <c r="AH625" s="180"/>
      <c r="AI625" s="180"/>
      <c r="AJ625" s="180"/>
      <c r="AK625" s="180"/>
      <c r="AL625" s="182"/>
      <c r="AM625" s="180"/>
      <c r="AN625" s="180"/>
      <c r="AO625" s="180"/>
      <c r="AP625" s="180"/>
      <c r="AQ625" s="742"/>
    </row>
    <row r="626" spans="1:43" s="28" customFormat="1" ht="15" x14ac:dyDescent="0.25">
      <c r="A626" s="20"/>
      <c r="B626" s="498">
        <v>13</v>
      </c>
      <c r="C626" s="145" t="s">
        <v>781</v>
      </c>
      <c r="D626" s="146"/>
      <c r="E626" s="146"/>
      <c r="F626" s="146"/>
      <c r="G626" s="146"/>
      <c r="H626" s="147"/>
      <c r="I626" s="146"/>
      <c r="J626" s="146"/>
      <c r="K626" s="146"/>
      <c r="L626" s="146"/>
      <c r="M626" s="652"/>
      <c r="N626" s="146"/>
      <c r="O626" s="146"/>
      <c r="P626" s="146"/>
      <c r="Q626" s="146"/>
      <c r="R626" s="146"/>
      <c r="S626" s="146"/>
      <c r="T626" s="146"/>
      <c r="U626" s="146"/>
      <c r="V626" s="146"/>
      <c r="W626" s="146"/>
      <c r="X626" s="146"/>
      <c r="Y626" s="146"/>
      <c r="Z626" s="146"/>
      <c r="AA626" s="146"/>
      <c r="AB626" s="146"/>
      <c r="AC626" s="146"/>
      <c r="AD626" s="146"/>
      <c r="AE626" s="146"/>
      <c r="AF626" s="146"/>
      <c r="AG626" s="146"/>
      <c r="AH626" s="146"/>
      <c r="AI626" s="146"/>
      <c r="AJ626" s="146"/>
      <c r="AK626" s="146"/>
      <c r="AL626" s="148"/>
      <c r="AM626" s="146"/>
      <c r="AN626" s="146"/>
      <c r="AO626" s="146"/>
      <c r="AP626" s="146"/>
      <c r="AQ626" s="649"/>
    </row>
    <row r="627" spans="1:43" s="28" customFormat="1" ht="15" x14ac:dyDescent="0.25">
      <c r="A627" s="19"/>
      <c r="B627" s="20"/>
      <c r="C627" s="795"/>
      <c r="D627" s="177"/>
      <c r="E627" s="795"/>
      <c r="F627" s="773"/>
      <c r="G627" s="370">
        <v>47</v>
      </c>
      <c r="H627" s="189" t="s">
        <v>782</v>
      </c>
      <c r="I627" s="189"/>
      <c r="J627" s="189"/>
      <c r="K627" s="189"/>
      <c r="L627" s="189"/>
      <c r="M627" s="189"/>
      <c r="N627" s="189"/>
      <c r="O627" s="189"/>
      <c r="P627" s="189"/>
      <c r="Q627" s="189"/>
      <c r="R627" s="189"/>
      <c r="S627" s="189"/>
      <c r="T627" s="189"/>
      <c r="U627" s="189"/>
      <c r="V627" s="189"/>
      <c r="W627" s="189"/>
      <c r="X627" s="189"/>
      <c r="Y627" s="189"/>
      <c r="Z627" s="189"/>
      <c r="AA627" s="189"/>
      <c r="AB627" s="189"/>
      <c r="AC627" s="189"/>
      <c r="AD627" s="189"/>
      <c r="AE627" s="189"/>
      <c r="AF627" s="189"/>
      <c r="AG627" s="189"/>
      <c r="AH627" s="189"/>
      <c r="AI627" s="189"/>
      <c r="AJ627" s="189"/>
      <c r="AK627" s="189"/>
      <c r="AL627" s="190"/>
      <c r="AM627" s="189"/>
      <c r="AN627" s="189"/>
      <c r="AO627" s="189"/>
      <c r="AP627" s="189"/>
      <c r="AQ627" s="648"/>
    </row>
    <row r="628" spans="1:43" ht="89.25" customHeight="1" x14ac:dyDescent="0.25">
      <c r="A628" s="19"/>
      <c r="B628" s="20"/>
      <c r="C628" s="469">
        <v>27</v>
      </c>
      <c r="D628" s="512" t="s">
        <v>783</v>
      </c>
      <c r="E628" s="476">
        <v>0.89949999999999997</v>
      </c>
      <c r="F628" s="516">
        <v>0.92</v>
      </c>
      <c r="G628" s="6"/>
      <c r="H628" s="5">
        <v>163</v>
      </c>
      <c r="I628" s="6" t="s">
        <v>784</v>
      </c>
      <c r="J628" s="5">
        <v>12</v>
      </c>
      <c r="K628" s="775">
        <v>12</v>
      </c>
      <c r="L628" s="5" t="s">
        <v>669</v>
      </c>
      <c r="M628" s="37" t="s">
        <v>785</v>
      </c>
      <c r="N628" s="6" t="s">
        <v>786</v>
      </c>
      <c r="O628" s="775" t="s">
        <v>38</v>
      </c>
      <c r="P628" s="26">
        <v>0</v>
      </c>
      <c r="Q628" s="26">
        <v>0</v>
      </c>
      <c r="R628" s="26">
        <v>0</v>
      </c>
      <c r="S628" s="26">
        <v>0</v>
      </c>
      <c r="T628" s="26">
        <v>0</v>
      </c>
      <c r="U628" s="26">
        <v>0</v>
      </c>
      <c r="V628" s="26">
        <v>0</v>
      </c>
      <c r="W628" s="26"/>
      <c r="X628" s="26"/>
      <c r="Y628" s="26"/>
      <c r="Z628" s="14">
        <v>29046000</v>
      </c>
      <c r="AA628" s="14"/>
      <c r="AB628" s="26">
        <v>0</v>
      </c>
      <c r="AC628" s="324">
        <v>0</v>
      </c>
      <c r="AD628" s="254"/>
      <c r="AE628" s="254"/>
      <c r="AF628" s="254"/>
      <c r="AG628" s="254"/>
      <c r="AH628" s="254"/>
      <c r="AI628" s="254"/>
      <c r="AJ628" s="324">
        <v>0</v>
      </c>
      <c r="AK628" s="324">
        <v>0</v>
      </c>
      <c r="AL628" s="496">
        <v>0</v>
      </c>
      <c r="AM628" s="497"/>
      <c r="AN628" s="324">
        <v>0</v>
      </c>
      <c r="AO628" s="293">
        <v>0</v>
      </c>
      <c r="AP628" s="293"/>
      <c r="AQ628" s="742">
        <f>P628+Q628+R628+S628+T628+U628+V628+W628+X628+Y628+Z628+AA628+AB628+AC628+AD628+AE628+AF628+AG628+AH628+AI628+AJ628+AK628+AL628+AM628+AN628+AP628+AO628</f>
        <v>29046000</v>
      </c>
    </row>
    <row r="629" spans="1:43" ht="15" x14ac:dyDescent="0.25">
      <c r="A629" s="19"/>
      <c r="B629" s="20"/>
      <c r="C629" s="767"/>
      <c r="D629" s="799"/>
      <c r="E629" s="791"/>
      <c r="F629" s="791"/>
      <c r="G629" s="154"/>
      <c r="H629" s="155"/>
      <c r="I629" s="154"/>
      <c r="J629" s="155"/>
      <c r="K629" s="155"/>
      <c r="L629" s="155"/>
      <c r="M629" s="157"/>
      <c r="N629" s="155"/>
      <c r="O629" s="155"/>
      <c r="P629" s="158">
        <f t="shared" ref="P629:W629" si="290">SUM(P628)</f>
        <v>0</v>
      </c>
      <c r="Q629" s="158">
        <f t="shared" si="290"/>
        <v>0</v>
      </c>
      <c r="R629" s="158">
        <f t="shared" si="290"/>
        <v>0</v>
      </c>
      <c r="S629" s="158">
        <f t="shared" si="290"/>
        <v>0</v>
      </c>
      <c r="T629" s="158">
        <f t="shared" si="290"/>
        <v>0</v>
      </c>
      <c r="U629" s="158">
        <f t="shared" si="290"/>
        <v>0</v>
      </c>
      <c r="V629" s="158">
        <f t="shared" si="290"/>
        <v>0</v>
      </c>
      <c r="W629" s="158">
        <f t="shared" si="290"/>
        <v>0</v>
      </c>
      <c r="X629" s="158"/>
      <c r="Y629" s="158"/>
      <c r="Z629" s="158">
        <f>SUM(Z628)</f>
        <v>29046000</v>
      </c>
      <c r="AA629" s="158"/>
      <c r="AB629" s="158">
        <f>SUM(AB628)</f>
        <v>0</v>
      </c>
      <c r="AC629" s="158">
        <f>SUM(AC628)</f>
        <v>0</v>
      </c>
      <c r="AD629" s="158">
        <f>SUM(AD628)</f>
        <v>0</v>
      </c>
      <c r="AE629" s="158">
        <f>SUM(AE628)</f>
        <v>0</v>
      </c>
      <c r="AF629" s="158"/>
      <c r="AG629" s="158">
        <f t="shared" ref="AG629:AL629" si="291">SUM(AG628)</f>
        <v>0</v>
      </c>
      <c r="AH629" s="158">
        <f t="shared" si="291"/>
        <v>0</v>
      </c>
      <c r="AI629" s="158">
        <f t="shared" si="291"/>
        <v>0</v>
      </c>
      <c r="AJ629" s="158">
        <f t="shared" si="291"/>
        <v>0</v>
      </c>
      <c r="AK629" s="158">
        <f t="shared" si="291"/>
        <v>0</v>
      </c>
      <c r="AL629" s="247">
        <f t="shared" si="291"/>
        <v>0</v>
      </c>
      <c r="AM629" s="158"/>
      <c r="AN629" s="158">
        <f>SUM(AN628)</f>
        <v>0</v>
      </c>
      <c r="AO629" s="158">
        <f>SUM(AO628)</f>
        <v>0</v>
      </c>
      <c r="AP629" s="158">
        <f>SUM(AP628)</f>
        <v>0</v>
      </c>
      <c r="AQ629" s="396">
        <f>SUM(AQ628)</f>
        <v>29046000</v>
      </c>
    </row>
    <row r="630" spans="1:43" ht="15" x14ac:dyDescent="0.25">
      <c r="A630" s="19"/>
      <c r="B630" s="20"/>
      <c r="C630" s="795"/>
      <c r="D630" s="177"/>
      <c r="E630" s="795"/>
      <c r="F630" s="795"/>
      <c r="G630" s="177"/>
      <c r="H630" s="795"/>
      <c r="I630" s="177"/>
      <c r="J630" s="795"/>
      <c r="K630" s="795"/>
      <c r="L630" s="776"/>
      <c r="M630" s="234"/>
      <c r="N630" s="776"/>
      <c r="O630" s="795"/>
      <c r="P630" s="180"/>
      <c r="Q630" s="180"/>
      <c r="R630" s="180"/>
      <c r="S630" s="180"/>
      <c r="T630" s="180"/>
      <c r="U630" s="180"/>
      <c r="V630" s="180"/>
      <c r="W630" s="180"/>
      <c r="X630" s="180"/>
      <c r="Y630" s="180"/>
      <c r="Z630" s="180"/>
      <c r="AA630" s="180"/>
      <c r="AB630" s="180"/>
      <c r="AC630" s="180"/>
      <c r="AD630" s="180"/>
      <c r="AE630" s="180"/>
      <c r="AF630" s="180"/>
      <c r="AG630" s="180"/>
      <c r="AH630" s="180"/>
      <c r="AI630" s="180"/>
      <c r="AJ630" s="180"/>
      <c r="AK630" s="180"/>
      <c r="AL630" s="182"/>
      <c r="AM630" s="183"/>
      <c r="AN630" s="180"/>
      <c r="AO630" s="180"/>
      <c r="AP630" s="180"/>
      <c r="AQ630" s="742"/>
    </row>
    <row r="631" spans="1:43" ht="15" x14ac:dyDescent="0.25">
      <c r="A631" s="19"/>
      <c r="B631" s="20"/>
      <c r="C631" s="795"/>
      <c r="D631" s="153"/>
      <c r="E631" s="579"/>
      <c r="F631" s="579"/>
      <c r="G631" s="344">
        <v>48</v>
      </c>
      <c r="H631" s="189" t="s">
        <v>787</v>
      </c>
      <c r="I631" s="189"/>
      <c r="J631" s="189"/>
      <c r="K631" s="189"/>
      <c r="L631" s="189"/>
      <c r="M631" s="659"/>
      <c r="N631" s="189"/>
      <c r="O631" s="189"/>
      <c r="P631" s="189"/>
      <c r="Q631" s="189"/>
      <c r="R631" s="189"/>
      <c r="S631" s="189"/>
      <c r="T631" s="189"/>
      <c r="U631" s="189"/>
      <c r="V631" s="189"/>
      <c r="W631" s="189"/>
      <c r="X631" s="189"/>
      <c r="Y631" s="189"/>
      <c r="Z631" s="189"/>
      <c r="AA631" s="189"/>
      <c r="AB631" s="189"/>
      <c r="AC631" s="189"/>
      <c r="AD631" s="189"/>
      <c r="AE631" s="189"/>
      <c r="AF631" s="189"/>
      <c r="AG631" s="189"/>
      <c r="AH631" s="189"/>
      <c r="AI631" s="189"/>
      <c r="AJ631" s="189"/>
      <c r="AK631" s="189"/>
      <c r="AL631" s="190"/>
      <c r="AM631" s="189"/>
      <c r="AN631" s="189"/>
      <c r="AO631" s="189"/>
      <c r="AP631" s="189"/>
      <c r="AQ631" s="648"/>
    </row>
    <row r="632" spans="1:43" ht="111.75" customHeight="1" x14ac:dyDescent="0.25">
      <c r="A632" s="19"/>
      <c r="B632" s="20"/>
      <c r="C632" s="469">
        <v>27</v>
      </c>
      <c r="D632" s="512" t="s">
        <v>783</v>
      </c>
      <c r="E632" s="476">
        <v>0.89949999999999997</v>
      </c>
      <c r="F632" s="516">
        <v>0.92</v>
      </c>
      <c r="G632" s="6"/>
      <c r="H632" s="5">
        <v>164</v>
      </c>
      <c r="I632" s="6" t="s">
        <v>788</v>
      </c>
      <c r="J632" s="5">
        <v>12</v>
      </c>
      <c r="K632" s="775">
        <v>12</v>
      </c>
      <c r="L632" s="5" t="s">
        <v>669</v>
      </c>
      <c r="M632" s="37" t="s">
        <v>785</v>
      </c>
      <c r="N632" s="6" t="s">
        <v>786</v>
      </c>
      <c r="O632" s="775" t="s">
        <v>38</v>
      </c>
      <c r="P632" s="26">
        <v>0</v>
      </c>
      <c r="Q632" s="26">
        <v>0</v>
      </c>
      <c r="R632" s="26">
        <v>0</v>
      </c>
      <c r="S632" s="26">
        <v>0</v>
      </c>
      <c r="T632" s="26">
        <v>0</v>
      </c>
      <c r="U632" s="26">
        <v>0</v>
      </c>
      <c r="V632" s="26">
        <v>0</v>
      </c>
      <c r="W632" s="26">
        <v>0</v>
      </c>
      <c r="X632" s="26">
        <v>0</v>
      </c>
      <c r="Y632" s="26">
        <v>0</v>
      </c>
      <c r="Z632" s="26">
        <v>10685739425</v>
      </c>
      <c r="AA632" s="254">
        <v>0</v>
      </c>
      <c r="AB632" s="254">
        <v>0</v>
      </c>
      <c r="AC632" s="26">
        <v>5158342835</v>
      </c>
      <c r="AD632" s="254">
        <v>0</v>
      </c>
      <c r="AE632" s="254">
        <v>0</v>
      </c>
      <c r="AF632" s="254">
        <v>0</v>
      </c>
      <c r="AG632" s="254">
        <v>0</v>
      </c>
      <c r="AH632" s="254">
        <v>0</v>
      </c>
      <c r="AI632" s="254">
        <v>0</v>
      </c>
      <c r="AJ632" s="254">
        <v>0</v>
      </c>
      <c r="AK632" s="324">
        <v>0</v>
      </c>
      <c r="AL632" s="496">
        <v>0</v>
      </c>
      <c r="AM632" s="497">
        <v>0</v>
      </c>
      <c r="AN632" s="59">
        <v>515209</v>
      </c>
      <c r="AO632" s="59"/>
      <c r="AP632" s="59"/>
      <c r="AQ632" s="742">
        <f>P632+Q632+R632+S632+T632+U632+V632+W632+X632+Y632+Z632+AA632+AB632+AC632+AD632+AE632+AF632+AG632+AH632+AI632+AJ632+AK632+AL632+AM632+AN632+AP632+AO632</f>
        <v>15844597469</v>
      </c>
    </row>
    <row r="633" spans="1:43" ht="15" x14ac:dyDescent="0.25">
      <c r="A633" s="19"/>
      <c r="B633" s="20"/>
      <c r="C633" s="773"/>
      <c r="D633" s="153"/>
      <c r="E633" s="579"/>
      <c r="F633" s="579"/>
      <c r="G633" s="154"/>
      <c r="H633" s="155"/>
      <c r="I633" s="154"/>
      <c r="J633" s="155"/>
      <c r="K633" s="155"/>
      <c r="L633" s="155"/>
      <c r="M633" s="157"/>
      <c r="N633" s="154"/>
      <c r="O633" s="155"/>
      <c r="P633" s="158">
        <f t="shared" ref="P633:W633" si="292">SUM(P632)</f>
        <v>0</v>
      </c>
      <c r="Q633" s="158">
        <f t="shared" si="292"/>
        <v>0</v>
      </c>
      <c r="R633" s="158">
        <f t="shared" si="292"/>
        <v>0</v>
      </c>
      <c r="S633" s="158">
        <f t="shared" si="292"/>
        <v>0</v>
      </c>
      <c r="T633" s="158">
        <f t="shared" si="292"/>
        <v>0</v>
      </c>
      <c r="U633" s="158">
        <f t="shared" si="292"/>
        <v>0</v>
      </c>
      <c r="V633" s="158">
        <f t="shared" si="292"/>
        <v>0</v>
      </c>
      <c r="W633" s="158">
        <f t="shared" si="292"/>
        <v>0</v>
      </c>
      <c r="X633" s="158"/>
      <c r="Y633" s="158"/>
      <c r="Z633" s="158">
        <f>SUM(Z632)</f>
        <v>10685739425</v>
      </c>
      <c r="AA633" s="158"/>
      <c r="AB633" s="158">
        <f t="shared" ref="AB633:AQ633" si="293">SUM(AB632)</f>
        <v>0</v>
      </c>
      <c r="AC633" s="158">
        <f t="shared" si="293"/>
        <v>5158342835</v>
      </c>
      <c r="AD633" s="158">
        <f t="shared" si="293"/>
        <v>0</v>
      </c>
      <c r="AE633" s="158">
        <f t="shared" si="293"/>
        <v>0</v>
      </c>
      <c r="AF633" s="158">
        <f t="shared" si="293"/>
        <v>0</v>
      </c>
      <c r="AG633" s="158">
        <f t="shared" si="293"/>
        <v>0</v>
      </c>
      <c r="AH633" s="158">
        <f t="shared" si="293"/>
        <v>0</v>
      </c>
      <c r="AI633" s="158">
        <f t="shared" si="293"/>
        <v>0</v>
      </c>
      <c r="AJ633" s="158">
        <f t="shared" si="293"/>
        <v>0</v>
      </c>
      <c r="AK633" s="158">
        <f t="shared" si="293"/>
        <v>0</v>
      </c>
      <c r="AL633" s="247">
        <f t="shared" si="293"/>
        <v>0</v>
      </c>
      <c r="AM633" s="247">
        <f t="shared" si="293"/>
        <v>0</v>
      </c>
      <c r="AN633" s="247">
        <f t="shared" si="293"/>
        <v>515209</v>
      </c>
      <c r="AO633" s="158">
        <f t="shared" si="293"/>
        <v>0</v>
      </c>
      <c r="AP633" s="158">
        <f t="shared" si="293"/>
        <v>0</v>
      </c>
      <c r="AQ633" s="396">
        <f t="shared" si="293"/>
        <v>15844597469</v>
      </c>
    </row>
    <row r="634" spans="1:43" ht="15" x14ac:dyDescent="0.25">
      <c r="A634" s="19"/>
      <c r="B634" s="20"/>
      <c r="C634" s="795"/>
      <c r="D634" s="177"/>
      <c r="E634" s="795"/>
      <c r="F634" s="795"/>
      <c r="G634" s="177"/>
      <c r="H634" s="795"/>
      <c r="I634" s="177"/>
      <c r="J634" s="795"/>
      <c r="K634" s="795"/>
      <c r="L634" s="776"/>
      <c r="M634" s="234"/>
      <c r="N634" s="223"/>
      <c r="O634" s="795"/>
      <c r="P634" s="180"/>
      <c r="Q634" s="180"/>
      <c r="R634" s="180"/>
      <c r="S634" s="180"/>
      <c r="T634" s="180"/>
      <c r="U634" s="180"/>
      <c r="V634" s="180"/>
      <c r="W634" s="180"/>
      <c r="X634" s="180"/>
      <c r="Y634" s="180"/>
      <c r="Z634" s="180"/>
      <c r="AA634" s="180"/>
      <c r="AB634" s="180"/>
      <c r="AC634" s="180"/>
      <c r="AD634" s="180"/>
      <c r="AE634" s="180"/>
      <c r="AF634" s="180"/>
      <c r="AG634" s="180"/>
      <c r="AH634" s="180"/>
      <c r="AI634" s="180"/>
      <c r="AJ634" s="180"/>
      <c r="AK634" s="180"/>
      <c r="AL634" s="182"/>
      <c r="AM634" s="183"/>
      <c r="AN634" s="180"/>
      <c r="AO634" s="180"/>
      <c r="AP634" s="180"/>
      <c r="AQ634" s="742"/>
    </row>
    <row r="635" spans="1:43" ht="15" x14ac:dyDescent="0.25">
      <c r="A635" s="19"/>
      <c r="B635" s="20"/>
      <c r="C635" s="795"/>
      <c r="D635" s="153"/>
      <c r="E635" s="579"/>
      <c r="F635" s="579"/>
      <c r="G635" s="344">
        <v>49</v>
      </c>
      <c r="H635" s="189" t="s">
        <v>789</v>
      </c>
      <c r="I635" s="189"/>
      <c r="J635" s="189"/>
      <c r="K635" s="189"/>
      <c r="L635" s="189"/>
      <c r="M635" s="189"/>
      <c r="N635" s="189"/>
      <c r="O635" s="189"/>
      <c r="P635" s="189"/>
      <c r="Q635" s="189"/>
      <c r="R635" s="189"/>
      <c r="S635" s="189"/>
      <c r="T635" s="189"/>
      <c r="U635" s="189"/>
      <c r="V635" s="189"/>
      <c r="W635" s="189"/>
      <c r="X635" s="189"/>
      <c r="Y635" s="189"/>
      <c r="Z635" s="189"/>
      <c r="AA635" s="189"/>
      <c r="AB635" s="189"/>
      <c r="AC635" s="189"/>
      <c r="AD635" s="189"/>
      <c r="AE635" s="189"/>
      <c r="AF635" s="189"/>
      <c r="AG635" s="189"/>
      <c r="AH635" s="189"/>
      <c r="AI635" s="189"/>
      <c r="AJ635" s="189"/>
      <c r="AK635" s="189"/>
      <c r="AL635" s="190"/>
      <c r="AM635" s="189"/>
      <c r="AN635" s="189"/>
      <c r="AO635" s="189"/>
      <c r="AP635" s="189"/>
      <c r="AQ635" s="648"/>
    </row>
    <row r="636" spans="1:43" ht="71.25" customHeight="1" x14ac:dyDescent="0.25">
      <c r="A636" s="19"/>
      <c r="B636" s="20"/>
      <c r="C636" s="469">
        <v>27</v>
      </c>
      <c r="D636" s="512" t="s">
        <v>783</v>
      </c>
      <c r="E636" s="476">
        <v>0.89949999999999997</v>
      </c>
      <c r="F636" s="516">
        <v>0.92</v>
      </c>
      <c r="G636" s="6"/>
      <c r="H636" s="5">
        <v>165</v>
      </c>
      <c r="I636" s="6" t="s">
        <v>790</v>
      </c>
      <c r="J636" s="517">
        <v>12</v>
      </c>
      <c r="K636" s="513">
        <v>12</v>
      </c>
      <c r="L636" s="517" t="s">
        <v>669</v>
      </c>
      <c r="M636" s="37" t="s">
        <v>785</v>
      </c>
      <c r="N636" s="6" t="s">
        <v>786</v>
      </c>
      <c r="O636" s="775" t="s">
        <v>38</v>
      </c>
      <c r="P636" s="26">
        <v>0</v>
      </c>
      <c r="Q636" s="26">
        <v>0</v>
      </c>
      <c r="R636" s="26">
        <v>0</v>
      </c>
      <c r="S636" s="26">
        <v>0</v>
      </c>
      <c r="T636" s="26">
        <v>0</v>
      </c>
      <c r="U636" s="26">
        <v>0</v>
      </c>
      <c r="V636" s="26">
        <v>0</v>
      </c>
      <c r="W636" s="26"/>
      <c r="X636" s="26"/>
      <c r="Y636" s="26"/>
      <c r="Z636" s="14">
        <v>20913120</v>
      </c>
      <c r="AA636" s="14"/>
      <c r="AB636" s="26">
        <v>0</v>
      </c>
      <c r="AC636" s="324">
        <v>0</v>
      </c>
      <c r="AD636" s="254"/>
      <c r="AE636" s="254"/>
      <c r="AF636" s="254"/>
      <c r="AG636" s="254"/>
      <c r="AH636" s="254"/>
      <c r="AI636" s="254"/>
      <c r="AJ636" s="324">
        <v>0</v>
      </c>
      <c r="AK636" s="324">
        <v>0</v>
      </c>
      <c r="AL636" s="496">
        <v>0</v>
      </c>
      <c r="AM636" s="497"/>
      <c r="AN636" s="324">
        <v>0</v>
      </c>
      <c r="AO636" s="293">
        <v>0</v>
      </c>
      <c r="AP636" s="293"/>
      <c r="AQ636" s="742">
        <f>P636+Q636+R636+S636+T636+U636+V636+W636+X636+Y636+Z636+AA636+AB636+AC636+AD636+AE636+AF636+AG636+AH636+AI636+AJ636+AK636+AL636+AM636+AN636+AP636+AO636</f>
        <v>20913120</v>
      </c>
    </row>
    <row r="637" spans="1:43" ht="15" x14ac:dyDescent="0.25">
      <c r="A637" s="19"/>
      <c r="B637" s="20"/>
      <c r="C637" s="773"/>
      <c r="D637" s="153"/>
      <c r="E637" s="579"/>
      <c r="F637" s="579"/>
      <c r="G637" s="154"/>
      <c r="H637" s="155"/>
      <c r="I637" s="154"/>
      <c r="J637" s="518"/>
      <c r="K637" s="518"/>
      <c r="L637" s="518"/>
      <c r="M637" s="157"/>
      <c r="N637" s="154"/>
      <c r="O637" s="155"/>
      <c r="P637" s="158">
        <f>SUM(P636)</f>
        <v>0</v>
      </c>
      <c r="Q637" s="158">
        <f>SUM(Q636)</f>
        <v>0</v>
      </c>
      <c r="R637" s="158">
        <f t="shared" ref="R637:AL637" si="294">SUM(R636)</f>
        <v>0</v>
      </c>
      <c r="S637" s="158">
        <f t="shared" si="294"/>
        <v>0</v>
      </c>
      <c r="T637" s="158">
        <f t="shared" si="294"/>
        <v>0</v>
      </c>
      <c r="U637" s="158">
        <f t="shared" si="294"/>
        <v>0</v>
      </c>
      <c r="V637" s="158">
        <f t="shared" si="294"/>
        <v>0</v>
      </c>
      <c r="W637" s="158">
        <f t="shared" si="294"/>
        <v>0</v>
      </c>
      <c r="X637" s="158">
        <f t="shared" si="294"/>
        <v>0</v>
      </c>
      <c r="Y637" s="158">
        <f t="shared" si="294"/>
        <v>0</v>
      </c>
      <c r="Z637" s="158">
        <f t="shared" si="294"/>
        <v>20913120</v>
      </c>
      <c r="AA637" s="158">
        <f t="shared" si="294"/>
        <v>0</v>
      </c>
      <c r="AB637" s="158">
        <f t="shared" si="294"/>
        <v>0</v>
      </c>
      <c r="AC637" s="158">
        <f t="shared" si="294"/>
        <v>0</v>
      </c>
      <c r="AD637" s="158">
        <f t="shared" si="294"/>
        <v>0</v>
      </c>
      <c r="AE637" s="158">
        <f t="shared" si="294"/>
        <v>0</v>
      </c>
      <c r="AF637" s="158">
        <f t="shared" si="294"/>
        <v>0</v>
      </c>
      <c r="AG637" s="158">
        <f t="shared" si="294"/>
        <v>0</v>
      </c>
      <c r="AH637" s="158">
        <f t="shared" si="294"/>
        <v>0</v>
      </c>
      <c r="AI637" s="158">
        <f t="shared" si="294"/>
        <v>0</v>
      </c>
      <c r="AJ637" s="158">
        <f t="shared" si="294"/>
        <v>0</v>
      </c>
      <c r="AK637" s="158">
        <f t="shared" si="294"/>
        <v>0</v>
      </c>
      <c r="AL637" s="158">
        <f t="shared" si="294"/>
        <v>0</v>
      </c>
      <c r="AM637" s="158">
        <f t="shared" ref="AM637:AP637" si="295">SUM(AM636)</f>
        <v>0</v>
      </c>
      <c r="AN637" s="158">
        <f t="shared" si="295"/>
        <v>0</v>
      </c>
      <c r="AO637" s="158">
        <f t="shared" si="295"/>
        <v>0</v>
      </c>
      <c r="AP637" s="158">
        <f t="shared" si="295"/>
        <v>0</v>
      </c>
      <c r="AQ637" s="396">
        <f>SUM(AQ636)</f>
        <v>20913120</v>
      </c>
    </row>
    <row r="638" spans="1:43" ht="15" x14ac:dyDescent="0.25">
      <c r="A638" s="20"/>
      <c r="B638" s="426"/>
      <c r="C638" s="162"/>
      <c r="D638" s="161"/>
      <c r="E638" s="162"/>
      <c r="F638" s="162"/>
      <c r="G638" s="161"/>
      <c r="H638" s="162"/>
      <c r="I638" s="161"/>
      <c r="J638" s="519"/>
      <c r="K638" s="519"/>
      <c r="L638" s="519"/>
      <c r="M638" s="164"/>
      <c r="N638" s="161"/>
      <c r="O638" s="162"/>
      <c r="P638" s="165">
        <f>P637+P633+P629</f>
        <v>0</v>
      </c>
      <c r="Q638" s="165">
        <f>Q637+Q633+Q629</f>
        <v>0</v>
      </c>
      <c r="R638" s="165">
        <f t="shared" ref="R638:AL638" si="296">R637+R633+R629</f>
        <v>0</v>
      </c>
      <c r="S638" s="165">
        <f t="shared" si="296"/>
        <v>0</v>
      </c>
      <c r="T638" s="165">
        <f t="shared" si="296"/>
        <v>0</v>
      </c>
      <c r="U638" s="165">
        <f t="shared" si="296"/>
        <v>0</v>
      </c>
      <c r="V638" s="165">
        <f t="shared" si="296"/>
        <v>0</v>
      </c>
      <c r="W638" s="165">
        <f t="shared" si="296"/>
        <v>0</v>
      </c>
      <c r="X638" s="165">
        <f t="shared" si="296"/>
        <v>0</v>
      </c>
      <c r="Y638" s="165">
        <f t="shared" si="296"/>
        <v>0</v>
      </c>
      <c r="Z638" s="165">
        <f t="shared" si="296"/>
        <v>10735698545</v>
      </c>
      <c r="AA638" s="165">
        <f t="shared" si="296"/>
        <v>0</v>
      </c>
      <c r="AB638" s="165">
        <f t="shared" si="296"/>
        <v>0</v>
      </c>
      <c r="AC638" s="165">
        <f t="shared" si="296"/>
        <v>5158342835</v>
      </c>
      <c r="AD638" s="165">
        <f t="shared" si="296"/>
        <v>0</v>
      </c>
      <c r="AE638" s="165">
        <f t="shared" si="296"/>
        <v>0</v>
      </c>
      <c r="AF638" s="165">
        <f t="shared" si="296"/>
        <v>0</v>
      </c>
      <c r="AG638" s="165">
        <f t="shared" si="296"/>
        <v>0</v>
      </c>
      <c r="AH638" s="165">
        <f t="shared" si="296"/>
        <v>0</v>
      </c>
      <c r="AI638" s="165">
        <f t="shared" si="296"/>
        <v>0</v>
      </c>
      <c r="AJ638" s="165">
        <f t="shared" si="296"/>
        <v>0</v>
      </c>
      <c r="AK638" s="165">
        <f t="shared" si="296"/>
        <v>0</v>
      </c>
      <c r="AL638" s="165">
        <f t="shared" si="296"/>
        <v>0</v>
      </c>
      <c r="AM638" s="165">
        <f t="shared" ref="AM638:AP638" si="297">AM637+AM633+AM629</f>
        <v>0</v>
      </c>
      <c r="AN638" s="165">
        <f t="shared" si="297"/>
        <v>515209</v>
      </c>
      <c r="AO638" s="165">
        <f t="shared" si="297"/>
        <v>0</v>
      </c>
      <c r="AP638" s="165">
        <f t="shared" si="297"/>
        <v>0</v>
      </c>
      <c r="AQ638" s="397">
        <f>AQ637+AQ633+AQ629</f>
        <v>15894556589</v>
      </c>
    </row>
    <row r="639" spans="1:43" s="28" customFormat="1" ht="15" x14ac:dyDescent="0.25">
      <c r="A639" s="20"/>
      <c r="B639" s="177"/>
      <c r="C639" s="795"/>
      <c r="D639" s="177"/>
      <c r="E639" s="795"/>
      <c r="F639" s="795"/>
      <c r="G639" s="177"/>
      <c r="H639" s="795"/>
      <c r="I639" s="177"/>
      <c r="J639" s="795"/>
      <c r="K639" s="795"/>
      <c r="L639" s="776"/>
      <c r="M639" s="234"/>
      <c r="N639" s="223"/>
      <c r="O639" s="795"/>
      <c r="P639" s="180"/>
      <c r="Q639" s="180"/>
      <c r="R639" s="180"/>
      <c r="S639" s="180"/>
      <c r="T639" s="180"/>
      <c r="U639" s="180"/>
      <c r="V639" s="180"/>
      <c r="W639" s="180"/>
      <c r="X639" s="180"/>
      <c r="Y639" s="180"/>
      <c r="Z639" s="180"/>
      <c r="AA639" s="180"/>
      <c r="AB639" s="180"/>
      <c r="AC639" s="180"/>
      <c r="AD639" s="180"/>
      <c r="AE639" s="180"/>
      <c r="AF639" s="180"/>
      <c r="AG639" s="180"/>
      <c r="AH639" s="180"/>
      <c r="AI639" s="180"/>
      <c r="AJ639" s="180"/>
      <c r="AK639" s="180"/>
      <c r="AL639" s="182"/>
      <c r="AM639" s="180"/>
      <c r="AN639" s="180"/>
      <c r="AO639" s="180"/>
      <c r="AP639" s="180"/>
      <c r="AQ639" s="742"/>
    </row>
    <row r="640" spans="1:43" s="28" customFormat="1" ht="15" x14ac:dyDescent="0.25">
      <c r="A640" s="20"/>
      <c r="B640" s="520">
        <v>14</v>
      </c>
      <c r="C640" s="145" t="s">
        <v>791</v>
      </c>
      <c r="D640" s="146"/>
      <c r="E640" s="146"/>
      <c r="F640" s="146"/>
      <c r="G640" s="146"/>
      <c r="H640" s="147"/>
      <c r="I640" s="146"/>
      <c r="J640" s="146"/>
      <c r="K640" s="146"/>
      <c r="L640" s="146"/>
      <c r="M640" s="652"/>
      <c r="N640" s="146"/>
      <c r="O640" s="146"/>
      <c r="P640" s="146"/>
      <c r="Q640" s="146"/>
      <c r="R640" s="146"/>
      <c r="S640" s="146"/>
      <c r="T640" s="146"/>
      <c r="U640" s="146"/>
      <c r="V640" s="146"/>
      <c r="W640" s="146"/>
      <c r="X640" s="146"/>
      <c r="Y640" s="146"/>
      <c r="Z640" s="146"/>
      <c r="AA640" s="146"/>
      <c r="AB640" s="146"/>
      <c r="AC640" s="146"/>
      <c r="AD640" s="146"/>
      <c r="AE640" s="146"/>
      <c r="AF640" s="146"/>
      <c r="AG640" s="146"/>
      <c r="AH640" s="146"/>
      <c r="AI640" s="146"/>
      <c r="AJ640" s="146"/>
      <c r="AK640" s="146"/>
      <c r="AL640" s="148"/>
      <c r="AM640" s="146"/>
      <c r="AN640" s="146"/>
      <c r="AO640" s="146"/>
      <c r="AP640" s="146"/>
      <c r="AQ640" s="649"/>
    </row>
    <row r="641" spans="1:43" s="28" customFormat="1" ht="15" x14ac:dyDescent="0.25">
      <c r="A641" s="19"/>
      <c r="B641" s="20"/>
      <c r="C641" s="795"/>
      <c r="D641" s="177"/>
      <c r="E641" s="795"/>
      <c r="F641" s="773"/>
      <c r="G641" s="344">
        <v>50</v>
      </c>
      <c r="H641" s="189" t="s">
        <v>792</v>
      </c>
      <c r="I641" s="189"/>
      <c r="J641" s="189"/>
      <c r="K641" s="189"/>
      <c r="L641" s="189"/>
      <c r="M641" s="189"/>
      <c r="N641" s="189"/>
      <c r="O641" s="189"/>
      <c r="P641" s="189"/>
      <c r="Q641" s="189"/>
      <c r="R641" s="189"/>
      <c r="S641" s="189"/>
      <c r="T641" s="189"/>
      <c r="U641" s="189"/>
      <c r="V641" s="189"/>
      <c r="W641" s="189"/>
      <c r="X641" s="189"/>
      <c r="Y641" s="189"/>
      <c r="Z641" s="189"/>
      <c r="AA641" s="189"/>
      <c r="AB641" s="189"/>
      <c r="AC641" s="189"/>
      <c r="AD641" s="189"/>
      <c r="AE641" s="189"/>
      <c r="AF641" s="189"/>
      <c r="AG641" s="189"/>
      <c r="AH641" s="189"/>
      <c r="AI641" s="189"/>
      <c r="AJ641" s="189"/>
      <c r="AK641" s="189"/>
      <c r="AL641" s="190"/>
      <c r="AM641" s="189"/>
      <c r="AN641" s="189"/>
      <c r="AO641" s="189"/>
      <c r="AP641" s="189"/>
      <c r="AQ641" s="648"/>
    </row>
    <row r="642" spans="1:43" ht="85.5" x14ac:dyDescent="0.25">
      <c r="A642" s="19"/>
      <c r="B642" s="764"/>
      <c r="C642" s="905">
        <v>27</v>
      </c>
      <c r="D642" s="908" t="s">
        <v>783</v>
      </c>
      <c r="E642" s="911">
        <v>0.89949999999999997</v>
      </c>
      <c r="F642" s="914">
        <v>0.92</v>
      </c>
      <c r="G642" s="858"/>
      <c r="H642" s="5">
        <v>166</v>
      </c>
      <c r="I642" s="6" t="s">
        <v>793</v>
      </c>
      <c r="J642" s="517">
        <v>1</v>
      </c>
      <c r="K642" s="513">
        <v>0.8</v>
      </c>
      <c r="L642" s="917" t="s">
        <v>669</v>
      </c>
      <c r="M642" s="854" t="s">
        <v>794</v>
      </c>
      <c r="N642" s="849" t="s">
        <v>795</v>
      </c>
      <c r="O642" s="775" t="s">
        <v>38</v>
      </c>
      <c r="P642" s="26">
        <v>0</v>
      </c>
      <c r="Q642" s="26">
        <v>0</v>
      </c>
      <c r="R642" s="26">
        <v>0</v>
      </c>
      <c r="S642" s="26">
        <v>0</v>
      </c>
      <c r="T642" s="26">
        <v>0</v>
      </c>
      <c r="U642" s="254">
        <v>0</v>
      </c>
      <c r="V642" s="254">
        <v>0</v>
      </c>
      <c r="W642" s="254"/>
      <c r="X642" s="254"/>
      <c r="Y642" s="254"/>
      <c r="Z642" s="254">
        <v>0</v>
      </c>
      <c r="AA642" s="254"/>
      <c r="AB642" s="254">
        <v>0</v>
      </c>
      <c r="AC642" s="26">
        <v>0</v>
      </c>
      <c r="AD642" s="254"/>
      <c r="AE642" s="254"/>
      <c r="AF642" s="254"/>
      <c r="AG642" s="254"/>
      <c r="AH642" s="254"/>
      <c r="AI642" s="254"/>
      <c r="AJ642" s="26">
        <v>0</v>
      </c>
      <c r="AK642" s="324">
        <v>0</v>
      </c>
      <c r="AL642" s="496">
        <v>0</v>
      </c>
      <c r="AM642" s="497"/>
      <c r="AN642" s="324">
        <v>0</v>
      </c>
      <c r="AO642" s="470">
        <v>0</v>
      </c>
      <c r="AP642" s="470"/>
      <c r="AQ642" s="742">
        <f>P642+Q642+R642+S642+T642+U642+V642+W642+X642+Y642+Z642+AA642+AB642+AC642+AD642+AE642+AF642+AG642+AH642+AI642+AJ642+AK642+AL642+AM642+AN642+AP642+AO642</f>
        <v>0</v>
      </c>
    </row>
    <row r="643" spans="1:43" s="28" customFormat="1" ht="57" x14ac:dyDescent="0.25">
      <c r="A643" s="19"/>
      <c r="B643" s="764"/>
      <c r="C643" s="906"/>
      <c r="D643" s="909"/>
      <c r="E643" s="912"/>
      <c r="F643" s="915"/>
      <c r="G643" s="860"/>
      <c r="H643" s="775">
        <v>167</v>
      </c>
      <c r="I643" s="774" t="s">
        <v>796</v>
      </c>
      <c r="J643" s="513">
        <v>15</v>
      </c>
      <c r="K643" s="513">
        <v>15</v>
      </c>
      <c r="L643" s="918"/>
      <c r="M643" s="855"/>
      <c r="N643" s="857"/>
      <c r="O643" s="775" t="s">
        <v>38</v>
      </c>
      <c r="P643" s="26">
        <v>0</v>
      </c>
      <c r="Q643" s="26">
        <v>0</v>
      </c>
      <c r="R643" s="26">
        <v>0</v>
      </c>
      <c r="S643" s="26">
        <v>0</v>
      </c>
      <c r="T643" s="26">
        <v>0</v>
      </c>
      <c r="U643" s="26">
        <v>0</v>
      </c>
      <c r="V643" s="27">
        <v>1839000000</v>
      </c>
      <c r="W643" s="26">
        <v>300000000</v>
      </c>
      <c r="X643" s="26">
        <f>4499205411-724090968</f>
        <v>3775114443</v>
      </c>
      <c r="Y643" s="26">
        <f>3001376249+1273669715+224955668+1439897889+35000000</f>
        <v>5974899521</v>
      </c>
      <c r="Z643" s="26">
        <v>6783036833</v>
      </c>
      <c r="AA643" s="26"/>
      <c r="AB643" s="26"/>
      <c r="AC643" s="26">
        <v>2846900107</v>
      </c>
      <c r="AD643" s="26"/>
      <c r="AE643" s="26"/>
      <c r="AF643" s="26"/>
      <c r="AG643" s="26"/>
      <c r="AH643" s="26"/>
      <c r="AI643" s="26"/>
      <c r="AJ643" s="26">
        <v>0</v>
      </c>
      <c r="AK643" s="26">
        <v>0</v>
      </c>
      <c r="AL643" s="110">
        <v>600000000</v>
      </c>
      <c r="AM643" s="38"/>
      <c r="AN643" s="26">
        <v>0</v>
      </c>
      <c r="AO643" s="27">
        <v>1815360145</v>
      </c>
      <c r="AP643" s="27"/>
      <c r="AQ643" s="742">
        <f>P643+Q643+R643+S643+T643+U643+V643+W643+X643+Y643+Z643+AA643+AB643+AC643+AD643+AE643+AF643+AG643+AH643+AI643+AJ643+AK643+AL643+AM643+AN643+AP643+AO643</f>
        <v>23934311049</v>
      </c>
    </row>
    <row r="644" spans="1:43" ht="81.75" customHeight="1" x14ac:dyDescent="0.25">
      <c r="A644" s="19"/>
      <c r="B644" s="764"/>
      <c r="C644" s="907"/>
      <c r="D644" s="910"/>
      <c r="E644" s="913"/>
      <c r="F644" s="916"/>
      <c r="G644" s="859"/>
      <c r="H644" s="5">
        <v>168</v>
      </c>
      <c r="I644" s="6" t="s">
        <v>797</v>
      </c>
      <c r="J644" s="517">
        <v>7</v>
      </c>
      <c r="K644" s="513">
        <v>14</v>
      </c>
      <c r="L644" s="919"/>
      <c r="M644" s="856"/>
      <c r="N644" s="850"/>
      <c r="O644" s="775" t="s">
        <v>38</v>
      </c>
      <c r="P644" s="26">
        <v>0</v>
      </c>
      <c r="Q644" s="26">
        <v>0</v>
      </c>
      <c r="R644" s="26">
        <v>0</v>
      </c>
      <c r="S644" s="26">
        <v>0</v>
      </c>
      <c r="T644" s="26">
        <v>0</v>
      </c>
      <c r="U644" s="254">
        <v>0</v>
      </c>
      <c r="V644" s="254">
        <v>0</v>
      </c>
      <c r="W644" s="254"/>
      <c r="X644" s="254"/>
      <c r="Y644" s="254"/>
      <c r="Z644" s="254"/>
      <c r="AA644" s="254"/>
      <c r="AB644" s="254">
        <v>0</v>
      </c>
      <c r="AC644" s="26">
        <v>0</v>
      </c>
      <c r="AD644" s="254"/>
      <c r="AE644" s="254"/>
      <c r="AF644" s="254"/>
      <c r="AG644" s="254"/>
      <c r="AH644" s="254"/>
      <c r="AI644" s="254"/>
      <c r="AJ644" s="26">
        <v>0</v>
      </c>
      <c r="AK644" s="324">
        <v>0</v>
      </c>
      <c r="AL644" s="496">
        <v>0</v>
      </c>
      <c r="AM644" s="497"/>
      <c r="AN644" s="324">
        <v>0</v>
      </c>
      <c r="AO644" s="293">
        <v>0</v>
      </c>
      <c r="AP644" s="293"/>
      <c r="AQ644" s="742">
        <f>P644+Q644+R644+S644+T644+U644+V644+W644+X644+Y644+Z644+AA644+AB644+AC644+AD644+AE644+AF644+AG644+AH644+AI644+AJ644+AK644+AL644+AM644+AN644+AP644+AO644</f>
        <v>0</v>
      </c>
    </row>
    <row r="645" spans="1:43" ht="15" x14ac:dyDescent="0.25">
      <c r="A645" s="19"/>
      <c r="B645" s="764"/>
      <c r="C645" s="773"/>
      <c r="D645" s="153"/>
      <c r="E645" s="579"/>
      <c r="F645" s="579"/>
      <c r="G645" s="154"/>
      <c r="H645" s="155"/>
      <c r="I645" s="154"/>
      <c r="J645" s="518"/>
      <c r="K645" s="518"/>
      <c r="L645" s="518"/>
      <c r="M645" s="157"/>
      <c r="N645" s="154"/>
      <c r="O645" s="155"/>
      <c r="P645" s="158">
        <f>SUM(P642:P644)</f>
        <v>0</v>
      </c>
      <c r="Q645" s="158">
        <f>SUM(Q642:Q644)</f>
        <v>0</v>
      </c>
      <c r="R645" s="158">
        <f t="shared" ref="R645:AL645" si="298">SUM(R642:R644)</f>
        <v>0</v>
      </c>
      <c r="S645" s="158">
        <f t="shared" si="298"/>
        <v>0</v>
      </c>
      <c r="T645" s="158">
        <f t="shared" si="298"/>
        <v>0</v>
      </c>
      <c r="U645" s="158">
        <f t="shared" si="298"/>
        <v>0</v>
      </c>
      <c r="V645" s="158">
        <f t="shared" si="298"/>
        <v>1839000000</v>
      </c>
      <c r="W645" s="158">
        <f t="shared" si="298"/>
        <v>300000000</v>
      </c>
      <c r="X645" s="158">
        <f t="shared" si="298"/>
        <v>3775114443</v>
      </c>
      <c r="Y645" s="158">
        <f t="shared" si="298"/>
        <v>5974899521</v>
      </c>
      <c r="Z645" s="158">
        <f t="shared" si="298"/>
        <v>6783036833</v>
      </c>
      <c r="AA645" s="158">
        <f t="shared" si="298"/>
        <v>0</v>
      </c>
      <c r="AB645" s="158">
        <f t="shared" si="298"/>
        <v>0</v>
      </c>
      <c r="AC645" s="158">
        <f t="shared" si="298"/>
        <v>2846900107</v>
      </c>
      <c r="AD645" s="158">
        <f t="shared" si="298"/>
        <v>0</v>
      </c>
      <c r="AE645" s="158">
        <f t="shared" si="298"/>
        <v>0</v>
      </c>
      <c r="AF645" s="158">
        <f t="shared" si="298"/>
        <v>0</v>
      </c>
      <c r="AG645" s="158">
        <f t="shared" si="298"/>
        <v>0</v>
      </c>
      <c r="AH645" s="158">
        <f t="shared" si="298"/>
        <v>0</v>
      </c>
      <c r="AI645" s="158">
        <f t="shared" si="298"/>
        <v>0</v>
      </c>
      <c r="AJ645" s="158">
        <f t="shared" si="298"/>
        <v>0</v>
      </c>
      <c r="AK645" s="158">
        <f t="shared" si="298"/>
        <v>0</v>
      </c>
      <c r="AL645" s="158">
        <f t="shared" si="298"/>
        <v>600000000</v>
      </c>
      <c r="AM645" s="158">
        <f t="shared" ref="AM645:AP645" si="299">SUM(AM642:AM644)</f>
        <v>0</v>
      </c>
      <c r="AN645" s="158">
        <f t="shared" si="299"/>
        <v>0</v>
      </c>
      <c r="AO645" s="158">
        <f t="shared" si="299"/>
        <v>1815360145</v>
      </c>
      <c r="AP645" s="158">
        <f t="shared" si="299"/>
        <v>0</v>
      </c>
      <c r="AQ645" s="396">
        <f>SUM(AQ642:AQ644)</f>
        <v>23934311049</v>
      </c>
    </row>
    <row r="646" spans="1:43" ht="15" x14ac:dyDescent="0.25">
      <c r="A646" s="19"/>
      <c r="B646" s="764"/>
      <c r="C646" s="795"/>
      <c r="D646" s="177"/>
      <c r="E646" s="795"/>
      <c r="F646" s="795"/>
      <c r="G646" s="177"/>
      <c r="H646" s="795"/>
      <c r="I646" s="177"/>
      <c r="J646" s="795"/>
      <c r="K646" s="795"/>
      <c r="L646" s="776"/>
      <c r="M646" s="234"/>
      <c r="N646" s="223"/>
      <c r="O646" s="795"/>
      <c r="P646" s="180"/>
      <c r="Q646" s="180"/>
      <c r="R646" s="180"/>
      <c r="S646" s="180"/>
      <c r="T646" s="180"/>
      <c r="U646" s="180"/>
      <c r="V646" s="180"/>
      <c r="W646" s="180"/>
      <c r="X646" s="180"/>
      <c r="Y646" s="180"/>
      <c r="Z646" s="180"/>
      <c r="AA646" s="180"/>
      <c r="AB646" s="180"/>
      <c r="AC646" s="180"/>
      <c r="AD646" s="180"/>
      <c r="AE646" s="180"/>
      <c r="AF646" s="180"/>
      <c r="AG646" s="180"/>
      <c r="AH646" s="180"/>
      <c r="AI646" s="180"/>
      <c r="AJ646" s="180"/>
      <c r="AK646" s="180"/>
      <c r="AL646" s="182"/>
      <c r="AM646" s="183"/>
      <c r="AN646" s="180"/>
      <c r="AO646" s="180"/>
      <c r="AP646" s="180"/>
      <c r="AQ646" s="758"/>
    </row>
    <row r="647" spans="1:43" ht="15" x14ac:dyDescent="0.25">
      <c r="A647" s="19"/>
      <c r="B647" s="764"/>
      <c r="C647" s="795"/>
      <c r="D647" s="153"/>
      <c r="E647" s="579"/>
      <c r="F647" s="579"/>
      <c r="G647" s="344">
        <v>51</v>
      </c>
      <c r="H647" s="189" t="s">
        <v>798</v>
      </c>
      <c r="I647" s="189"/>
      <c r="J647" s="189"/>
      <c r="K647" s="189"/>
      <c r="L647" s="189"/>
      <c r="M647" s="189"/>
      <c r="N647" s="189"/>
      <c r="O647" s="189"/>
      <c r="P647" s="189"/>
      <c r="Q647" s="189"/>
      <c r="R647" s="189"/>
      <c r="S647" s="189"/>
      <c r="T647" s="189"/>
      <c r="U647" s="189"/>
      <c r="V647" s="189"/>
      <c r="W647" s="189"/>
      <c r="X647" s="189"/>
      <c r="Y647" s="189"/>
      <c r="Z647" s="189"/>
      <c r="AA647" s="189"/>
      <c r="AB647" s="189"/>
      <c r="AC647" s="189"/>
      <c r="AD647" s="189"/>
      <c r="AE647" s="189"/>
      <c r="AF647" s="189"/>
      <c r="AG647" s="189"/>
      <c r="AH647" s="189"/>
      <c r="AI647" s="189"/>
      <c r="AJ647" s="189"/>
      <c r="AK647" s="189"/>
      <c r="AL647" s="190"/>
      <c r="AM647" s="189"/>
      <c r="AN647" s="189"/>
      <c r="AO647" s="189"/>
      <c r="AP647" s="189"/>
      <c r="AQ647" s="648"/>
    </row>
    <row r="648" spans="1:43" ht="59.25" customHeight="1" x14ac:dyDescent="0.25">
      <c r="A648" s="19"/>
      <c r="B648" s="764"/>
      <c r="C648" s="773" t="s">
        <v>702</v>
      </c>
      <c r="D648" s="786" t="s">
        <v>799</v>
      </c>
      <c r="E648" s="805">
        <v>0.6</v>
      </c>
      <c r="F648" s="805">
        <v>1</v>
      </c>
      <c r="G648" s="774"/>
      <c r="H648" s="775">
        <v>169</v>
      </c>
      <c r="I648" s="774" t="s">
        <v>800</v>
      </c>
      <c r="J648" s="513">
        <v>8</v>
      </c>
      <c r="K648" s="513">
        <v>12</v>
      </c>
      <c r="L648" s="513" t="s">
        <v>669</v>
      </c>
      <c r="M648" s="37" t="s">
        <v>801</v>
      </c>
      <c r="N648" s="774" t="s">
        <v>802</v>
      </c>
      <c r="O648" s="775" t="s">
        <v>38</v>
      </c>
      <c r="P648" s="324">
        <v>0</v>
      </c>
      <c r="Q648" s="324">
        <v>0</v>
      </c>
      <c r="R648" s="324">
        <v>0</v>
      </c>
      <c r="S648" s="324">
        <v>0</v>
      </c>
      <c r="T648" s="324">
        <v>0</v>
      </c>
      <c r="U648" s="324">
        <v>0</v>
      </c>
      <c r="V648" s="324">
        <v>0</v>
      </c>
      <c r="W648" s="324"/>
      <c r="X648" s="324"/>
      <c r="Y648" s="254"/>
      <c r="Z648" s="4">
        <v>44149920</v>
      </c>
      <c r="AA648" s="4"/>
      <c r="AB648" s="254">
        <v>0</v>
      </c>
      <c r="AC648" s="324">
        <v>0</v>
      </c>
      <c r="AD648" s="254"/>
      <c r="AE648" s="254"/>
      <c r="AF648" s="254"/>
      <c r="AG648" s="254"/>
      <c r="AH648" s="254"/>
      <c r="AI648" s="254"/>
      <c r="AJ648" s="324">
        <v>0</v>
      </c>
      <c r="AK648" s="324">
        <v>0</v>
      </c>
      <c r="AL648" s="496">
        <v>0</v>
      </c>
      <c r="AM648" s="497"/>
      <c r="AN648" s="324">
        <v>0</v>
      </c>
      <c r="AO648" s="293">
        <v>0</v>
      </c>
      <c r="AP648" s="293"/>
      <c r="AQ648" s="742">
        <f>P648+Q648+R648+S648+T648+U648+V648+W648+X648+Y648+Z648+AA648+AB648+AC648+AD648+AE648+AF648+AG648+AH648+AI648+AJ648+AK648+AL648+AM648+AN648+AP648+AO648</f>
        <v>44149920</v>
      </c>
    </row>
    <row r="649" spans="1:43" ht="15" x14ac:dyDescent="0.25">
      <c r="A649" s="19"/>
      <c r="B649" s="764"/>
      <c r="C649" s="773"/>
      <c r="D649" s="153"/>
      <c r="E649" s="579"/>
      <c r="F649" s="579"/>
      <c r="G649" s="154"/>
      <c r="H649" s="155"/>
      <c r="I649" s="154"/>
      <c r="J649" s="518"/>
      <c r="K649" s="518"/>
      <c r="L649" s="518"/>
      <c r="M649" s="157"/>
      <c r="N649" s="154"/>
      <c r="O649" s="155"/>
      <c r="P649" s="158">
        <f>P648</f>
        <v>0</v>
      </c>
      <c r="Q649" s="158">
        <f>Q648</f>
        <v>0</v>
      </c>
      <c r="R649" s="158">
        <f t="shared" ref="R649:AL649" si="300">R648</f>
        <v>0</v>
      </c>
      <c r="S649" s="158">
        <f t="shared" si="300"/>
        <v>0</v>
      </c>
      <c r="T649" s="158">
        <f t="shared" si="300"/>
        <v>0</v>
      </c>
      <c r="U649" s="158">
        <f t="shared" si="300"/>
        <v>0</v>
      </c>
      <c r="V649" s="158">
        <f t="shared" si="300"/>
        <v>0</v>
      </c>
      <c r="W649" s="158">
        <f t="shared" si="300"/>
        <v>0</v>
      </c>
      <c r="X649" s="158">
        <f t="shared" si="300"/>
        <v>0</v>
      </c>
      <c r="Y649" s="158">
        <f t="shared" si="300"/>
        <v>0</v>
      </c>
      <c r="Z649" s="158">
        <f t="shared" si="300"/>
        <v>44149920</v>
      </c>
      <c r="AA649" s="158">
        <f t="shared" si="300"/>
        <v>0</v>
      </c>
      <c r="AB649" s="158">
        <f t="shared" si="300"/>
        <v>0</v>
      </c>
      <c r="AC649" s="158">
        <f t="shared" si="300"/>
        <v>0</v>
      </c>
      <c r="AD649" s="158">
        <f t="shared" si="300"/>
        <v>0</v>
      </c>
      <c r="AE649" s="158">
        <f t="shared" si="300"/>
        <v>0</v>
      </c>
      <c r="AF649" s="158">
        <f t="shared" si="300"/>
        <v>0</v>
      </c>
      <c r="AG649" s="158">
        <f t="shared" si="300"/>
        <v>0</v>
      </c>
      <c r="AH649" s="158">
        <f t="shared" si="300"/>
        <v>0</v>
      </c>
      <c r="AI649" s="158">
        <f t="shared" si="300"/>
        <v>0</v>
      </c>
      <c r="AJ649" s="158">
        <f t="shared" si="300"/>
        <v>0</v>
      </c>
      <c r="AK649" s="158">
        <f t="shared" si="300"/>
        <v>0</v>
      </c>
      <c r="AL649" s="158">
        <f t="shared" si="300"/>
        <v>0</v>
      </c>
      <c r="AM649" s="158">
        <f t="shared" ref="AM649:AP649" si="301">AM648</f>
        <v>0</v>
      </c>
      <c r="AN649" s="158">
        <f t="shared" si="301"/>
        <v>0</v>
      </c>
      <c r="AO649" s="158">
        <f t="shared" si="301"/>
        <v>0</v>
      </c>
      <c r="AP649" s="158">
        <f t="shared" si="301"/>
        <v>0</v>
      </c>
      <c r="AQ649" s="396">
        <f>AQ648</f>
        <v>44149920</v>
      </c>
    </row>
    <row r="650" spans="1:43" ht="15" x14ac:dyDescent="0.25">
      <c r="A650" s="19"/>
      <c r="B650" s="764"/>
      <c r="C650" s="795"/>
      <c r="D650" s="177"/>
      <c r="E650" s="795"/>
      <c r="F650" s="795"/>
      <c r="G650" s="177"/>
      <c r="H650" s="795"/>
      <c r="I650" s="177"/>
      <c r="J650" s="795"/>
      <c r="K650" s="795"/>
      <c r="L650" s="776"/>
      <c r="M650" s="234"/>
      <c r="N650" s="223"/>
      <c r="O650" s="795"/>
      <c r="P650" s="180"/>
      <c r="Q650" s="180"/>
      <c r="R650" s="180"/>
      <c r="S650" s="180"/>
      <c r="T650" s="180"/>
      <c r="U650" s="180"/>
      <c r="V650" s="180"/>
      <c r="W650" s="180"/>
      <c r="X650" s="180"/>
      <c r="Y650" s="180"/>
      <c r="Z650" s="180"/>
      <c r="AA650" s="180"/>
      <c r="AB650" s="180"/>
      <c r="AC650" s="180"/>
      <c r="AD650" s="180"/>
      <c r="AE650" s="180"/>
      <c r="AF650" s="180"/>
      <c r="AG650" s="180"/>
      <c r="AH650" s="180"/>
      <c r="AI650" s="180"/>
      <c r="AJ650" s="180"/>
      <c r="AK650" s="180"/>
      <c r="AL650" s="182"/>
      <c r="AM650" s="183"/>
      <c r="AN650" s="180"/>
      <c r="AO650" s="180"/>
      <c r="AP650" s="180"/>
      <c r="AQ650" s="742"/>
    </row>
    <row r="651" spans="1:43" ht="15" x14ac:dyDescent="0.25">
      <c r="A651" s="19"/>
      <c r="B651" s="764"/>
      <c r="C651" s="795"/>
      <c r="D651" s="153"/>
      <c r="E651" s="579"/>
      <c r="F651" s="579"/>
      <c r="G651" s="344">
        <v>52</v>
      </c>
      <c r="H651" s="189" t="s">
        <v>803</v>
      </c>
      <c r="I651" s="189"/>
      <c r="J651" s="189"/>
      <c r="K651" s="189"/>
      <c r="L651" s="189"/>
      <c r="M651" s="189"/>
      <c r="N651" s="189"/>
      <c r="O651" s="189"/>
      <c r="P651" s="189"/>
      <c r="Q651" s="189"/>
      <c r="R651" s="189"/>
      <c r="S651" s="189"/>
      <c r="T651" s="189"/>
      <c r="U651" s="189"/>
      <c r="V651" s="189"/>
      <c r="W651" s="189"/>
      <c r="X651" s="189"/>
      <c r="Y651" s="189"/>
      <c r="Z651" s="189"/>
      <c r="AA651" s="189"/>
      <c r="AB651" s="189"/>
      <c r="AC651" s="189"/>
      <c r="AD651" s="189"/>
      <c r="AE651" s="189"/>
      <c r="AF651" s="189"/>
      <c r="AG651" s="189"/>
      <c r="AH651" s="189"/>
      <c r="AI651" s="189"/>
      <c r="AJ651" s="189"/>
      <c r="AK651" s="189"/>
      <c r="AL651" s="190"/>
      <c r="AM651" s="189"/>
      <c r="AN651" s="189"/>
      <c r="AO651" s="189"/>
      <c r="AP651" s="189"/>
      <c r="AQ651" s="648"/>
    </row>
    <row r="652" spans="1:43" ht="89.25" customHeight="1" x14ac:dyDescent="0.25">
      <c r="A652" s="19"/>
      <c r="B652" s="764"/>
      <c r="C652" s="861">
        <v>28</v>
      </c>
      <c r="D652" s="863" t="s">
        <v>804</v>
      </c>
      <c r="E652" s="865">
        <v>0.5</v>
      </c>
      <c r="F652" s="865">
        <v>1</v>
      </c>
      <c r="G652" s="23"/>
      <c r="H652" s="775">
        <v>170</v>
      </c>
      <c r="I652" s="774" t="s">
        <v>805</v>
      </c>
      <c r="J652" s="507">
        <v>14</v>
      </c>
      <c r="K652" s="507">
        <v>14</v>
      </c>
      <c r="L652" s="903" t="s">
        <v>669</v>
      </c>
      <c r="M652" s="854" t="s">
        <v>806</v>
      </c>
      <c r="N652" s="849" t="s">
        <v>807</v>
      </c>
      <c r="O652" s="775" t="s">
        <v>38</v>
      </c>
      <c r="P652" s="26">
        <v>0</v>
      </c>
      <c r="Q652" s="26">
        <v>0</v>
      </c>
      <c r="R652" s="26">
        <v>0</v>
      </c>
      <c r="S652" s="26">
        <v>0</v>
      </c>
      <c r="T652" s="26">
        <v>0</v>
      </c>
      <c r="U652" s="26">
        <v>0</v>
      </c>
      <c r="V652" s="26">
        <v>0</v>
      </c>
      <c r="W652" s="26"/>
      <c r="X652" s="26"/>
      <c r="Y652" s="26"/>
      <c r="Z652" s="522">
        <v>39484445</v>
      </c>
      <c r="AA652" s="522"/>
      <c r="AB652" s="254">
        <v>0</v>
      </c>
      <c r="AC652" s="26">
        <v>0</v>
      </c>
      <c r="AD652" s="26">
        <v>0</v>
      </c>
      <c r="AE652" s="26">
        <v>0</v>
      </c>
      <c r="AF652" s="26"/>
      <c r="AG652" s="26">
        <v>0</v>
      </c>
      <c r="AH652" s="26">
        <v>0</v>
      </c>
      <c r="AI652" s="26">
        <v>0</v>
      </c>
      <c r="AJ652" s="26">
        <v>0</v>
      </c>
      <c r="AK652" s="26">
        <v>0</v>
      </c>
      <c r="AL652" s="110">
        <v>0</v>
      </c>
      <c r="AM652" s="38"/>
      <c r="AN652" s="324">
        <v>0</v>
      </c>
      <c r="AO652" s="293">
        <v>0</v>
      </c>
      <c r="AP652" s="293"/>
      <c r="AQ652" s="742">
        <f>P652+Q652+R652+S652+T652+U652+V652+W652+X652+Y652+Z652+AA652+AB652+AC652+AD652+AE652+AF652+AG652+AH652+AI652+AJ652+AK652+AL652+AM652+AN652+AP652+AO652</f>
        <v>39484445</v>
      </c>
    </row>
    <row r="653" spans="1:43" ht="48" customHeight="1" x14ac:dyDescent="0.25">
      <c r="A653" s="19"/>
      <c r="B653" s="764"/>
      <c r="C653" s="862"/>
      <c r="D653" s="864"/>
      <c r="E653" s="866"/>
      <c r="F653" s="866"/>
      <c r="G653" s="29"/>
      <c r="H653" s="775">
        <v>171</v>
      </c>
      <c r="I653" s="774" t="s">
        <v>808</v>
      </c>
      <c r="J653" s="507">
        <v>1</v>
      </c>
      <c r="K653" s="507">
        <v>1</v>
      </c>
      <c r="L653" s="904"/>
      <c r="M653" s="856"/>
      <c r="N653" s="850"/>
      <c r="O653" s="775" t="s">
        <v>38</v>
      </c>
      <c r="P653" s="26">
        <v>0</v>
      </c>
      <c r="Q653" s="26">
        <v>0</v>
      </c>
      <c r="R653" s="26">
        <v>0</v>
      </c>
      <c r="S653" s="26">
        <v>0</v>
      </c>
      <c r="T653" s="26">
        <v>0</v>
      </c>
      <c r="U653" s="26">
        <v>0</v>
      </c>
      <c r="V653" s="26">
        <v>0</v>
      </c>
      <c r="W653" s="26"/>
      <c r="X653" s="26"/>
      <c r="Y653" s="26"/>
      <c r="Z653" s="522">
        <v>98711111</v>
      </c>
      <c r="AA653" s="522"/>
      <c r="AB653" s="254">
        <v>0</v>
      </c>
      <c r="AC653" s="26">
        <v>0</v>
      </c>
      <c r="AD653" s="26">
        <v>0</v>
      </c>
      <c r="AE653" s="26">
        <v>0</v>
      </c>
      <c r="AF653" s="26"/>
      <c r="AG653" s="26">
        <v>0</v>
      </c>
      <c r="AH653" s="26">
        <v>0</v>
      </c>
      <c r="AI653" s="26">
        <v>0</v>
      </c>
      <c r="AJ653" s="26">
        <v>0</v>
      </c>
      <c r="AK653" s="26">
        <v>0</v>
      </c>
      <c r="AL653" s="110">
        <v>0</v>
      </c>
      <c r="AM653" s="38"/>
      <c r="AN653" s="324">
        <v>0</v>
      </c>
      <c r="AO653" s="293">
        <v>0</v>
      </c>
      <c r="AP653" s="293"/>
      <c r="AQ653" s="742">
        <f>P653+Q653+R653+S653+T653+U653+V653+W653+X653+Y653+Z653+AA653+AB653+AC653+AD653+AE653+AF653+AG653+AH653+AI653+AJ653+AK653+AL653+AM653+AN653+AP653+AO653</f>
        <v>98711111</v>
      </c>
    </row>
    <row r="654" spans="1:43" s="28" customFormat="1" ht="118.5" customHeight="1" x14ac:dyDescent="0.25">
      <c r="A654" s="19"/>
      <c r="B654" s="764"/>
      <c r="C654" s="773">
        <v>28</v>
      </c>
      <c r="D654" s="774" t="s">
        <v>804</v>
      </c>
      <c r="E654" s="80">
        <v>0.5</v>
      </c>
      <c r="F654" s="80">
        <v>1</v>
      </c>
      <c r="G654" s="30"/>
      <c r="H654" s="775">
        <v>172</v>
      </c>
      <c r="I654" s="774" t="s">
        <v>908</v>
      </c>
      <c r="J654" s="513">
        <v>12</v>
      </c>
      <c r="K654" s="513">
        <v>12</v>
      </c>
      <c r="L654" s="513" t="s">
        <v>669</v>
      </c>
      <c r="M654" s="37" t="s">
        <v>809</v>
      </c>
      <c r="N654" s="774" t="s">
        <v>810</v>
      </c>
      <c r="O654" s="775" t="s">
        <v>38</v>
      </c>
      <c r="P654" s="26">
        <v>0</v>
      </c>
      <c r="Q654" s="26">
        <v>0</v>
      </c>
      <c r="R654" s="26">
        <v>0</v>
      </c>
      <c r="S654" s="26">
        <v>0</v>
      </c>
      <c r="T654" s="26">
        <v>0</v>
      </c>
      <c r="U654" s="26">
        <v>0</v>
      </c>
      <c r="V654" s="26">
        <v>0</v>
      </c>
      <c r="W654" s="26"/>
      <c r="X654" s="26"/>
      <c r="Y654" s="26"/>
      <c r="Z654" s="523">
        <v>6004444</v>
      </c>
      <c r="AA654" s="523"/>
      <c r="AB654" s="26">
        <v>0</v>
      </c>
      <c r="AC654" s="26">
        <v>0</v>
      </c>
      <c r="AD654" s="26">
        <v>0</v>
      </c>
      <c r="AE654" s="26">
        <v>0</v>
      </c>
      <c r="AF654" s="26"/>
      <c r="AG654" s="26">
        <v>0</v>
      </c>
      <c r="AH654" s="26">
        <v>0</v>
      </c>
      <c r="AI654" s="26">
        <v>0</v>
      </c>
      <c r="AJ654" s="26">
        <v>0</v>
      </c>
      <c r="AK654" s="26">
        <v>0</v>
      </c>
      <c r="AL654" s="110">
        <f>300000000+400000000</f>
        <v>700000000</v>
      </c>
      <c r="AM654" s="38"/>
      <c r="AN654" s="26">
        <v>0</v>
      </c>
      <c r="AO654" s="27">
        <v>0</v>
      </c>
      <c r="AP654" s="27"/>
      <c r="AQ654" s="742">
        <f>P654+Q654+R654+S654+T654+U654+V654+W654+X654+Y654+Z654+AA654+AB654+AC654+AD654+AE654+AF654+AG654+AH654+AI654+AJ654+AK654+AL654+AM654+AN654+AP654+AO654</f>
        <v>706004444</v>
      </c>
    </row>
    <row r="655" spans="1:43" ht="15" x14ac:dyDescent="0.25">
      <c r="A655" s="19"/>
      <c r="B655" s="764"/>
      <c r="C655" s="773"/>
      <c r="D655" s="153"/>
      <c r="E655" s="579"/>
      <c r="F655" s="579"/>
      <c r="G655" s="154"/>
      <c r="H655" s="155"/>
      <c r="I655" s="154"/>
      <c r="J655" s="518"/>
      <c r="K655" s="518"/>
      <c r="L655" s="518"/>
      <c r="M655" s="157"/>
      <c r="N655" s="154"/>
      <c r="O655" s="155"/>
      <c r="P655" s="158">
        <f>SUM(P652:P654)</f>
        <v>0</v>
      </c>
      <c r="Q655" s="158">
        <f t="shared" ref="Q655:AK655" si="302">SUM(Q652:Q654)</f>
        <v>0</v>
      </c>
      <c r="R655" s="158">
        <f t="shared" si="302"/>
        <v>0</v>
      </c>
      <c r="S655" s="158">
        <f t="shared" si="302"/>
        <v>0</v>
      </c>
      <c r="T655" s="158">
        <f t="shared" si="302"/>
        <v>0</v>
      </c>
      <c r="U655" s="158">
        <f t="shared" si="302"/>
        <v>0</v>
      </c>
      <c r="V655" s="158">
        <f t="shared" si="302"/>
        <v>0</v>
      </c>
      <c r="W655" s="158">
        <f t="shared" si="302"/>
        <v>0</v>
      </c>
      <c r="X655" s="158">
        <f t="shared" si="302"/>
        <v>0</v>
      </c>
      <c r="Y655" s="158">
        <f t="shared" si="302"/>
        <v>0</v>
      </c>
      <c r="Z655" s="158">
        <f t="shared" si="302"/>
        <v>144200000</v>
      </c>
      <c r="AA655" s="158">
        <f t="shared" si="302"/>
        <v>0</v>
      </c>
      <c r="AB655" s="158">
        <f t="shared" si="302"/>
        <v>0</v>
      </c>
      <c r="AC655" s="158">
        <f t="shared" si="302"/>
        <v>0</v>
      </c>
      <c r="AD655" s="158">
        <f t="shared" si="302"/>
        <v>0</v>
      </c>
      <c r="AE655" s="158">
        <f t="shared" si="302"/>
        <v>0</v>
      </c>
      <c r="AF655" s="158">
        <f t="shared" si="302"/>
        <v>0</v>
      </c>
      <c r="AG655" s="158">
        <f t="shared" si="302"/>
        <v>0</v>
      </c>
      <c r="AH655" s="158">
        <f t="shared" si="302"/>
        <v>0</v>
      </c>
      <c r="AI655" s="158">
        <f t="shared" si="302"/>
        <v>0</v>
      </c>
      <c r="AJ655" s="158">
        <f t="shared" si="302"/>
        <v>0</v>
      </c>
      <c r="AK655" s="158">
        <f t="shared" si="302"/>
        <v>0</v>
      </c>
      <c r="AL655" s="158">
        <f t="shared" ref="AL655:AP655" si="303">SUM(AL652:AL654)</f>
        <v>700000000</v>
      </c>
      <c r="AM655" s="158">
        <f t="shared" si="303"/>
        <v>0</v>
      </c>
      <c r="AN655" s="158">
        <f t="shared" si="303"/>
        <v>0</v>
      </c>
      <c r="AO655" s="158">
        <f t="shared" si="303"/>
        <v>0</v>
      </c>
      <c r="AP655" s="158">
        <f t="shared" si="303"/>
        <v>0</v>
      </c>
      <c r="AQ655" s="396">
        <f>SUM(AQ652:AQ654)</f>
        <v>844200000</v>
      </c>
    </row>
    <row r="656" spans="1:43" ht="15" x14ac:dyDescent="0.25">
      <c r="A656" s="19"/>
      <c r="B656" s="764"/>
      <c r="C656" s="795"/>
      <c r="D656" s="177"/>
      <c r="E656" s="795"/>
      <c r="F656" s="795"/>
      <c r="G656" s="177"/>
      <c r="H656" s="795"/>
      <c r="I656" s="177"/>
      <c r="J656" s="795"/>
      <c r="K656" s="795"/>
      <c r="L656" s="776"/>
      <c r="M656" s="234"/>
      <c r="N656" s="223"/>
      <c r="O656" s="795"/>
      <c r="P656" s="180"/>
      <c r="Q656" s="180"/>
      <c r="R656" s="180"/>
      <c r="S656" s="180"/>
      <c r="T656" s="180"/>
      <c r="U656" s="180"/>
      <c r="V656" s="180"/>
      <c r="W656" s="180"/>
      <c r="X656" s="180"/>
      <c r="Y656" s="180"/>
      <c r="Z656" s="180"/>
      <c r="AA656" s="180"/>
      <c r="AB656" s="180"/>
      <c r="AC656" s="180"/>
      <c r="AD656" s="180"/>
      <c r="AE656" s="180"/>
      <c r="AF656" s="180"/>
      <c r="AG656" s="180"/>
      <c r="AH656" s="180"/>
      <c r="AI656" s="180"/>
      <c r="AJ656" s="180"/>
      <c r="AK656" s="180"/>
      <c r="AL656" s="182"/>
      <c r="AM656" s="183"/>
      <c r="AN656" s="180"/>
      <c r="AO656" s="180"/>
      <c r="AP656" s="180"/>
      <c r="AQ656" s="742"/>
    </row>
    <row r="657" spans="1:43" ht="15" x14ac:dyDescent="0.25">
      <c r="A657" s="19"/>
      <c r="B657" s="764"/>
      <c r="C657" s="795"/>
      <c r="D657" s="153"/>
      <c r="E657" s="579"/>
      <c r="F657" s="579"/>
      <c r="G657" s="344">
        <v>53</v>
      </c>
      <c r="H657" s="189" t="s">
        <v>811</v>
      </c>
      <c r="I657" s="189"/>
      <c r="J657" s="189"/>
      <c r="K657" s="189"/>
      <c r="L657" s="189"/>
      <c r="M657" s="189"/>
      <c r="N657" s="189"/>
      <c r="O657" s="189"/>
      <c r="P657" s="189"/>
      <c r="Q657" s="189"/>
      <c r="R657" s="189"/>
      <c r="S657" s="189"/>
      <c r="T657" s="189"/>
      <c r="U657" s="189"/>
      <c r="V657" s="189"/>
      <c r="W657" s="189"/>
      <c r="X657" s="189"/>
      <c r="Y657" s="189"/>
      <c r="Z657" s="189"/>
      <c r="AA657" s="189"/>
      <c r="AB657" s="189"/>
      <c r="AC657" s="189"/>
      <c r="AD657" s="189"/>
      <c r="AE657" s="189"/>
      <c r="AF657" s="189"/>
      <c r="AG657" s="189"/>
      <c r="AH657" s="189"/>
      <c r="AI657" s="189"/>
      <c r="AJ657" s="189"/>
      <c r="AK657" s="189"/>
      <c r="AL657" s="190"/>
      <c r="AM657" s="189"/>
      <c r="AN657" s="189"/>
      <c r="AO657" s="189"/>
      <c r="AP657" s="189"/>
      <c r="AQ657" s="648"/>
    </row>
    <row r="658" spans="1:43" ht="99.75" x14ac:dyDescent="0.25">
      <c r="A658" s="19"/>
      <c r="B658" s="764"/>
      <c r="C658" s="861">
        <v>28</v>
      </c>
      <c r="D658" s="863" t="s">
        <v>804</v>
      </c>
      <c r="E658" s="865">
        <v>0.5</v>
      </c>
      <c r="F658" s="865">
        <v>1</v>
      </c>
      <c r="G658" s="858"/>
      <c r="H658" s="775">
        <v>173</v>
      </c>
      <c r="I658" s="774" t="s">
        <v>812</v>
      </c>
      <c r="J658" s="507" t="s">
        <v>30</v>
      </c>
      <c r="K658" s="507">
        <v>7</v>
      </c>
      <c r="L658" s="903" t="s">
        <v>669</v>
      </c>
      <c r="M658" s="854" t="s">
        <v>813</v>
      </c>
      <c r="N658" s="849" t="s">
        <v>814</v>
      </c>
      <c r="O658" s="775" t="s">
        <v>38</v>
      </c>
      <c r="P658" s="26">
        <v>0</v>
      </c>
      <c r="Q658" s="26">
        <v>0</v>
      </c>
      <c r="R658" s="26">
        <v>0</v>
      </c>
      <c r="S658" s="26">
        <v>0</v>
      </c>
      <c r="T658" s="26">
        <v>0</v>
      </c>
      <c r="U658" s="26">
        <v>0</v>
      </c>
      <c r="V658" s="26">
        <v>0</v>
      </c>
      <c r="W658" s="26"/>
      <c r="X658" s="26"/>
      <c r="Y658" s="26"/>
      <c r="Z658" s="4">
        <v>35436120</v>
      </c>
      <c r="AA658" s="4"/>
      <c r="AB658" s="254">
        <v>0</v>
      </c>
      <c r="AC658" s="26">
        <v>0</v>
      </c>
      <c r="AD658" s="254"/>
      <c r="AE658" s="254"/>
      <c r="AF658" s="254"/>
      <c r="AG658" s="254"/>
      <c r="AH658" s="254"/>
      <c r="AI658" s="254"/>
      <c r="AJ658" s="324">
        <v>0</v>
      </c>
      <c r="AK658" s="324">
        <v>0</v>
      </c>
      <c r="AL658" s="496">
        <v>0</v>
      </c>
      <c r="AM658" s="497"/>
      <c r="AN658" s="324">
        <v>0</v>
      </c>
      <c r="AO658" s="293">
        <v>0</v>
      </c>
      <c r="AP658" s="293"/>
      <c r="AQ658" s="742">
        <f>P658+Q658+R658+S658+T658+U658+V658+W658+X658+Y658+Z658+AA658+AB658+AC658+AD658+AE658+AF658+AG658+AH658+AI658+AJ658+AK658+AL658+AM658+AN658+AP658+AO658</f>
        <v>35436120</v>
      </c>
    </row>
    <row r="659" spans="1:43" ht="54" customHeight="1" x14ac:dyDescent="0.25">
      <c r="A659" s="19"/>
      <c r="B659" s="764"/>
      <c r="C659" s="862"/>
      <c r="D659" s="864"/>
      <c r="E659" s="866"/>
      <c r="F659" s="866"/>
      <c r="G659" s="859"/>
      <c r="H659" s="775">
        <v>174</v>
      </c>
      <c r="I659" s="774" t="s">
        <v>815</v>
      </c>
      <c r="J659" s="775">
        <v>100</v>
      </c>
      <c r="K659" s="775">
        <v>150</v>
      </c>
      <c r="L659" s="904"/>
      <c r="M659" s="856"/>
      <c r="N659" s="850"/>
      <c r="O659" s="775" t="s">
        <v>38</v>
      </c>
      <c r="P659" s="26">
        <v>0</v>
      </c>
      <c r="Q659" s="26">
        <v>0</v>
      </c>
      <c r="R659" s="26">
        <v>0</v>
      </c>
      <c r="S659" s="26">
        <v>0</v>
      </c>
      <c r="T659" s="26">
        <v>0</v>
      </c>
      <c r="U659" s="26">
        <v>0</v>
      </c>
      <c r="V659" s="26">
        <v>0</v>
      </c>
      <c r="W659" s="26"/>
      <c r="X659" s="26"/>
      <c r="Y659" s="26"/>
      <c r="Z659" s="254">
        <v>0</v>
      </c>
      <c r="AA659" s="254"/>
      <c r="AB659" s="254">
        <v>0</v>
      </c>
      <c r="AC659" s="26">
        <v>0</v>
      </c>
      <c r="AD659" s="254"/>
      <c r="AE659" s="254"/>
      <c r="AF659" s="254"/>
      <c r="AG659" s="254"/>
      <c r="AH659" s="254"/>
      <c r="AI659" s="254"/>
      <c r="AJ659" s="324">
        <v>0</v>
      </c>
      <c r="AK659" s="324">
        <v>0</v>
      </c>
      <c r="AL659" s="496">
        <v>0</v>
      </c>
      <c r="AM659" s="497"/>
      <c r="AN659" s="324">
        <v>0</v>
      </c>
      <c r="AO659" s="293">
        <v>0</v>
      </c>
      <c r="AP659" s="293"/>
      <c r="AQ659" s="742">
        <f>P659+Q659+R659+S659+T659+U659+V659+W659+X659+Y659+Z659+AA659+AB659+AC659+AD659+AE659+AF659+AG659+AH659+AI659+AJ659+AK659+AL659+AM659+AN659+AP659+AO659</f>
        <v>0</v>
      </c>
    </row>
    <row r="660" spans="1:43" ht="15" x14ac:dyDescent="0.25">
      <c r="A660" s="19"/>
      <c r="B660" s="764"/>
      <c r="C660" s="773"/>
      <c r="D660" s="153"/>
      <c r="E660" s="579"/>
      <c r="F660" s="579"/>
      <c r="G660" s="154"/>
      <c r="H660" s="155"/>
      <c r="I660" s="154"/>
      <c r="J660" s="155"/>
      <c r="K660" s="155"/>
      <c r="L660" s="155"/>
      <c r="M660" s="157"/>
      <c r="N660" s="154"/>
      <c r="O660" s="155"/>
      <c r="P660" s="158">
        <f>SUM(P658:P659)</f>
        <v>0</v>
      </c>
      <c r="Q660" s="158">
        <f t="shared" ref="Q660:AK660" si="304">SUM(Q658:Q659)</f>
        <v>0</v>
      </c>
      <c r="R660" s="158">
        <f t="shared" si="304"/>
        <v>0</v>
      </c>
      <c r="S660" s="158">
        <f t="shared" si="304"/>
        <v>0</v>
      </c>
      <c r="T660" s="158">
        <f t="shared" si="304"/>
        <v>0</v>
      </c>
      <c r="U660" s="158">
        <f t="shared" si="304"/>
        <v>0</v>
      </c>
      <c r="V660" s="158">
        <f t="shared" si="304"/>
        <v>0</v>
      </c>
      <c r="W660" s="158">
        <f t="shared" si="304"/>
        <v>0</v>
      </c>
      <c r="X660" s="158">
        <f t="shared" si="304"/>
        <v>0</v>
      </c>
      <c r="Y660" s="158">
        <f t="shared" si="304"/>
        <v>0</v>
      </c>
      <c r="Z660" s="158">
        <f t="shared" si="304"/>
        <v>35436120</v>
      </c>
      <c r="AA660" s="158">
        <f t="shared" si="304"/>
        <v>0</v>
      </c>
      <c r="AB660" s="158">
        <f t="shared" si="304"/>
        <v>0</v>
      </c>
      <c r="AC660" s="158">
        <f t="shared" si="304"/>
        <v>0</v>
      </c>
      <c r="AD660" s="158">
        <f t="shared" si="304"/>
        <v>0</v>
      </c>
      <c r="AE660" s="158">
        <f t="shared" si="304"/>
        <v>0</v>
      </c>
      <c r="AF660" s="158">
        <f t="shared" si="304"/>
        <v>0</v>
      </c>
      <c r="AG660" s="158">
        <f t="shared" si="304"/>
        <v>0</v>
      </c>
      <c r="AH660" s="158">
        <f t="shared" si="304"/>
        <v>0</v>
      </c>
      <c r="AI660" s="158">
        <f t="shared" si="304"/>
        <v>0</v>
      </c>
      <c r="AJ660" s="158">
        <f t="shared" si="304"/>
        <v>0</v>
      </c>
      <c r="AK660" s="158">
        <f t="shared" si="304"/>
        <v>0</v>
      </c>
      <c r="AL660" s="158">
        <f t="shared" ref="AL660:AP660" si="305">SUM(AL658:AL659)</f>
        <v>0</v>
      </c>
      <c r="AM660" s="158">
        <f t="shared" si="305"/>
        <v>0</v>
      </c>
      <c r="AN660" s="158">
        <f t="shared" si="305"/>
        <v>0</v>
      </c>
      <c r="AO660" s="158">
        <f t="shared" si="305"/>
        <v>0</v>
      </c>
      <c r="AP660" s="158">
        <f t="shared" si="305"/>
        <v>0</v>
      </c>
      <c r="AQ660" s="396">
        <f>SUM(AQ658:AQ659)</f>
        <v>35436120</v>
      </c>
    </row>
    <row r="661" spans="1:43" ht="15" x14ac:dyDescent="0.25">
      <c r="A661" s="19"/>
      <c r="B661" s="764"/>
      <c r="C661" s="795"/>
      <c r="D661" s="177"/>
      <c r="E661" s="795"/>
      <c r="F661" s="795"/>
      <c r="G661" s="177"/>
      <c r="H661" s="795"/>
      <c r="I661" s="177"/>
      <c r="J661" s="795"/>
      <c r="K661" s="795"/>
      <c r="L661" s="776"/>
      <c r="M661" s="234"/>
      <c r="N661" s="223"/>
      <c r="O661" s="795"/>
      <c r="P661" s="180"/>
      <c r="Q661" s="180"/>
      <c r="R661" s="180"/>
      <c r="S661" s="180"/>
      <c r="T661" s="180"/>
      <c r="U661" s="180"/>
      <c r="V661" s="180"/>
      <c r="W661" s="180"/>
      <c r="X661" s="180"/>
      <c r="Y661" s="180"/>
      <c r="Z661" s="180"/>
      <c r="AA661" s="180"/>
      <c r="AB661" s="180"/>
      <c r="AC661" s="180"/>
      <c r="AD661" s="180"/>
      <c r="AE661" s="180"/>
      <c r="AF661" s="180"/>
      <c r="AG661" s="180"/>
      <c r="AH661" s="180"/>
      <c r="AI661" s="180"/>
      <c r="AJ661" s="180"/>
      <c r="AK661" s="180"/>
      <c r="AL661" s="182"/>
      <c r="AM661" s="183"/>
      <c r="AN661" s="180"/>
      <c r="AO661" s="180"/>
      <c r="AP661" s="180"/>
      <c r="AQ661" s="742"/>
    </row>
    <row r="662" spans="1:43" ht="15" x14ac:dyDescent="0.25">
      <c r="A662" s="19"/>
      <c r="B662" s="764"/>
      <c r="C662" s="795"/>
      <c r="D662" s="153"/>
      <c r="E662" s="579"/>
      <c r="F662" s="579"/>
      <c r="G662" s="344">
        <v>54</v>
      </c>
      <c r="H662" s="189" t="s">
        <v>816</v>
      </c>
      <c r="I662" s="189"/>
      <c r="J662" s="189"/>
      <c r="K662" s="189"/>
      <c r="L662" s="189"/>
      <c r="M662" s="189"/>
      <c r="N662" s="189"/>
      <c r="O662" s="189"/>
      <c r="P662" s="189"/>
      <c r="Q662" s="189"/>
      <c r="R662" s="189"/>
      <c r="S662" s="189"/>
      <c r="T662" s="189"/>
      <c r="U662" s="189"/>
      <c r="V662" s="189"/>
      <c r="W662" s="189"/>
      <c r="X662" s="189"/>
      <c r="Y662" s="189"/>
      <c r="Z662" s="189"/>
      <c r="AA662" s="189"/>
      <c r="AB662" s="189"/>
      <c r="AC662" s="189"/>
      <c r="AD662" s="189"/>
      <c r="AE662" s="189"/>
      <c r="AF662" s="189"/>
      <c r="AG662" s="189"/>
      <c r="AH662" s="189"/>
      <c r="AI662" s="189"/>
      <c r="AJ662" s="189"/>
      <c r="AK662" s="189"/>
      <c r="AL662" s="190"/>
      <c r="AM662" s="189"/>
      <c r="AN662" s="189"/>
      <c r="AO662" s="189"/>
      <c r="AP662" s="189"/>
      <c r="AQ662" s="648"/>
    </row>
    <row r="663" spans="1:43" ht="57" customHeight="1" x14ac:dyDescent="0.25">
      <c r="A663" s="19"/>
      <c r="B663" s="764"/>
      <c r="C663" s="861">
        <v>28</v>
      </c>
      <c r="D663" s="863" t="s">
        <v>804</v>
      </c>
      <c r="E663" s="865">
        <v>0.5</v>
      </c>
      <c r="F663" s="865">
        <v>1</v>
      </c>
      <c r="G663" s="858"/>
      <c r="H663" s="775">
        <v>175</v>
      </c>
      <c r="I663" s="774" t="s">
        <v>817</v>
      </c>
      <c r="J663" s="775">
        <v>10</v>
      </c>
      <c r="K663" s="775">
        <v>14</v>
      </c>
      <c r="L663" s="858" t="s">
        <v>669</v>
      </c>
      <c r="M663" s="854" t="s">
        <v>818</v>
      </c>
      <c r="N663" s="849" t="s">
        <v>819</v>
      </c>
      <c r="O663" s="775" t="s">
        <v>38</v>
      </c>
      <c r="P663" s="26">
        <v>0</v>
      </c>
      <c r="Q663" s="26">
        <v>0</v>
      </c>
      <c r="R663" s="26">
        <v>0</v>
      </c>
      <c r="S663" s="26">
        <v>0</v>
      </c>
      <c r="T663" s="26">
        <v>0</v>
      </c>
      <c r="U663" s="26">
        <v>0</v>
      </c>
      <c r="V663" s="26">
        <v>0</v>
      </c>
      <c r="W663" s="26"/>
      <c r="X663" s="26"/>
      <c r="Y663" s="26"/>
      <c r="Z663" s="4">
        <v>23817720</v>
      </c>
      <c r="AA663" s="4"/>
      <c r="AB663" s="26">
        <v>0</v>
      </c>
      <c r="AC663" s="26">
        <v>0</v>
      </c>
      <c r="AD663" s="324">
        <v>0</v>
      </c>
      <c r="AE663" s="324">
        <v>0</v>
      </c>
      <c r="AF663" s="324"/>
      <c r="AG663" s="324">
        <v>0</v>
      </c>
      <c r="AH663" s="324">
        <v>0</v>
      </c>
      <c r="AI663" s="324">
        <v>0</v>
      </c>
      <c r="AJ663" s="324">
        <v>0</v>
      </c>
      <c r="AK663" s="324">
        <v>0</v>
      </c>
      <c r="AL663" s="496">
        <v>0</v>
      </c>
      <c r="AM663" s="497"/>
      <c r="AN663" s="324">
        <v>0</v>
      </c>
      <c r="AO663" s="293">
        <v>0</v>
      </c>
      <c r="AP663" s="293"/>
      <c r="AQ663" s="742">
        <f>P663+Q663+R663+S663+T663+U663+V663+W663+X663+Y663+Z663+AA663+AB663+AC663+AD663+AE663+AF663+AG663+AH663+AI663+AJ663+AK663+AL663+AM663+AN663+AP663+AO663</f>
        <v>23817720</v>
      </c>
    </row>
    <row r="664" spans="1:43" ht="68.25" customHeight="1" x14ac:dyDescent="0.25">
      <c r="A664" s="19"/>
      <c r="B664" s="764"/>
      <c r="C664" s="862"/>
      <c r="D664" s="864"/>
      <c r="E664" s="866"/>
      <c r="F664" s="866"/>
      <c r="G664" s="859"/>
      <c r="H664" s="775">
        <v>176</v>
      </c>
      <c r="I664" s="774" t="s">
        <v>820</v>
      </c>
      <c r="J664" s="775">
        <v>2</v>
      </c>
      <c r="K664" s="775">
        <v>2</v>
      </c>
      <c r="L664" s="859"/>
      <c r="M664" s="856"/>
      <c r="N664" s="850"/>
      <c r="O664" s="775" t="s">
        <v>38</v>
      </c>
      <c r="P664" s="26">
        <v>0</v>
      </c>
      <c r="Q664" s="26">
        <v>0</v>
      </c>
      <c r="R664" s="26">
        <v>0</v>
      </c>
      <c r="S664" s="26">
        <v>0</v>
      </c>
      <c r="T664" s="26">
        <v>0</v>
      </c>
      <c r="U664" s="26">
        <v>0</v>
      </c>
      <c r="V664" s="26">
        <v>0</v>
      </c>
      <c r="W664" s="26"/>
      <c r="X664" s="26"/>
      <c r="Y664" s="26"/>
      <c r="Z664" s="254">
        <v>0</v>
      </c>
      <c r="AA664" s="254"/>
      <c r="AB664" s="26">
        <v>0</v>
      </c>
      <c r="AC664" s="26">
        <v>0</v>
      </c>
      <c r="AD664" s="324">
        <v>0</v>
      </c>
      <c r="AE664" s="324">
        <v>0</v>
      </c>
      <c r="AF664" s="324"/>
      <c r="AG664" s="324">
        <v>0</v>
      </c>
      <c r="AH664" s="324">
        <v>0</v>
      </c>
      <c r="AI664" s="324">
        <v>0</v>
      </c>
      <c r="AJ664" s="324">
        <v>0</v>
      </c>
      <c r="AK664" s="324">
        <v>0</v>
      </c>
      <c r="AL664" s="110"/>
      <c r="AM664" s="38"/>
      <c r="AN664" s="324">
        <v>0</v>
      </c>
      <c r="AO664" s="293">
        <v>0</v>
      </c>
      <c r="AP664" s="293"/>
      <c r="AQ664" s="742">
        <f>P664+Q664+R664+S664+T664+U664+V664+W664+X664+Y664+Z664+AA664+AB664+AC664+AD664+AE664+AF664+AG664+AH664+AI664+AJ664+AK664+AL664+AM664+AN664+AP664+AO664</f>
        <v>0</v>
      </c>
    </row>
    <row r="665" spans="1:43" ht="15" x14ac:dyDescent="0.25">
      <c r="A665" s="19"/>
      <c r="B665" s="764"/>
      <c r="C665" s="773"/>
      <c r="D665" s="153"/>
      <c r="E665" s="579"/>
      <c r="F665" s="579"/>
      <c r="G665" s="154"/>
      <c r="H665" s="155"/>
      <c r="I665" s="154"/>
      <c r="J665" s="155"/>
      <c r="K665" s="155"/>
      <c r="L665" s="155"/>
      <c r="M665" s="157"/>
      <c r="N665" s="154"/>
      <c r="O665" s="155"/>
      <c r="P665" s="158">
        <f t="shared" ref="P665:AK665" si="306">SUM(P663:P664)</f>
        <v>0</v>
      </c>
      <c r="Q665" s="158">
        <f t="shared" si="306"/>
        <v>0</v>
      </c>
      <c r="R665" s="158">
        <f t="shared" si="306"/>
        <v>0</v>
      </c>
      <c r="S665" s="158">
        <f t="shared" si="306"/>
        <v>0</v>
      </c>
      <c r="T665" s="158">
        <f t="shared" si="306"/>
        <v>0</v>
      </c>
      <c r="U665" s="158">
        <f t="shared" si="306"/>
        <v>0</v>
      </c>
      <c r="V665" s="158">
        <f t="shared" si="306"/>
        <v>0</v>
      </c>
      <c r="W665" s="158">
        <f t="shared" si="306"/>
        <v>0</v>
      </c>
      <c r="X665" s="158">
        <f t="shared" si="306"/>
        <v>0</v>
      </c>
      <c r="Y665" s="158">
        <f t="shared" si="306"/>
        <v>0</v>
      </c>
      <c r="Z665" s="158">
        <f t="shared" si="306"/>
        <v>23817720</v>
      </c>
      <c r="AA665" s="158">
        <f t="shared" si="306"/>
        <v>0</v>
      </c>
      <c r="AB665" s="158">
        <f t="shared" si="306"/>
        <v>0</v>
      </c>
      <c r="AC665" s="158">
        <f t="shared" si="306"/>
        <v>0</v>
      </c>
      <c r="AD665" s="158">
        <f t="shared" si="306"/>
        <v>0</v>
      </c>
      <c r="AE665" s="158">
        <f t="shared" si="306"/>
        <v>0</v>
      </c>
      <c r="AF665" s="158">
        <f t="shared" si="306"/>
        <v>0</v>
      </c>
      <c r="AG665" s="158">
        <f t="shared" si="306"/>
        <v>0</v>
      </c>
      <c r="AH665" s="158">
        <f t="shared" si="306"/>
        <v>0</v>
      </c>
      <c r="AI665" s="158">
        <f t="shared" si="306"/>
        <v>0</v>
      </c>
      <c r="AJ665" s="158">
        <f t="shared" si="306"/>
        <v>0</v>
      </c>
      <c r="AK665" s="158">
        <f t="shared" si="306"/>
        <v>0</v>
      </c>
      <c r="AL665" s="158">
        <f t="shared" ref="AL665:AP665" si="307">SUM(AL663:AL664)</f>
        <v>0</v>
      </c>
      <c r="AM665" s="158">
        <f t="shared" si="307"/>
        <v>0</v>
      </c>
      <c r="AN665" s="158">
        <f t="shared" si="307"/>
        <v>0</v>
      </c>
      <c r="AO665" s="158">
        <f t="shared" si="307"/>
        <v>0</v>
      </c>
      <c r="AP665" s="158">
        <f t="shared" si="307"/>
        <v>0</v>
      </c>
      <c r="AQ665" s="396">
        <f>SUM(AQ663:AQ664)</f>
        <v>23817720</v>
      </c>
    </row>
    <row r="666" spans="1:43" s="28" customFormat="1" ht="15" x14ac:dyDescent="0.25">
      <c r="A666" s="20"/>
      <c r="B666" s="426"/>
      <c r="C666" s="162"/>
      <c r="D666" s="161"/>
      <c r="E666" s="162"/>
      <c r="F666" s="162"/>
      <c r="G666" s="161"/>
      <c r="H666" s="162"/>
      <c r="I666" s="161"/>
      <c r="J666" s="162"/>
      <c r="K666" s="162"/>
      <c r="L666" s="162"/>
      <c r="M666" s="164"/>
      <c r="N666" s="161"/>
      <c r="O666" s="162"/>
      <c r="P666" s="165">
        <f t="shared" ref="P666:AK666" si="308">P665+P660+P655+P649+P645</f>
        <v>0</v>
      </c>
      <c r="Q666" s="165">
        <f t="shared" si="308"/>
        <v>0</v>
      </c>
      <c r="R666" s="165">
        <f t="shared" si="308"/>
        <v>0</v>
      </c>
      <c r="S666" s="165">
        <f t="shared" si="308"/>
        <v>0</v>
      </c>
      <c r="T666" s="165">
        <f t="shared" si="308"/>
        <v>0</v>
      </c>
      <c r="U666" s="165">
        <f t="shared" si="308"/>
        <v>0</v>
      </c>
      <c r="V666" s="165">
        <f t="shared" si="308"/>
        <v>1839000000</v>
      </c>
      <c r="W666" s="165">
        <f t="shared" si="308"/>
        <v>300000000</v>
      </c>
      <c r="X666" s="165">
        <f t="shared" si="308"/>
        <v>3775114443</v>
      </c>
      <c r="Y666" s="165">
        <f t="shared" si="308"/>
        <v>5974899521</v>
      </c>
      <c r="Z666" s="165">
        <f t="shared" si="308"/>
        <v>7030640593</v>
      </c>
      <c r="AA666" s="165">
        <f t="shared" si="308"/>
        <v>0</v>
      </c>
      <c r="AB666" s="165">
        <f t="shared" si="308"/>
        <v>0</v>
      </c>
      <c r="AC666" s="165">
        <f t="shared" si="308"/>
        <v>2846900107</v>
      </c>
      <c r="AD666" s="165">
        <f t="shared" si="308"/>
        <v>0</v>
      </c>
      <c r="AE666" s="165">
        <f t="shared" si="308"/>
        <v>0</v>
      </c>
      <c r="AF666" s="165">
        <f t="shared" si="308"/>
        <v>0</v>
      </c>
      <c r="AG666" s="165">
        <f t="shared" si="308"/>
        <v>0</v>
      </c>
      <c r="AH666" s="165">
        <f t="shared" si="308"/>
        <v>0</v>
      </c>
      <c r="AI666" s="165">
        <f t="shared" si="308"/>
        <v>0</v>
      </c>
      <c r="AJ666" s="165">
        <f t="shared" si="308"/>
        <v>0</v>
      </c>
      <c r="AK666" s="165">
        <f t="shared" si="308"/>
        <v>0</v>
      </c>
      <c r="AL666" s="165">
        <f t="shared" ref="AL666:AP666" si="309">AL665+AL660+AL655+AL649+AL645</f>
        <v>1300000000</v>
      </c>
      <c r="AM666" s="165">
        <f t="shared" si="309"/>
        <v>0</v>
      </c>
      <c r="AN666" s="165">
        <f t="shared" si="309"/>
        <v>0</v>
      </c>
      <c r="AO666" s="165">
        <f t="shared" si="309"/>
        <v>1815360145</v>
      </c>
      <c r="AP666" s="165">
        <f t="shared" si="309"/>
        <v>0</v>
      </c>
      <c r="AQ666" s="397">
        <f>AQ665+AQ660+AQ655+AQ649+AQ645</f>
        <v>24881914809</v>
      </c>
    </row>
    <row r="667" spans="1:43" s="28" customFormat="1" ht="15" x14ac:dyDescent="0.25">
      <c r="A667" s="20"/>
      <c r="B667" s="177"/>
      <c r="C667" s="795"/>
      <c r="D667" s="177"/>
      <c r="E667" s="795"/>
      <c r="F667" s="795"/>
      <c r="G667" s="177"/>
      <c r="H667" s="795"/>
      <c r="I667" s="177"/>
      <c r="J667" s="795"/>
      <c r="K667" s="795"/>
      <c r="L667" s="776"/>
      <c r="M667" s="234"/>
      <c r="N667" s="223"/>
      <c r="O667" s="795"/>
      <c r="P667" s="180"/>
      <c r="Q667" s="180"/>
      <c r="R667" s="180"/>
      <c r="S667" s="180"/>
      <c r="T667" s="180"/>
      <c r="U667" s="180"/>
      <c r="V667" s="180"/>
      <c r="W667" s="180"/>
      <c r="X667" s="180"/>
      <c r="Y667" s="180"/>
      <c r="Z667" s="180"/>
      <c r="AA667" s="180"/>
      <c r="AB667" s="180"/>
      <c r="AC667" s="180"/>
      <c r="AD667" s="180"/>
      <c r="AE667" s="180"/>
      <c r="AF667" s="180"/>
      <c r="AG667" s="180"/>
      <c r="AH667" s="180"/>
      <c r="AI667" s="180"/>
      <c r="AJ667" s="180"/>
      <c r="AK667" s="180"/>
      <c r="AL667" s="182"/>
      <c r="AM667" s="180"/>
      <c r="AN667" s="180"/>
      <c r="AO667" s="180"/>
      <c r="AP667" s="180"/>
      <c r="AQ667" s="742"/>
    </row>
    <row r="668" spans="1:43" s="28" customFormat="1" ht="15" x14ac:dyDescent="0.25">
      <c r="A668" s="20"/>
      <c r="B668" s="520">
        <v>15</v>
      </c>
      <c r="C668" s="145" t="s">
        <v>821</v>
      </c>
      <c r="D668" s="146"/>
      <c r="E668" s="146"/>
      <c r="F668" s="146"/>
      <c r="G668" s="146"/>
      <c r="H668" s="147"/>
      <c r="I668" s="146"/>
      <c r="J668" s="146"/>
      <c r="K668" s="146"/>
      <c r="L668" s="146"/>
      <c r="M668" s="652"/>
      <c r="N668" s="146"/>
      <c r="O668" s="146"/>
      <c r="P668" s="146"/>
      <c r="Q668" s="146"/>
      <c r="R668" s="146"/>
      <c r="S668" s="146"/>
      <c r="T668" s="146"/>
      <c r="U668" s="146"/>
      <c r="V668" s="146"/>
      <c r="W668" s="146"/>
      <c r="X668" s="146"/>
      <c r="Y668" s="146"/>
      <c r="Z668" s="146"/>
      <c r="AA668" s="146"/>
      <c r="AB668" s="146"/>
      <c r="AC668" s="146"/>
      <c r="AD668" s="146"/>
      <c r="AE668" s="146"/>
      <c r="AF668" s="146"/>
      <c r="AG668" s="146"/>
      <c r="AH668" s="146"/>
      <c r="AI668" s="146"/>
      <c r="AJ668" s="146"/>
      <c r="AK668" s="146"/>
      <c r="AL668" s="148"/>
      <c r="AM668" s="146"/>
      <c r="AN668" s="146"/>
      <c r="AO668" s="146"/>
      <c r="AP668" s="146"/>
      <c r="AQ668" s="649"/>
    </row>
    <row r="669" spans="1:43" s="28" customFormat="1" ht="15" x14ac:dyDescent="0.25">
      <c r="A669" s="19"/>
      <c r="B669" s="20"/>
      <c r="C669" s="795"/>
      <c r="D669" s="177"/>
      <c r="E669" s="795"/>
      <c r="F669" s="773"/>
      <c r="G669" s="344">
        <v>55</v>
      </c>
      <c r="H669" s="189" t="s">
        <v>822</v>
      </c>
      <c r="I669" s="189"/>
      <c r="J669" s="189"/>
      <c r="K669" s="189"/>
      <c r="L669" s="189"/>
      <c r="M669" s="189"/>
      <c r="N669" s="189"/>
      <c r="O669" s="189"/>
      <c r="P669" s="189"/>
      <c r="Q669" s="189"/>
      <c r="R669" s="189"/>
      <c r="S669" s="189"/>
      <c r="T669" s="189"/>
      <c r="U669" s="189"/>
      <c r="V669" s="189"/>
      <c r="W669" s="189"/>
      <c r="X669" s="189"/>
      <c r="Y669" s="189"/>
      <c r="Z669" s="189"/>
      <c r="AA669" s="189"/>
      <c r="AB669" s="189"/>
      <c r="AC669" s="189"/>
      <c r="AD669" s="189"/>
      <c r="AE669" s="189"/>
      <c r="AF669" s="189"/>
      <c r="AG669" s="189"/>
      <c r="AH669" s="189"/>
      <c r="AI669" s="189"/>
      <c r="AJ669" s="189"/>
      <c r="AK669" s="189"/>
      <c r="AL669" s="190"/>
      <c r="AM669" s="189"/>
      <c r="AN669" s="189"/>
      <c r="AO669" s="189"/>
      <c r="AP669" s="189"/>
      <c r="AQ669" s="648"/>
    </row>
    <row r="670" spans="1:43" s="459" customFormat="1" ht="55.5" customHeight="1" x14ac:dyDescent="0.25">
      <c r="A670" s="19"/>
      <c r="B670" s="764"/>
      <c r="C670" s="773" t="s">
        <v>702</v>
      </c>
      <c r="D670" s="475" t="s">
        <v>823</v>
      </c>
      <c r="E670" s="525">
        <v>2</v>
      </c>
      <c r="F670" s="517">
        <v>2</v>
      </c>
      <c r="G670" s="858"/>
      <c r="H670" s="775">
        <v>177</v>
      </c>
      <c r="I670" s="774" t="s">
        <v>824</v>
      </c>
      <c r="J670" s="775">
        <v>2</v>
      </c>
      <c r="K670" s="775">
        <v>2</v>
      </c>
      <c r="L670" s="858" t="s">
        <v>669</v>
      </c>
      <c r="M670" s="854" t="s">
        <v>825</v>
      </c>
      <c r="N670" s="849" t="s">
        <v>826</v>
      </c>
      <c r="O670" s="57" t="s">
        <v>38</v>
      </c>
      <c r="P670" s="26">
        <v>0</v>
      </c>
      <c r="Q670" s="26">
        <v>0</v>
      </c>
      <c r="R670" s="26">
        <v>0</v>
      </c>
      <c r="S670" s="26">
        <v>0</v>
      </c>
      <c r="T670" s="26">
        <v>0</v>
      </c>
      <c r="U670" s="26">
        <v>0</v>
      </c>
      <c r="V670" s="26">
        <v>0</v>
      </c>
      <c r="W670" s="26"/>
      <c r="X670" s="26"/>
      <c r="Y670" s="26"/>
      <c r="Z670" s="254">
        <v>0</v>
      </c>
      <c r="AA670" s="254"/>
      <c r="AB670" s="254">
        <v>0</v>
      </c>
      <c r="AC670" s="324">
        <v>0</v>
      </c>
      <c r="AD670" s="254"/>
      <c r="AE670" s="254"/>
      <c r="AF670" s="254"/>
      <c r="AG670" s="254"/>
      <c r="AH670" s="254"/>
      <c r="AI670" s="254"/>
      <c r="AJ670" s="324">
        <v>0</v>
      </c>
      <c r="AK670" s="324">
        <v>0</v>
      </c>
      <c r="AL670" s="496">
        <v>0</v>
      </c>
      <c r="AM670" s="497"/>
      <c r="AN670" s="324">
        <v>0</v>
      </c>
      <c r="AO670" s="293">
        <v>0</v>
      </c>
      <c r="AP670" s="293"/>
      <c r="AQ670" s="742">
        <f>P670+Q670+R670+S670+T670+U670+V670+W670+X670+Y670+Z670+AA670+AB670+AC670+AD670+AE670+AF670+AG670+AH670+AI670+AJ670+AK670+AL670+AM670+AN670+AP670+AO670</f>
        <v>0</v>
      </c>
    </row>
    <row r="671" spans="1:43" s="459" customFormat="1" ht="42.75" customHeight="1" x14ac:dyDescent="0.25">
      <c r="A671" s="19"/>
      <c r="B671" s="764"/>
      <c r="C671" s="773" t="s">
        <v>702</v>
      </c>
      <c r="D671" s="6" t="s">
        <v>827</v>
      </c>
      <c r="E671" s="526">
        <v>0</v>
      </c>
      <c r="F671" s="526">
        <v>0.8</v>
      </c>
      <c r="G671" s="860"/>
      <c r="H671" s="775">
        <v>178</v>
      </c>
      <c r="I671" s="774" t="s">
        <v>828</v>
      </c>
      <c r="J671" s="775">
        <v>0</v>
      </c>
      <c r="K671" s="775">
        <v>3</v>
      </c>
      <c r="L671" s="860"/>
      <c r="M671" s="855"/>
      <c r="N671" s="857"/>
      <c r="O671" s="57" t="s">
        <v>38</v>
      </c>
      <c r="P671" s="26">
        <v>0</v>
      </c>
      <c r="Q671" s="26">
        <v>0</v>
      </c>
      <c r="R671" s="26">
        <v>0</v>
      </c>
      <c r="S671" s="26">
        <v>0</v>
      </c>
      <c r="T671" s="26">
        <v>0</v>
      </c>
      <c r="U671" s="26">
        <v>0</v>
      </c>
      <c r="V671" s="26">
        <v>0</v>
      </c>
      <c r="W671" s="26"/>
      <c r="X671" s="26"/>
      <c r="Y671" s="26"/>
      <c r="Z671" s="4">
        <v>129545160</v>
      </c>
      <c r="AA671" s="4"/>
      <c r="AB671" s="254">
        <v>0</v>
      </c>
      <c r="AC671" s="324">
        <v>0</v>
      </c>
      <c r="AD671" s="254"/>
      <c r="AE671" s="254"/>
      <c r="AF671" s="254"/>
      <c r="AG671" s="254"/>
      <c r="AH671" s="254"/>
      <c r="AI671" s="254"/>
      <c r="AJ671" s="324">
        <v>0</v>
      </c>
      <c r="AK671" s="324">
        <v>0</v>
      </c>
      <c r="AL671" s="496">
        <v>0</v>
      </c>
      <c r="AM671" s="497"/>
      <c r="AN671" s="324">
        <v>0</v>
      </c>
      <c r="AO671" s="293"/>
      <c r="AP671" s="293"/>
      <c r="AQ671" s="742">
        <f>P671+Q671+R671+S671+T671+U671+V671+W671+X671+Y671+Z671+AA671+AB671+AC671+AD671+AE671+AF671+AG671+AH671+AI671+AJ671+AK671+AL671+AM671+AN671+AP671+AO671</f>
        <v>129545160</v>
      </c>
    </row>
    <row r="672" spans="1:43" s="459" customFormat="1" ht="52.5" customHeight="1" x14ac:dyDescent="0.25">
      <c r="A672" s="19"/>
      <c r="B672" s="764"/>
      <c r="C672" s="773" t="s">
        <v>702</v>
      </c>
      <c r="D672" s="6" t="s">
        <v>829</v>
      </c>
      <c r="E672" s="526" t="s">
        <v>30</v>
      </c>
      <c r="F672" s="526">
        <v>0.9</v>
      </c>
      <c r="G672" s="859"/>
      <c r="H672" s="775">
        <v>179</v>
      </c>
      <c r="I672" s="774" t="s">
        <v>830</v>
      </c>
      <c r="J672" s="775">
        <v>4</v>
      </c>
      <c r="K672" s="775">
        <v>4</v>
      </c>
      <c r="L672" s="859"/>
      <c r="M672" s="856"/>
      <c r="N672" s="850"/>
      <c r="O672" s="57" t="s">
        <v>38</v>
      </c>
      <c r="P672" s="26">
        <v>0</v>
      </c>
      <c r="Q672" s="26">
        <v>0</v>
      </c>
      <c r="R672" s="26">
        <v>0</v>
      </c>
      <c r="S672" s="26">
        <v>0</v>
      </c>
      <c r="T672" s="26">
        <v>0</v>
      </c>
      <c r="U672" s="26">
        <v>0</v>
      </c>
      <c r="V672" s="26">
        <v>0</v>
      </c>
      <c r="W672" s="26"/>
      <c r="X672" s="26"/>
      <c r="Y672" s="26"/>
      <c r="Z672" s="254">
        <v>0</v>
      </c>
      <c r="AA672" s="254"/>
      <c r="AB672" s="254">
        <v>0</v>
      </c>
      <c r="AC672" s="324">
        <v>0</v>
      </c>
      <c r="AD672" s="254"/>
      <c r="AE672" s="254"/>
      <c r="AF672" s="254"/>
      <c r="AG672" s="254"/>
      <c r="AH672" s="254"/>
      <c r="AI672" s="254"/>
      <c r="AJ672" s="324">
        <v>0</v>
      </c>
      <c r="AK672" s="324">
        <v>0</v>
      </c>
      <c r="AL672" s="496">
        <v>0</v>
      </c>
      <c r="AM672" s="497"/>
      <c r="AN672" s="324">
        <v>0</v>
      </c>
      <c r="AO672" s="293">
        <v>0</v>
      </c>
      <c r="AP672" s="293"/>
      <c r="AQ672" s="742">
        <f>P672+Q672+R672+S672+T672+U672+V672+W672+X672+Y672+Z672+AA672+AB672+AC672+AD672+AE672+AF672+AG672+AH672+AI672+AJ672+AK672+AL672+AM672+AN672+AP672+AO672</f>
        <v>0</v>
      </c>
    </row>
    <row r="673" spans="1:43" s="459" customFormat="1" ht="15" x14ac:dyDescent="0.25">
      <c r="A673" s="19"/>
      <c r="B673" s="764"/>
      <c r="C673" s="773"/>
      <c r="D673" s="153"/>
      <c r="E673" s="579"/>
      <c r="F673" s="579"/>
      <c r="G673" s="154"/>
      <c r="H673" s="155"/>
      <c r="I673" s="154"/>
      <c r="J673" s="155"/>
      <c r="K673" s="155"/>
      <c r="L673" s="155"/>
      <c r="M673" s="743"/>
      <c r="N673" s="744"/>
      <c r="O673" s="745"/>
      <c r="P673" s="746">
        <f>SUM(P670:P672)</f>
        <v>0</v>
      </c>
      <c r="Q673" s="746">
        <f t="shared" ref="Q673:AK673" si="310">SUM(Q670:Q672)</f>
        <v>0</v>
      </c>
      <c r="R673" s="746">
        <f t="shared" si="310"/>
        <v>0</v>
      </c>
      <c r="S673" s="746">
        <f t="shared" si="310"/>
        <v>0</v>
      </c>
      <c r="T673" s="746">
        <f t="shared" si="310"/>
        <v>0</v>
      </c>
      <c r="U673" s="746">
        <f t="shared" si="310"/>
        <v>0</v>
      </c>
      <c r="V673" s="746">
        <f t="shared" si="310"/>
        <v>0</v>
      </c>
      <c r="W673" s="746">
        <f t="shared" si="310"/>
        <v>0</v>
      </c>
      <c r="X673" s="746">
        <f t="shared" si="310"/>
        <v>0</v>
      </c>
      <c r="Y673" s="746">
        <f t="shared" si="310"/>
        <v>0</v>
      </c>
      <c r="Z673" s="746">
        <f t="shared" si="310"/>
        <v>129545160</v>
      </c>
      <c r="AA673" s="746">
        <f t="shared" si="310"/>
        <v>0</v>
      </c>
      <c r="AB673" s="746">
        <f t="shared" si="310"/>
        <v>0</v>
      </c>
      <c r="AC673" s="746">
        <f t="shared" si="310"/>
        <v>0</v>
      </c>
      <c r="AD673" s="746">
        <f t="shared" si="310"/>
        <v>0</v>
      </c>
      <c r="AE673" s="746">
        <f t="shared" si="310"/>
        <v>0</v>
      </c>
      <c r="AF673" s="746">
        <f t="shared" si="310"/>
        <v>0</v>
      </c>
      <c r="AG673" s="746">
        <f t="shared" si="310"/>
        <v>0</v>
      </c>
      <c r="AH673" s="746">
        <f t="shared" si="310"/>
        <v>0</v>
      </c>
      <c r="AI673" s="746">
        <f t="shared" si="310"/>
        <v>0</v>
      </c>
      <c r="AJ673" s="746">
        <f t="shared" si="310"/>
        <v>0</v>
      </c>
      <c r="AK673" s="746">
        <f t="shared" si="310"/>
        <v>0</v>
      </c>
      <c r="AL673" s="746">
        <f t="shared" ref="AL673:AP673" si="311">SUM(AL670:AL672)</f>
        <v>0</v>
      </c>
      <c r="AM673" s="746">
        <f t="shared" si="311"/>
        <v>0</v>
      </c>
      <c r="AN673" s="746">
        <f t="shared" si="311"/>
        <v>0</v>
      </c>
      <c r="AO673" s="746">
        <f t="shared" si="311"/>
        <v>0</v>
      </c>
      <c r="AP673" s="158">
        <f t="shared" si="311"/>
        <v>0</v>
      </c>
      <c r="AQ673" s="396">
        <f>SUM(AQ670:AQ672)</f>
        <v>129545160</v>
      </c>
    </row>
    <row r="674" spans="1:43" s="459" customFormat="1" ht="15" x14ac:dyDescent="0.25">
      <c r="A674" s="152"/>
      <c r="B674" s="426"/>
      <c r="C674" s="162"/>
      <c r="D674" s="161"/>
      <c r="E674" s="162"/>
      <c r="F674" s="162"/>
      <c r="G674" s="161"/>
      <c r="H674" s="162"/>
      <c r="I674" s="161"/>
      <c r="J674" s="162"/>
      <c r="K674" s="162"/>
      <c r="L674" s="162"/>
      <c r="M674" s="747"/>
      <c r="N674" s="748"/>
      <c r="O674" s="749"/>
      <c r="P674" s="750">
        <f>P673</f>
        <v>0</v>
      </c>
      <c r="Q674" s="750">
        <f t="shared" ref="Q674:AK674" si="312">Q673</f>
        <v>0</v>
      </c>
      <c r="R674" s="750">
        <f t="shared" si="312"/>
        <v>0</v>
      </c>
      <c r="S674" s="750">
        <f t="shared" si="312"/>
        <v>0</v>
      </c>
      <c r="T674" s="750">
        <f t="shared" si="312"/>
        <v>0</v>
      </c>
      <c r="U674" s="750">
        <f t="shared" si="312"/>
        <v>0</v>
      </c>
      <c r="V674" s="750">
        <f t="shared" si="312"/>
        <v>0</v>
      </c>
      <c r="W674" s="750">
        <f t="shared" si="312"/>
        <v>0</v>
      </c>
      <c r="X674" s="750">
        <f t="shared" si="312"/>
        <v>0</v>
      </c>
      <c r="Y674" s="750">
        <f t="shared" si="312"/>
        <v>0</v>
      </c>
      <c r="Z674" s="750">
        <f t="shared" si="312"/>
        <v>129545160</v>
      </c>
      <c r="AA674" s="750">
        <f t="shared" si="312"/>
        <v>0</v>
      </c>
      <c r="AB674" s="750">
        <f t="shared" si="312"/>
        <v>0</v>
      </c>
      <c r="AC674" s="750">
        <f t="shared" si="312"/>
        <v>0</v>
      </c>
      <c r="AD674" s="750">
        <f t="shared" si="312"/>
        <v>0</v>
      </c>
      <c r="AE674" s="750">
        <f t="shared" si="312"/>
        <v>0</v>
      </c>
      <c r="AF674" s="750">
        <f t="shared" si="312"/>
        <v>0</v>
      </c>
      <c r="AG674" s="750">
        <f t="shared" si="312"/>
        <v>0</v>
      </c>
      <c r="AH674" s="750">
        <f t="shared" si="312"/>
        <v>0</v>
      </c>
      <c r="AI674" s="750">
        <f t="shared" si="312"/>
        <v>0</v>
      </c>
      <c r="AJ674" s="750">
        <f t="shared" si="312"/>
        <v>0</v>
      </c>
      <c r="AK674" s="750">
        <f t="shared" si="312"/>
        <v>0</v>
      </c>
      <c r="AL674" s="750">
        <f t="shared" ref="AL674:AP674" si="313">AL673</f>
        <v>0</v>
      </c>
      <c r="AM674" s="750">
        <f t="shared" si="313"/>
        <v>0</v>
      </c>
      <c r="AN674" s="750">
        <f t="shared" si="313"/>
        <v>0</v>
      </c>
      <c r="AO674" s="750">
        <f t="shared" si="313"/>
        <v>0</v>
      </c>
      <c r="AP674" s="165">
        <f t="shared" si="313"/>
        <v>0</v>
      </c>
      <c r="AQ674" s="397">
        <f>AQ673</f>
        <v>129545160</v>
      </c>
    </row>
    <row r="675" spans="1:43" s="459" customFormat="1" ht="15" x14ac:dyDescent="0.25">
      <c r="A675" s="166"/>
      <c r="B675" s="166"/>
      <c r="C675" s="167"/>
      <c r="D675" s="166"/>
      <c r="E675" s="167"/>
      <c r="F675" s="167"/>
      <c r="G675" s="166"/>
      <c r="H675" s="167"/>
      <c r="I675" s="166"/>
      <c r="J675" s="167"/>
      <c r="K675" s="167"/>
      <c r="L675" s="167"/>
      <c r="M675" s="751"/>
      <c r="N675" s="752"/>
      <c r="O675" s="753"/>
      <c r="P675" s="754">
        <f>P674+P666+P638+P624+P556</f>
        <v>0</v>
      </c>
      <c r="Q675" s="754">
        <f t="shared" ref="Q675:AK675" si="314">Q674+Q666+Q638+Q624+Q556</f>
        <v>0</v>
      </c>
      <c r="R675" s="754">
        <f t="shared" si="314"/>
        <v>0</v>
      </c>
      <c r="S675" s="754">
        <f t="shared" si="314"/>
        <v>0</v>
      </c>
      <c r="T675" s="754">
        <f t="shared" si="314"/>
        <v>0</v>
      </c>
      <c r="U675" s="754">
        <f t="shared" si="314"/>
        <v>0</v>
      </c>
      <c r="V675" s="754">
        <f t="shared" si="314"/>
        <v>1839000000</v>
      </c>
      <c r="W675" s="754">
        <f t="shared" si="314"/>
        <v>5020955903.996911</v>
      </c>
      <c r="X675" s="754">
        <f t="shared" si="314"/>
        <v>3775114443</v>
      </c>
      <c r="Y675" s="754">
        <f t="shared" si="314"/>
        <v>5974899521</v>
      </c>
      <c r="Z675" s="754">
        <f t="shared" si="314"/>
        <v>17995884298</v>
      </c>
      <c r="AA675" s="754">
        <f t="shared" si="314"/>
        <v>0</v>
      </c>
      <c r="AB675" s="754">
        <f t="shared" si="314"/>
        <v>1375125452.1300001</v>
      </c>
      <c r="AC675" s="754">
        <f t="shared" si="314"/>
        <v>8005242942</v>
      </c>
      <c r="AD675" s="754">
        <f t="shared" si="314"/>
        <v>0</v>
      </c>
      <c r="AE675" s="754">
        <f t="shared" si="314"/>
        <v>0</v>
      </c>
      <c r="AF675" s="754">
        <f t="shared" si="314"/>
        <v>0</v>
      </c>
      <c r="AG675" s="754">
        <f t="shared" si="314"/>
        <v>0</v>
      </c>
      <c r="AH675" s="754">
        <f t="shared" si="314"/>
        <v>0</v>
      </c>
      <c r="AI675" s="754">
        <f t="shared" si="314"/>
        <v>0</v>
      </c>
      <c r="AJ675" s="754">
        <f t="shared" si="314"/>
        <v>0</v>
      </c>
      <c r="AK675" s="754">
        <f t="shared" si="314"/>
        <v>0</v>
      </c>
      <c r="AL675" s="754">
        <f t="shared" ref="AL675:AP675" si="315">AL674+AL666+AL638+AL624+AL556</f>
        <v>1530000000</v>
      </c>
      <c r="AM675" s="754">
        <f t="shared" si="315"/>
        <v>0</v>
      </c>
      <c r="AN675" s="754">
        <f t="shared" si="315"/>
        <v>515209</v>
      </c>
      <c r="AO675" s="754">
        <f t="shared" si="315"/>
        <v>2222792250</v>
      </c>
      <c r="AP675" s="170">
        <f t="shared" si="315"/>
        <v>0</v>
      </c>
      <c r="AQ675" s="681">
        <f>AQ674+AQ666+AQ638+AQ624+AQ556</f>
        <v>47739530019.126907</v>
      </c>
    </row>
    <row r="676" spans="1:43" s="459" customFormat="1" ht="15" x14ac:dyDescent="0.25">
      <c r="A676" s="171"/>
      <c r="B676" s="171"/>
      <c r="C676" s="172"/>
      <c r="D676" s="171"/>
      <c r="E676" s="172"/>
      <c r="F676" s="172"/>
      <c r="G676" s="171"/>
      <c r="H676" s="172"/>
      <c r="I676" s="171"/>
      <c r="J676" s="172"/>
      <c r="K676" s="172"/>
      <c r="L676" s="172"/>
      <c r="M676" s="755"/>
      <c r="N676" s="756"/>
      <c r="O676" s="757">
        <f>O675</f>
        <v>0</v>
      </c>
      <c r="P676" s="757">
        <f t="shared" ref="P676:AK676" si="316">+P675</f>
        <v>0</v>
      </c>
      <c r="Q676" s="757">
        <f t="shared" si="316"/>
        <v>0</v>
      </c>
      <c r="R676" s="757">
        <f t="shared" si="316"/>
        <v>0</v>
      </c>
      <c r="S676" s="757">
        <f t="shared" si="316"/>
        <v>0</v>
      </c>
      <c r="T676" s="757">
        <f t="shared" si="316"/>
        <v>0</v>
      </c>
      <c r="U676" s="757">
        <f t="shared" si="316"/>
        <v>0</v>
      </c>
      <c r="V676" s="757">
        <f t="shared" si="316"/>
        <v>1839000000</v>
      </c>
      <c r="W676" s="757">
        <f t="shared" si="316"/>
        <v>5020955903.996911</v>
      </c>
      <c r="X676" s="757">
        <f t="shared" si="316"/>
        <v>3775114443</v>
      </c>
      <c r="Y676" s="757">
        <f t="shared" si="316"/>
        <v>5974899521</v>
      </c>
      <c r="Z676" s="757">
        <f t="shared" si="316"/>
        <v>17995884298</v>
      </c>
      <c r="AA676" s="757">
        <f t="shared" si="316"/>
        <v>0</v>
      </c>
      <c r="AB676" s="757">
        <f t="shared" si="316"/>
        <v>1375125452.1300001</v>
      </c>
      <c r="AC676" s="757">
        <f t="shared" si="316"/>
        <v>8005242942</v>
      </c>
      <c r="AD676" s="757">
        <f t="shared" si="316"/>
        <v>0</v>
      </c>
      <c r="AE676" s="757">
        <f t="shared" si="316"/>
        <v>0</v>
      </c>
      <c r="AF676" s="757">
        <f t="shared" si="316"/>
        <v>0</v>
      </c>
      <c r="AG676" s="757">
        <f t="shared" si="316"/>
        <v>0</v>
      </c>
      <c r="AH676" s="757">
        <f t="shared" si="316"/>
        <v>0</v>
      </c>
      <c r="AI676" s="757">
        <f t="shared" si="316"/>
        <v>0</v>
      </c>
      <c r="AJ676" s="757">
        <f t="shared" si="316"/>
        <v>0</v>
      </c>
      <c r="AK676" s="757">
        <f t="shared" si="316"/>
        <v>0</v>
      </c>
      <c r="AL676" s="757">
        <f t="shared" ref="AL676:AQ676" si="317">+AL675</f>
        <v>1530000000</v>
      </c>
      <c r="AM676" s="757">
        <f t="shared" si="317"/>
        <v>0</v>
      </c>
      <c r="AN676" s="757">
        <f t="shared" si="317"/>
        <v>515209</v>
      </c>
      <c r="AO676" s="757">
        <f t="shared" si="317"/>
        <v>2222792250</v>
      </c>
      <c r="AP676" s="175">
        <f t="shared" si="317"/>
        <v>0</v>
      </c>
      <c r="AQ676" s="712">
        <f t="shared" si="317"/>
        <v>47739530019.126907</v>
      </c>
    </row>
    <row r="677" spans="1:43" s="28" customFormat="1" ht="15" x14ac:dyDescent="0.25">
      <c r="A677" s="176"/>
      <c r="B677" s="177"/>
      <c r="C677" s="795"/>
      <c r="D677" s="177"/>
      <c r="E677" s="795"/>
      <c r="F677" s="795"/>
      <c r="G677" s="177"/>
      <c r="H677" s="795"/>
      <c r="I677" s="177"/>
      <c r="J677" s="795"/>
      <c r="K677" s="795"/>
      <c r="L677" s="795"/>
      <c r="M677" s="179"/>
      <c r="N677" s="35"/>
      <c r="O677" s="775"/>
      <c r="P677" s="26"/>
      <c r="Q677" s="26"/>
      <c r="R677" s="26"/>
      <c r="S677" s="26"/>
      <c r="T677" s="26"/>
      <c r="U677" s="26"/>
      <c r="V677" s="26"/>
      <c r="W677" s="26"/>
      <c r="X677" s="26"/>
      <c r="Y677" s="26"/>
      <c r="Z677" s="26"/>
      <c r="AA677" s="26"/>
      <c r="AB677" s="26"/>
      <c r="AC677" s="26"/>
      <c r="AD677" s="26"/>
      <c r="AE677" s="26"/>
      <c r="AF677" s="26"/>
      <c r="AG677" s="26"/>
      <c r="AH677" s="26"/>
      <c r="AI677" s="26"/>
      <c r="AJ677" s="26"/>
      <c r="AK677" s="26"/>
      <c r="AL677" s="110"/>
      <c r="AM677" s="26"/>
      <c r="AN677" s="26"/>
      <c r="AO677" s="26"/>
      <c r="AP677" s="26"/>
      <c r="AQ677" s="86"/>
    </row>
    <row r="678" spans="1:43" s="459" customFormat="1" ht="15" x14ac:dyDescent="0.25">
      <c r="A678" s="894" t="s">
        <v>918</v>
      </c>
      <c r="B678" s="895"/>
      <c r="C678" s="895"/>
      <c r="D678" s="895"/>
      <c r="E678" s="895"/>
      <c r="F678" s="895"/>
      <c r="G678" s="895"/>
      <c r="H678" s="895"/>
      <c r="I678" s="895"/>
      <c r="J678" s="895"/>
      <c r="K678" s="895"/>
      <c r="L678" s="895"/>
      <c r="M678" s="895"/>
      <c r="N678" s="896"/>
      <c r="O678" s="527"/>
      <c r="P678" s="528">
        <f t="shared" ref="P678:Z678" si="318">+P676+P546+P536+P470+P364+P347+P273+P231+P199+P122+P79+P65+P22</f>
        <v>2761249840.2599998</v>
      </c>
      <c r="Q678" s="528">
        <f t="shared" si="318"/>
        <v>4106001782.29</v>
      </c>
      <c r="R678" s="528">
        <f t="shared" si="318"/>
        <v>9884120547.2099991</v>
      </c>
      <c r="S678" s="528">
        <f t="shared" si="318"/>
        <v>9145274815.1000004</v>
      </c>
      <c r="T678" s="528">
        <f t="shared" si="318"/>
        <v>80296670</v>
      </c>
      <c r="U678" s="528">
        <f t="shared" si="318"/>
        <v>636637204.06999993</v>
      </c>
      <c r="V678" s="528">
        <f t="shared" si="318"/>
        <v>8319123642</v>
      </c>
      <c r="W678" s="528">
        <f t="shared" si="318"/>
        <v>5020955903.996911</v>
      </c>
      <c r="X678" s="528">
        <f t="shared" si="318"/>
        <v>3775114443</v>
      </c>
      <c r="Y678" s="528">
        <f t="shared" si="318"/>
        <v>5974899521</v>
      </c>
      <c r="Z678" s="528">
        <f t="shared" si="318"/>
        <v>17995884298</v>
      </c>
      <c r="AA678" s="528">
        <f t="shared" ref="AA678:AK678" si="319">+AA676+AA546+AA536+AA470+AA364+AA347+AA273+AA231+AA199+AA122+AA79+AA65+AA22</f>
        <v>0</v>
      </c>
      <c r="AB678" s="528">
        <f t="shared" si="319"/>
        <v>1375125452.1300001</v>
      </c>
      <c r="AC678" s="528">
        <f t="shared" si="319"/>
        <v>8005242942</v>
      </c>
      <c r="AD678" s="528">
        <f t="shared" si="319"/>
        <v>107645394041</v>
      </c>
      <c r="AE678" s="528">
        <f t="shared" si="319"/>
        <v>18840890009</v>
      </c>
      <c r="AF678" s="528">
        <f t="shared" si="319"/>
        <v>1165770164</v>
      </c>
      <c r="AG678" s="528">
        <f t="shared" si="319"/>
        <v>6431354</v>
      </c>
      <c r="AH678" s="528">
        <f t="shared" si="319"/>
        <v>1341180171</v>
      </c>
      <c r="AI678" s="528">
        <f t="shared" si="319"/>
        <v>488921512</v>
      </c>
      <c r="AJ678" s="528">
        <f t="shared" si="319"/>
        <v>9011218541</v>
      </c>
      <c r="AK678" s="528">
        <f t="shared" si="319"/>
        <v>2432800182</v>
      </c>
      <c r="AL678" s="528">
        <f t="shared" ref="AL678:AQ678" si="320">+AL676+AL546+AL536+AL470+AL364+AL347+AL273+AL231+AL199+AL122+AL79+AL65+AL22</f>
        <v>27629288524</v>
      </c>
      <c r="AM678" s="528">
        <f t="shared" si="320"/>
        <v>0</v>
      </c>
      <c r="AN678" s="528">
        <f t="shared" si="320"/>
        <v>976977065</v>
      </c>
      <c r="AO678" s="528">
        <f t="shared" si="320"/>
        <v>3782057171</v>
      </c>
      <c r="AP678" s="528">
        <f t="shared" si="320"/>
        <v>0</v>
      </c>
      <c r="AQ678" s="709">
        <f t="shared" si="320"/>
        <v>250400855795.05692</v>
      </c>
    </row>
    <row r="679" spans="1:43" s="459" customFormat="1" ht="36.75" customHeight="1" x14ac:dyDescent="0.25">
      <c r="A679" s="529"/>
      <c r="B679" s="529"/>
      <c r="C679" s="530"/>
      <c r="D679" s="529"/>
      <c r="E679" s="530"/>
      <c r="F679" s="530"/>
      <c r="G679" s="529"/>
      <c r="H679" s="530"/>
      <c r="I679" s="529"/>
      <c r="J679" s="530"/>
      <c r="K679" s="530"/>
      <c r="L679" s="530"/>
      <c r="M679" s="531"/>
      <c r="N679" s="529"/>
      <c r="O679" s="530"/>
      <c r="P679" s="532"/>
      <c r="Q679" s="532"/>
      <c r="R679" s="532"/>
      <c r="S679" s="532"/>
      <c r="T679" s="532"/>
      <c r="U679" s="532"/>
      <c r="V679" s="532"/>
      <c r="W679" s="532"/>
      <c r="X679" s="532"/>
      <c r="Y679" s="532"/>
      <c r="Z679" s="532"/>
      <c r="AA679" s="532"/>
      <c r="AB679" s="532"/>
      <c r="AC679" s="532"/>
      <c r="AD679" s="532"/>
      <c r="AE679" s="532"/>
      <c r="AF679" s="532"/>
      <c r="AG679" s="532"/>
      <c r="AH679" s="532"/>
      <c r="AI679" s="532"/>
      <c r="AJ679" s="532"/>
      <c r="AK679" s="532"/>
      <c r="AL679" s="532"/>
      <c r="AM679" s="532"/>
      <c r="AN679" s="532"/>
      <c r="AO679" s="532"/>
      <c r="AP679" s="532"/>
      <c r="AQ679" s="839"/>
    </row>
    <row r="680" spans="1:43" ht="23.25" x14ac:dyDescent="0.25">
      <c r="A680" s="533" t="s">
        <v>831</v>
      </c>
      <c r="B680" s="534"/>
      <c r="C680" s="535"/>
      <c r="D680" s="534"/>
      <c r="E680" s="534"/>
      <c r="F680" s="534"/>
      <c r="G680" s="534"/>
      <c r="H680" s="535"/>
      <c r="I680" s="534"/>
      <c r="J680" s="534"/>
      <c r="K680" s="534"/>
      <c r="L680" s="534"/>
      <c r="M680" s="650"/>
      <c r="N680" s="534"/>
      <c r="O680" s="535"/>
      <c r="P680" s="534"/>
      <c r="Q680" s="534"/>
      <c r="R680" s="534"/>
      <c r="S680" s="534"/>
      <c r="T680" s="534"/>
      <c r="U680" s="534"/>
      <c r="V680" s="534"/>
      <c r="W680" s="534"/>
      <c r="X680" s="534"/>
      <c r="Y680" s="534"/>
      <c r="Z680" s="534"/>
      <c r="AA680" s="534"/>
      <c r="AB680" s="534"/>
      <c r="AC680" s="534"/>
      <c r="AD680" s="534"/>
      <c r="AE680" s="534"/>
      <c r="AF680" s="534"/>
      <c r="AG680" s="534"/>
      <c r="AH680" s="534"/>
      <c r="AI680" s="534"/>
      <c r="AJ680" s="534"/>
      <c r="AK680" s="534"/>
      <c r="AL680" s="536"/>
      <c r="AM680" s="537"/>
      <c r="AN680" s="534"/>
      <c r="AO680" s="534"/>
      <c r="AP680" s="534"/>
      <c r="AQ680" s="646"/>
    </row>
    <row r="681" spans="1:43" ht="15" x14ac:dyDescent="0.25">
      <c r="A681" s="139">
        <v>3</v>
      </c>
      <c r="B681" s="140" t="s">
        <v>420</v>
      </c>
      <c r="C681" s="141"/>
      <c r="D681" s="140"/>
      <c r="E681" s="140"/>
      <c r="F681" s="140"/>
      <c r="G681" s="140"/>
      <c r="H681" s="141"/>
      <c r="I681" s="140"/>
      <c r="J681" s="140"/>
      <c r="K681" s="140"/>
      <c r="L681" s="140"/>
      <c r="M681" s="651"/>
      <c r="N681" s="140"/>
      <c r="O681" s="140"/>
      <c r="P681" s="140"/>
      <c r="Q681" s="140"/>
      <c r="R681" s="140"/>
      <c r="S681" s="140"/>
      <c r="T681" s="140"/>
      <c r="U681" s="140"/>
      <c r="V681" s="140"/>
      <c r="W681" s="140"/>
      <c r="X681" s="140"/>
      <c r="Y681" s="140"/>
      <c r="Z681" s="140"/>
      <c r="AA681" s="140"/>
      <c r="AB681" s="140"/>
      <c r="AC681" s="140"/>
      <c r="AD681" s="140"/>
      <c r="AE681" s="140"/>
      <c r="AF681" s="140"/>
      <c r="AG681" s="140"/>
      <c r="AH681" s="140"/>
      <c r="AI681" s="140"/>
      <c r="AJ681" s="140"/>
      <c r="AK681" s="140"/>
      <c r="AL681" s="142"/>
      <c r="AM681" s="140"/>
      <c r="AN681" s="140"/>
      <c r="AO681" s="140"/>
      <c r="AP681" s="140"/>
      <c r="AQ681" s="708"/>
    </row>
    <row r="682" spans="1:43" ht="15" x14ac:dyDescent="0.25">
      <c r="A682" s="185"/>
      <c r="B682" s="243">
        <v>20</v>
      </c>
      <c r="C682" s="147" t="s">
        <v>832</v>
      </c>
      <c r="D682" s="146"/>
      <c r="E682" s="146"/>
      <c r="F682" s="146"/>
      <c r="G682" s="146"/>
      <c r="H682" s="147"/>
      <c r="I682" s="146"/>
      <c r="J682" s="146"/>
      <c r="K682" s="146"/>
      <c r="L682" s="146"/>
      <c r="M682" s="652"/>
      <c r="N682" s="146"/>
      <c r="O682" s="146"/>
      <c r="P682" s="146"/>
      <c r="Q682" s="146"/>
      <c r="R682" s="146"/>
      <c r="S682" s="146"/>
      <c r="T682" s="146"/>
      <c r="U682" s="146"/>
      <c r="V682" s="146"/>
      <c r="W682" s="146"/>
      <c r="X682" s="146"/>
      <c r="Y682" s="146"/>
      <c r="Z682" s="146"/>
      <c r="AA682" s="146"/>
      <c r="AB682" s="146"/>
      <c r="AC682" s="146"/>
      <c r="AD682" s="146"/>
      <c r="AE682" s="146"/>
      <c r="AF682" s="146"/>
      <c r="AG682" s="146"/>
      <c r="AH682" s="146"/>
      <c r="AI682" s="146"/>
      <c r="AJ682" s="146"/>
      <c r="AK682" s="146"/>
      <c r="AL682" s="148"/>
      <c r="AM682" s="146"/>
      <c r="AN682" s="146"/>
      <c r="AO682" s="146"/>
      <c r="AP682" s="146"/>
      <c r="AQ682" s="524"/>
    </row>
    <row r="683" spans="1:43" ht="15" x14ac:dyDescent="0.25">
      <c r="A683" s="20"/>
      <c r="B683" s="185"/>
      <c r="C683" s="795"/>
      <c r="D683" s="177"/>
      <c r="E683" s="795"/>
      <c r="F683" s="773"/>
      <c r="G683" s="344">
        <v>68</v>
      </c>
      <c r="H683" s="902" t="s">
        <v>833</v>
      </c>
      <c r="I683" s="902"/>
      <c r="J683" s="902"/>
      <c r="K683" s="902"/>
      <c r="L683" s="902"/>
      <c r="M683" s="902"/>
      <c r="N683" s="902"/>
      <c r="O683" s="902"/>
      <c r="P683" s="189"/>
      <c r="Q683" s="189"/>
      <c r="R683" s="189"/>
      <c r="S683" s="189"/>
      <c r="T683" s="189"/>
      <c r="U683" s="189"/>
      <c r="V683" s="189"/>
      <c r="W683" s="189"/>
      <c r="X683" s="189"/>
      <c r="Y683" s="189"/>
      <c r="Z683" s="189"/>
      <c r="AA683" s="245">
        <f>+AA684-128000000</f>
        <v>173252550</v>
      </c>
      <c r="AB683" s="189"/>
      <c r="AC683" s="189"/>
      <c r="AD683" s="189"/>
      <c r="AE683" s="189"/>
      <c r="AF683" s="189"/>
      <c r="AG683" s="189"/>
      <c r="AH683" s="189"/>
      <c r="AI683" s="189"/>
      <c r="AJ683" s="189"/>
      <c r="AK683" s="189"/>
      <c r="AL683" s="190"/>
      <c r="AM683" s="189"/>
      <c r="AN683" s="189"/>
      <c r="AO683" s="189"/>
      <c r="AP683" s="189"/>
      <c r="AQ683" s="521"/>
    </row>
    <row r="684" spans="1:43" s="28" customFormat="1" ht="74.25" customHeight="1" x14ac:dyDescent="0.25">
      <c r="A684" s="20"/>
      <c r="B684" s="20"/>
      <c r="C684" s="861">
        <v>36</v>
      </c>
      <c r="D684" s="876" t="s">
        <v>834</v>
      </c>
      <c r="E684" s="879">
        <v>0.4</v>
      </c>
      <c r="F684" s="882">
        <v>0.6</v>
      </c>
      <c r="G684" s="23"/>
      <c r="H684" s="773">
        <v>202</v>
      </c>
      <c r="I684" s="774" t="s">
        <v>835</v>
      </c>
      <c r="J684" s="31">
        <v>23</v>
      </c>
      <c r="K684" s="31">
        <v>23</v>
      </c>
      <c r="L684" s="31" t="s">
        <v>836</v>
      </c>
      <c r="M684" s="872" t="s">
        <v>837</v>
      </c>
      <c r="N684" s="897" t="s">
        <v>838</v>
      </c>
      <c r="O684" s="31" t="s">
        <v>38</v>
      </c>
      <c r="P684" s="26">
        <v>0</v>
      </c>
      <c r="Q684" s="26">
        <v>0</v>
      </c>
      <c r="R684" s="26">
        <v>0</v>
      </c>
      <c r="S684" s="26">
        <v>0</v>
      </c>
      <c r="T684" s="26">
        <v>0</v>
      </c>
      <c r="U684" s="26">
        <v>0</v>
      </c>
      <c r="V684" s="26">
        <v>0</v>
      </c>
      <c r="W684" s="26"/>
      <c r="X684" s="26"/>
      <c r="Y684" s="26"/>
      <c r="Z684" s="26">
        <v>0</v>
      </c>
      <c r="AA684" s="198">
        <f>288000000-160000000+158252550+112611784-112611784+15000000</f>
        <v>301252550</v>
      </c>
      <c r="AB684" s="26">
        <v>0</v>
      </c>
      <c r="AC684" s="26">
        <v>0</v>
      </c>
      <c r="AD684" s="26"/>
      <c r="AE684" s="26"/>
      <c r="AF684" s="26"/>
      <c r="AG684" s="26"/>
      <c r="AH684" s="26"/>
      <c r="AI684" s="26"/>
      <c r="AJ684" s="26">
        <v>0</v>
      </c>
      <c r="AK684" s="26">
        <v>0</v>
      </c>
      <c r="AL684" s="110">
        <f>310000000+17337233</f>
        <v>327337233</v>
      </c>
      <c r="AM684" s="38"/>
      <c r="AN684" s="539"/>
      <c r="AO684" s="27">
        <v>0</v>
      </c>
      <c r="AP684" s="27"/>
      <c r="AQ684" s="26">
        <f>P684+Q684+R684+S684+T684+U684+V684+W684+X684+Y684+Z684+AA684+AB684+AC684+AD684+AE684+AF684+AG684+AH684+AI684+AJ684+AK684+AL684+AM684+AN684+AP684+AO684</f>
        <v>628589783</v>
      </c>
    </row>
    <row r="685" spans="1:43" s="28" customFormat="1" ht="84.75" customHeight="1" x14ac:dyDescent="0.25">
      <c r="A685" s="20"/>
      <c r="B685" s="20"/>
      <c r="C685" s="862"/>
      <c r="D685" s="878"/>
      <c r="E685" s="881"/>
      <c r="F685" s="884"/>
      <c r="G685" s="29"/>
      <c r="H685" s="773">
        <v>203</v>
      </c>
      <c r="I685" s="774" t="s">
        <v>943</v>
      </c>
      <c r="J685" s="31">
        <v>20</v>
      </c>
      <c r="K685" s="31">
        <v>20</v>
      </c>
      <c r="L685" s="31" t="s">
        <v>836</v>
      </c>
      <c r="M685" s="874"/>
      <c r="N685" s="898"/>
      <c r="O685" s="31" t="s">
        <v>38</v>
      </c>
      <c r="P685" s="26">
        <v>0</v>
      </c>
      <c r="Q685" s="26">
        <v>0</v>
      </c>
      <c r="R685" s="26">
        <v>0</v>
      </c>
      <c r="S685" s="26">
        <v>0</v>
      </c>
      <c r="T685" s="26">
        <v>0</v>
      </c>
      <c r="U685" s="26">
        <v>0</v>
      </c>
      <c r="V685" s="26">
        <v>0</v>
      </c>
      <c r="W685" s="26"/>
      <c r="X685" s="26"/>
      <c r="Y685" s="26"/>
      <c r="Z685" s="26">
        <v>0</v>
      </c>
      <c r="AA685" s="26">
        <v>160000000</v>
      </c>
      <c r="AB685" s="26">
        <v>0</v>
      </c>
      <c r="AC685" s="26">
        <v>0</v>
      </c>
      <c r="AD685" s="26"/>
      <c r="AE685" s="26"/>
      <c r="AF685" s="26"/>
      <c r="AG685" s="26"/>
      <c r="AH685" s="26"/>
      <c r="AI685" s="26"/>
      <c r="AJ685" s="26">
        <v>0</v>
      </c>
      <c r="AK685" s="26">
        <v>0</v>
      </c>
      <c r="AL685" s="539">
        <f>310000000-310000000</f>
        <v>0</v>
      </c>
      <c r="AM685" s="539"/>
      <c r="AN685" s="540">
        <v>0</v>
      </c>
      <c r="AO685" s="27">
        <v>0</v>
      </c>
      <c r="AP685" s="27"/>
      <c r="AQ685" s="26">
        <f>P685+Q685+R685+S685+T685+U685+V685+W685+X685+Y685+Z685+AA685+AB685+AC685+AD685+AE685+AF685+AG685+AH685+AI685+AJ685+AK685+AL685+AM685+AN685+AP685+AO685</f>
        <v>160000000</v>
      </c>
    </row>
    <row r="686" spans="1:43" ht="15" x14ac:dyDescent="0.25">
      <c r="A686" s="20"/>
      <c r="B686" s="20"/>
      <c r="C686" s="215"/>
      <c r="D686" s="153"/>
      <c r="E686" s="579"/>
      <c r="F686" s="579"/>
      <c r="G686" s="154"/>
      <c r="H686" s="155"/>
      <c r="I686" s="154"/>
      <c r="J686" s="316"/>
      <c r="K686" s="316"/>
      <c r="L686" s="316"/>
      <c r="M686" s="380"/>
      <c r="N686" s="303"/>
      <c r="O686" s="411">
        <f t="shared" ref="O686:AJ686" si="321">SUM(O684:O685)</f>
        <v>0</v>
      </c>
      <c r="P686" s="446">
        <f t="shared" si="321"/>
        <v>0</v>
      </c>
      <c r="Q686" s="446">
        <f t="shared" si="321"/>
        <v>0</v>
      </c>
      <c r="R686" s="446">
        <f t="shared" si="321"/>
        <v>0</v>
      </c>
      <c r="S686" s="446">
        <f t="shared" si="321"/>
        <v>0</v>
      </c>
      <c r="T686" s="446">
        <f t="shared" si="321"/>
        <v>0</v>
      </c>
      <c r="U686" s="446">
        <f t="shared" si="321"/>
        <v>0</v>
      </c>
      <c r="V686" s="446">
        <f t="shared" si="321"/>
        <v>0</v>
      </c>
      <c r="W686" s="446">
        <f t="shared" si="321"/>
        <v>0</v>
      </c>
      <c r="X686" s="446">
        <f t="shared" si="321"/>
        <v>0</v>
      </c>
      <c r="Y686" s="446">
        <f t="shared" si="321"/>
        <v>0</v>
      </c>
      <c r="Z686" s="446">
        <f t="shared" si="321"/>
        <v>0</v>
      </c>
      <c r="AA686" s="446">
        <f t="shared" si="321"/>
        <v>461252550</v>
      </c>
      <c r="AB686" s="446">
        <f t="shared" si="321"/>
        <v>0</v>
      </c>
      <c r="AC686" s="446">
        <f t="shared" si="321"/>
        <v>0</v>
      </c>
      <c r="AD686" s="446">
        <f t="shared" si="321"/>
        <v>0</v>
      </c>
      <c r="AE686" s="446">
        <f t="shared" si="321"/>
        <v>0</v>
      </c>
      <c r="AF686" s="446">
        <f t="shared" si="321"/>
        <v>0</v>
      </c>
      <c r="AG686" s="446">
        <f t="shared" si="321"/>
        <v>0</v>
      </c>
      <c r="AH686" s="446">
        <f t="shared" si="321"/>
        <v>0</v>
      </c>
      <c r="AI686" s="446">
        <f t="shared" si="321"/>
        <v>0</v>
      </c>
      <c r="AJ686" s="446">
        <f t="shared" si="321"/>
        <v>0</v>
      </c>
      <c r="AK686" s="446">
        <f t="shared" ref="AK686:AP686" si="322">SUM(AK684:AK685)</f>
        <v>0</v>
      </c>
      <c r="AL686" s="446">
        <f t="shared" si="322"/>
        <v>327337233</v>
      </c>
      <c r="AM686" s="446">
        <f t="shared" si="322"/>
        <v>0</v>
      </c>
      <c r="AN686" s="446">
        <f t="shared" si="322"/>
        <v>0</v>
      </c>
      <c r="AO686" s="446">
        <f t="shared" si="322"/>
        <v>0</v>
      </c>
      <c r="AP686" s="446">
        <f t="shared" si="322"/>
        <v>0</v>
      </c>
      <c r="AQ686" s="446">
        <f>SUM(AQ684:AQ685)</f>
        <v>788589783</v>
      </c>
    </row>
    <row r="687" spans="1:43" ht="15" x14ac:dyDescent="0.25">
      <c r="A687" s="20"/>
      <c r="B687" s="20"/>
      <c r="C687" s="795"/>
      <c r="D687" s="177"/>
      <c r="E687" s="795"/>
      <c r="F687" s="795"/>
      <c r="G687" s="177"/>
      <c r="H687" s="795"/>
      <c r="I687" s="177"/>
      <c r="J687" s="795"/>
      <c r="K687" s="795"/>
      <c r="L687" s="776"/>
      <c r="M687" s="234"/>
      <c r="N687" s="223"/>
      <c r="O687" s="795"/>
      <c r="P687" s="180"/>
      <c r="Q687" s="180"/>
      <c r="R687" s="180"/>
      <c r="S687" s="180"/>
      <c r="T687" s="180"/>
      <c r="U687" s="180"/>
      <c r="V687" s="180"/>
      <c r="W687" s="180"/>
      <c r="X687" s="180"/>
      <c r="Y687" s="180"/>
      <c r="Z687" s="180"/>
      <c r="AA687" s="180"/>
      <c r="AB687" s="180"/>
      <c r="AC687" s="180"/>
      <c r="AD687" s="181"/>
      <c r="AE687" s="181"/>
      <c r="AF687" s="181"/>
      <c r="AG687" s="181"/>
      <c r="AH687" s="181"/>
      <c r="AI687" s="181"/>
      <c r="AJ687" s="180"/>
      <c r="AK687" s="180"/>
      <c r="AL687" s="182"/>
      <c r="AM687" s="183"/>
      <c r="AN687" s="180"/>
      <c r="AO687" s="180"/>
      <c r="AP687" s="180"/>
      <c r="AQ687" s="26"/>
    </row>
    <row r="688" spans="1:43" ht="15" x14ac:dyDescent="0.25">
      <c r="A688" s="20"/>
      <c r="B688" s="20"/>
      <c r="C688" s="795"/>
      <c r="D688" s="153"/>
      <c r="E688" s="579"/>
      <c r="F688" s="579"/>
      <c r="G688" s="344">
        <v>69</v>
      </c>
      <c r="H688" s="189" t="s">
        <v>839</v>
      </c>
      <c r="I688" s="189"/>
      <c r="J688" s="189"/>
      <c r="K688" s="189"/>
      <c r="L688" s="189"/>
      <c r="M688" s="659"/>
      <c r="N688" s="189"/>
      <c r="O688" s="189"/>
      <c r="P688" s="189"/>
      <c r="Q688" s="189"/>
      <c r="R688" s="189"/>
      <c r="S688" s="189"/>
      <c r="T688" s="189"/>
      <c r="U688" s="189"/>
      <c r="V688" s="189"/>
      <c r="W688" s="189"/>
      <c r="X688" s="189"/>
      <c r="Y688" s="189"/>
      <c r="Z688" s="189"/>
      <c r="AA688" s="189"/>
      <c r="AB688" s="189"/>
      <c r="AC688" s="189"/>
      <c r="AD688" s="189"/>
      <c r="AE688" s="189"/>
      <c r="AF688" s="189"/>
      <c r="AG688" s="189"/>
      <c r="AH688" s="189"/>
      <c r="AI688" s="189"/>
      <c r="AJ688" s="189"/>
      <c r="AK688" s="189"/>
      <c r="AL688" s="190"/>
      <c r="AM688" s="189"/>
      <c r="AN688" s="189"/>
      <c r="AO688" s="189"/>
      <c r="AP688" s="189"/>
      <c r="AQ688" s="521"/>
    </row>
    <row r="689" spans="1:43" s="28" customFormat="1" ht="65.099999999999994" customHeight="1" x14ac:dyDescent="0.25">
      <c r="A689" s="20"/>
      <c r="B689" s="20"/>
      <c r="C689" s="773">
        <v>36</v>
      </c>
      <c r="D689" s="54" t="s">
        <v>834</v>
      </c>
      <c r="E689" s="482">
        <v>0.4</v>
      </c>
      <c r="F689" s="483">
        <v>0.6</v>
      </c>
      <c r="G689" s="774"/>
      <c r="H689" s="775">
        <v>204</v>
      </c>
      <c r="I689" s="774" t="s">
        <v>840</v>
      </c>
      <c r="J689" s="31">
        <v>13</v>
      </c>
      <c r="K689" s="31">
        <v>13</v>
      </c>
      <c r="L689" s="31" t="s">
        <v>836</v>
      </c>
      <c r="M689" s="812" t="s">
        <v>837</v>
      </c>
      <c r="N689" s="70" t="s">
        <v>838</v>
      </c>
      <c r="O689" s="31" t="s">
        <v>38</v>
      </c>
      <c r="P689" s="26">
        <v>0</v>
      </c>
      <c r="Q689" s="26">
        <v>0</v>
      </c>
      <c r="R689" s="26">
        <v>0</v>
      </c>
      <c r="S689" s="26">
        <v>0</v>
      </c>
      <c r="T689" s="26">
        <v>0</v>
      </c>
      <c r="U689" s="26">
        <v>0</v>
      </c>
      <c r="V689" s="26">
        <v>0</v>
      </c>
      <c r="W689" s="26"/>
      <c r="X689" s="26"/>
      <c r="Y689" s="26"/>
      <c r="Z689" s="26">
        <v>0</v>
      </c>
      <c r="AA689" s="26">
        <v>112611783.81</v>
      </c>
      <c r="AB689" s="26">
        <v>0</v>
      </c>
      <c r="AC689" s="26">
        <v>0</v>
      </c>
      <c r="AD689" s="26"/>
      <c r="AE689" s="26"/>
      <c r="AF689" s="26"/>
      <c r="AG689" s="26"/>
      <c r="AH689" s="26"/>
      <c r="AI689" s="26"/>
      <c r="AJ689" s="26">
        <v>0</v>
      </c>
      <c r="AK689" s="26">
        <v>0</v>
      </c>
      <c r="AL689" s="110">
        <v>113400000</v>
      </c>
      <c r="AM689" s="18"/>
      <c r="AN689" s="26">
        <v>5276896</v>
      </c>
      <c r="AO689" s="27">
        <v>0</v>
      </c>
      <c r="AP689" s="27"/>
      <c r="AQ689" s="26">
        <f>P689+Q689+R689+S689+T689+U689+V689+W689+X689+Y689+Z689+AA689+AB689+AC689+AD689+AE689+AF689+AG689+AH689+AI689+AJ689+AK689+AL689+AM689+AN689+AP689+AO689</f>
        <v>231288679.81</v>
      </c>
    </row>
    <row r="690" spans="1:43" ht="15" x14ac:dyDescent="0.25">
      <c r="A690" s="20"/>
      <c r="B690" s="20"/>
      <c r="C690" s="215"/>
      <c r="D690" s="153"/>
      <c r="E690" s="579"/>
      <c r="F690" s="579"/>
      <c r="G690" s="154"/>
      <c r="H690" s="155"/>
      <c r="I690" s="154"/>
      <c r="J690" s="316"/>
      <c r="K690" s="316"/>
      <c r="L690" s="316"/>
      <c r="M690" s="380"/>
      <c r="N690" s="303"/>
      <c r="O690" s="316"/>
      <c r="P690" s="158">
        <f t="shared" ref="P690:AK690" si="323">SUM(P689)</f>
        <v>0</v>
      </c>
      <c r="Q690" s="158">
        <f t="shared" si="323"/>
        <v>0</v>
      </c>
      <c r="R690" s="158">
        <f t="shared" si="323"/>
        <v>0</v>
      </c>
      <c r="S690" s="158">
        <f t="shared" si="323"/>
        <v>0</v>
      </c>
      <c r="T690" s="158">
        <f t="shared" si="323"/>
        <v>0</v>
      </c>
      <c r="U690" s="158">
        <f t="shared" si="323"/>
        <v>0</v>
      </c>
      <c r="V690" s="158">
        <f t="shared" si="323"/>
        <v>0</v>
      </c>
      <c r="W690" s="158">
        <f t="shared" si="323"/>
        <v>0</v>
      </c>
      <c r="X690" s="158">
        <f t="shared" si="323"/>
        <v>0</v>
      </c>
      <c r="Y690" s="158">
        <f t="shared" si="323"/>
        <v>0</v>
      </c>
      <c r="Z690" s="158">
        <f t="shared" si="323"/>
        <v>0</v>
      </c>
      <c r="AA690" s="158">
        <f t="shared" si="323"/>
        <v>112611783.81</v>
      </c>
      <c r="AB690" s="158">
        <f t="shared" si="323"/>
        <v>0</v>
      </c>
      <c r="AC690" s="158">
        <f t="shared" si="323"/>
        <v>0</v>
      </c>
      <c r="AD690" s="158">
        <f t="shared" si="323"/>
        <v>0</v>
      </c>
      <c r="AE690" s="158">
        <f t="shared" si="323"/>
        <v>0</v>
      </c>
      <c r="AF690" s="158">
        <f t="shared" si="323"/>
        <v>0</v>
      </c>
      <c r="AG690" s="158">
        <f t="shared" si="323"/>
        <v>0</v>
      </c>
      <c r="AH690" s="158">
        <f t="shared" si="323"/>
        <v>0</v>
      </c>
      <c r="AI690" s="158">
        <f t="shared" si="323"/>
        <v>0</v>
      </c>
      <c r="AJ690" s="158">
        <f t="shared" si="323"/>
        <v>0</v>
      </c>
      <c r="AK690" s="158">
        <f t="shared" si="323"/>
        <v>0</v>
      </c>
      <c r="AL690" s="158">
        <f t="shared" ref="AL690:AP690" si="324">SUM(AL689)</f>
        <v>113400000</v>
      </c>
      <c r="AM690" s="158">
        <f t="shared" si="324"/>
        <v>0</v>
      </c>
      <c r="AN690" s="158">
        <f t="shared" si="324"/>
        <v>5276896</v>
      </c>
      <c r="AO690" s="158">
        <f t="shared" si="324"/>
        <v>0</v>
      </c>
      <c r="AP690" s="158">
        <f t="shared" si="324"/>
        <v>0</v>
      </c>
      <c r="AQ690" s="158">
        <f>SUM(AQ689)</f>
        <v>231288679.81</v>
      </c>
    </row>
    <row r="691" spans="1:43" ht="15" x14ac:dyDescent="0.25">
      <c r="A691" s="20"/>
      <c r="B691" s="20"/>
      <c r="C691" s="795"/>
      <c r="D691" s="177"/>
      <c r="E691" s="795"/>
      <c r="F691" s="795"/>
      <c r="G691" s="177"/>
      <c r="H691" s="795"/>
      <c r="I691" s="177"/>
      <c r="J691" s="795"/>
      <c r="K691" s="795"/>
      <c r="L691" s="776"/>
      <c r="M691" s="234"/>
      <c r="N691" s="223"/>
      <c r="O691" s="795"/>
      <c r="P691" s="180"/>
      <c r="Q691" s="180"/>
      <c r="R691" s="180"/>
      <c r="S691" s="180"/>
      <c r="T691" s="180"/>
      <c r="U691" s="180"/>
      <c r="V691" s="180"/>
      <c r="W691" s="180"/>
      <c r="X691" s="180"/>
      <c r="Y691" s="180"/>
      <c r="Z691" s="180"/>
      <c r="AA691" s="180"/>
      <c r="AB691" s="180"/>
      <c r="AC691" s="180"/>
      <c r="AD691" s="181"/>
      <c r="AE691" s="181"/>
      <c r="AF691" s="181"/>
      <c r="AG691" s="181"/>
      <c r="AH691" s="181"/>
      <c r="AI691" s="181"/>
      <c r="AJ691" s="180"/>
      <c r="AK691" s="180"/>
      <c r="AL691" s="182"/>
      <c r="AM691" s="183"/>
      <c r="AN691" s="180"/>
      <c r="AO691" s="180"/>
      <c r="AP691" s="180"/>
      <c r="AQ691" s="26"/>
    </row>
    <row r="692" spans="1:43" ht="15" x14ac:dyDescent="0.25">
      <c r="A692" s="20"/>
      <c r="B692" s="20"/>
      <c r="C692" s="795"/>
      <c r="D692" s="153"/>
      <c r="E692" s="579"/>
      <c r="F692" s="579"/>
      <c r="G692" s="344">
        <v>70</v>
      </c>
      <c r="H692" s="189" t="s">
        <v>841</v>
      </c>
      <c r="I692" s="189"/>
      <c r="J692" s="189"/>
      <c r="K692" s="189"/>
      <c r="L692" s="189"/>
      <c r="M692" s="659"/>
      <c r="N692" s="189"/>
      <c r="O692" s="189"/>
      <c r="P692" s="189"/>
      <c r="Q692" s="189"/>
      <c r="R692" s="189"/>
      <c r="S692" s="189"/>
      <c r="T692" s="189"/>
      <c r="U692" s="189"/>
      <c r="V692" s="189"/>
      <c r="W692" s="189"/>
      <c r="X692" s="189"/>
      <c r="Y692" s="189"/>
      <c r="Z692" s="189"/>
      <c r="AA692" s="189"/>
      <c r="AB692" s="189"/>
      <c r="AC692" s="189"/>
      <c r="AD692" s="189"/>
      <c r="AE692" s="189"/>
      <c r="AF692" s="189"/>
      <c r="AG692" s="189"/>
      <c r="AH692" s="189"/>
      <c r="AI692" s="189"/>
      <c r="AJ692" s="189"/>
      <c r="AK692" s="189"/>
      <c r="AL692" s="190"/>
      <c r="AM692" s="189"/>
      <c r="AN692" s="189"/>
      <c r="AO692" s="189"/>
      <c r="AP692" s="189"/>
      <c r="AQ692" s="521"/>
    </row>
    <row r="693" spans="1:43" s="28" customFormat="1" ht="54.75" customHeight="1" x14ac:dyDescent="0.25">
      <c r="A693" s="20"/>
      <c r="B693" s="20"/>
      <c r="C693" s="773">
        <v>36</v>
      </c>
      <c r="D693" s="54" t="s">
        <v>834</v>
      </c>
      <c r="E693" s="482">
        <v>0.4</v>
      </c>
      <c r="F693" s="483">
        <v>0.6</v>
      </c>
      <c r="G693" s="774"/>
      <c r="H693" s="775">
        <v>205</v>
      </c>
      <c r="I693" s="774" t="s">
        <v>842</v>
      </c>
      <c r="J693" s="31">
        <v>4</v>
      </c>
      <c r="K693" s="31">
        <v>1</v>
      </c>
      <c r="L693" s="31" t="s">
        <v>836</v>
      </c>
      <c r="M693" s="812" t="s">
        <v>843</v>
      </c>
      <c r="N693" s="541" t="s">
        <v>844</v>
      </c>
      <c r="O693" s="31" t="s">
        <v>34</v>
      </c>
      <c r="P693" s="26">
        <v>0</v>
      </c>
      <c r="Q693" s="26">
        <v>0</v>
      </c>
      <c r="R693" s="26">
        <v>0</v>
      </c>
      <c r="S693" s="26">
        <v>0</v>
      </c>
      <c r="T693" s="26">
        <v>0</v>
      </c>
      <c r="U693" s="26">
        <v>0</v>
      </c>
      <c r="V693" s="26">
        <v>0</v>
      </c>
      <c r="W693" s="26"/>
      <c r="X693" s="26"/>
      <c r="Y693" s="26"/>
      <c r="Z693" s="26">
        <v>0</v>
      </c>
      <c r="AA693" s="26"/>
      <c r="AB693" s="26">
        <v>0</v>
      </c>
      <c r="AC693" s="26">
        <v>0</v>
      </c>
      <c r="AD693" s="26"/>
      <c r="AE693" s="26"/>
      <c r="AF693" s="26"/>
      <c r="AG693" s="26"/>
      <c r="AH693" s="26"/>
      <c r="AI693" s="26"/>
      <c r="AJ693" s="26">
        <v>0</v>
      </c>
      <c r="AK693" s="26">
        <v>0</v>
      </c>
      <c r="AL693" s="110">
        <f>80000000+200000000</f>
        <v>280000000</v>
      </c>
      <c r="AM693" s="18">
        <f>131747972-6095580-8</f>
        <v>125652384</v>
      </c>
      <c r="AN693" s="26">
        <v>0</v>
      </c>
      <c r="AO693" s="27">
        <v>0</v>
      </c>
      <c r="AP693" s="27"/>
      <c r="AQ693" s="26">
        <f>P693+Q693+R693+S693+T693+U693+V693+W693+X693+Y693+Z693+AA693+AB693+AC693+AD693+AE693+AF693+AG693+AH693+AI693+AJ693+AK693+AL693+AM693+AN693+AP693+AO693</f>
        <v>405652384</v>
      </c>
    </row>
    <row r="694" spans="1:43" ht="15" x14ac:dyDescent="0.25">
      <c r="A694" s="20"/>
      <c r="B694" s="20"/>
      <c r="C694" s="215"/>
      <c r="D694" s="153"/>
      <c r="E694" s="579"/>
      <c r="F694" s="579"/>
      <c r="G694" s="154"/>
      <c r="H694" s="155"/>
      <c r="I694" s="154"/>
      <c r="J694" s="316"/>
      <c r="K694" s="316"/>
      <c r="L694" s="316"/>
      <c r="M694" s="380"/>
      <c r="N694" s="303"/>
      <c r="O694" s="316"/>
      <c r="P694" s="248">
        <f t="shared" ref="P694:AK694" si="325">SUM(P693)</f>
        <v>0</v>
      </c>
      <c r="Q694" s="248">
        <f t="shared" si="325"/>
        <v>0</v>
      </c>
      <c r="R694" s="248">
        <f t="shared" si="325"/>
        <v>0</v>
      </c>
      <c r="S694" s="248">
        <f t="shared" si="325"/>
        <v>0</v>
      </c>
      <c r="T694" s="248">
        <f t="shared" si="325"/>
        <v>0</v>
      </c>
      <c r="U694" s="248">
        <f t="shared" si="325"/>
        <v>0</v>
      </c>
      <c r="V694" s="248">
        <f t="shared" si="325"/>
        <v>0</v>
      </c>
      <c r="W694" s="248">
        <f t="shared" si="325"/>
        <v>0</v>
      </c>
      <c r="X694" s="248">
        <f t="shared" si="325"/>
        <v>0</v>
      </c>
      <c r="Y694" s="248">
        <f t="shared" si="325"/>
        <v>0</v>
      </c>
      <c r="Z694" s="248">
        <f t="shared" si="325"/>
        <v>0</v>
      </c>
      <c r="AA694" s="248">
        <f t="shared" si="325"/>
        <v>0</v>
      </c>
      <c r="AB694" s="248">
        <f t="shared" si="325"/>
        <v>0</v>
      </c>
      <c r="AC694" s="248">
        <f t="shared" si="325"/>
        <v>0</v>
      </c>
      <c r="AD694" s="248">
        <f t="shared" si="325"/>
        <v>0</v>
      </c>
      <c r="AE694" s="248">
        <f t="shared" si="325"/>
        <v>0</v>
      </c>
      <c r="AF694" s="248">
        <f t="shared" si="325"/>
        <v>0</v>
      </c>
      <c r="AG694" s="248">
        <f t="shared" si="325"/>
        <v>0</v>
      </c>
      <c r="AH694" s="248">
        <f t="shared" si="325"/>
        <v>0</v>
      </c>
      <c r="AI694" s="248">
        <f t="shared" si="325"/>
        <v>0</v>
      </c>
      <c r="AJ694" s="248">
        <f t="shared" si="325"/>
        <v>0</v>
      </c>
      <c r="AK694" s="248">
        <f t="shared" si="325"/>
        <v>0</v>
      </c>
      <c r="AL694" s="248">
        <f t="shared" ref="AL694:AP694" si="326">SUM(AL693)</f>
        <v>280000000</v>
      </c>
      <c r="AM694" s="248">
        <f t="shared" si="326"/>
        <v>125652384</v>
      </c>
      <c r="AN694" s="248">
        <f t="shared" si="326"/>
        <v>0</v>
      </c>
      <c r="AO694" s="248">
        <f t="shared" si="326"/>
        <v>0</v>
      </c>
      <c r="AP694" s="248">
        <f t="shared" si="326"/>
        <v>0</v>
      </c>
      <c r="AQ694" s="248">
        <f>SUM(AQ693)</f>
        <v>405652384</v>
      </c>
    </row>
    <row r="695" spans="1:43" s="28" customFormat="1" ht="15" x14ac:dyDescent="0.25">
      <c r="A695" s="20"/>
      <c r="B695" s="20"/>
      <c r="C695" s="795"/>
      <c r="D695" s="177"/>
      <c r="E695" s="795"/>
      <c r="F695" s="795"/>
      <c r="G695" s="177"/>
      <c r="H695" s="795"/>
      <c r="I695" s="177"/>
      <c r="J695" s="795"/>
      <c r="K695" s="795"/>
      <c r="L695" s="776"/>
      <c r="M695" s="234"/>
      <c r="N695" s="223"/>
      <c r="O695" s="795"/>
      <c r="P695" s="180"/>
      <c r="Q695" s="180"/>
      <c r="R695" s="180"/>
      <c r="S695" s="180"/>
      <c r="T695" s="180"/>
      <c r="U695" s="180"/>
      <c r="V695" s="180"/>
      <c r="W695" s="180"/>
      <c r="X695" s="180"/>
      <c r="Y695" s="180"/>
      <c r="Z695" s="180"/>
      <c r="AA695" s="180"/>
      <c r="AB695" s="180"/>
      <c r="AC695" s="180"/>
      <c r="AD695" s="181"/>
      <c r="AE695" s="181"/>
      <c r="AF695" s="181"/>
      <c r="AG695" s="181"/>
      <c r="AH695" s="181"/>
      <c r="AI695" s="181"/>
      <c r="AJ695" s="180"/>
      <c r="AK695" s="180"/>
      <c r="AL695" s="182"/>
      <c r="AM695" s="183"/>
      <c r="AN695" s="180"/>
      <c r="AO695" s="180"/>
      <c r="AP695" s="180"/>
      <c r="AQ695" s="26"/>
    </row>
    <row r="696" spans="1:43" s="28" customFormat="1" ht="15" x14ac:dyDescent="0.25">
      <c r="A696" s="20"/>
      <c r="B696" s="20"/>
      <c r="C696" s="795"/>
      <c r="D696" s="153"/>
      <c r="E696" s="579"/>
      <c r="F696" s="579"/>
      <c r="G696" s="344">
        <v>71</v>
      </c>
      <c r="H696" s="189" t="s">
        <v>845</v>
      </c>
      <c r="I696" s="189"/>
      <c r="J696" s="189"/>
      <c r="K696" s="189"/>
      <c r="L696" s="189"/>
      <c r="M696" s="659"/>
      <c r="N696" s="189"/>
      <c r="O696" s="189"/>
      <c r="P696" s="189"/>
      <c r="Q696" s="189"/>
      <c r="R696" s="189"/>
      <c r="S696" s="189"/>
      <c r="T696" s="189"/>
      <c r="U696" s="189"/>
      <c r="V696" s="189"/>
      <c r="W696" s="189"/>
      <c r="X696" s="189"/>
      <c r="Y696" s="189"/>
      <c r="Z696" s="189"/>
      <c r="AA696" s="189"/>
      <c r="AB696" s="189"/>
      <c r="AC696" s="189"/>
      <c r="AD696" s="189"/>
      <c r="AE696" s="189"/>
      <c r="AF696" s="189"/>
      <c r="AG696" s="189"/>
      <c r="AH696" s="189"/>
      <c r="AI696" s="189"/>
      <c r="AJ696" s="189"/>
      <c r="AK696" s="189"/>
      <c r="AL696" s="190"/>
      <c r="AM696" s="189"/>
      <c r="AN696" s="189"/>
      <c r="AO696" s="189"/>
      <c r="AP696" s="189"/>
      <c r="AQ696" s="521"/>
    </row>
    <row r="697" spans="1:43" s="28" customFormat="1" ht="103.5" customHeight="1" x14ac:dyDescent="0.25">
      <c r="A697" s="20"/>
      <c r="B697" s="20"/>
      <c r="C697" s="861">
        <v>36</v>
      </c>
      <c r="D697" s="899" t="s">
        <v>834</v>
      </c>
      <c r="E697" s="879">
        <v>0.4</v>
      </c>
      <c r="F697" s="882">
        <v>0.6</v>
      </c>
      <c r="G697" s="858"/>
      <c r="H697" s="775">
        <v>206</v>
      </c>
      <c r="I697" s="774" t="s">
        <v>846</v>
      </c>
      <c r="J697" s="31">
        <v>12</v>
      </c>
      <c r="K697" s="31">
        <v>12</v>
      </c>
      <c r="L697" s="31" t="s">
        <v>836</v>
      </c>
      <c r="M697" s="872" t="s">
        <v>847</v>
      </c>
      <c r="N697" s="885" t="s">
        <v>848</v>
      </c>
      <c r="O697" s="31" t="s">
        <v>38</v>
      </c>
      <c r="P697" s="26">
        <v>0</v>
      </c>
      <c r="Q697" s="26">
        <v>0</v>
      </c>
      <c r="R697" s="26">
        <v>0</v>
      </c>
      <c r="S697" s="26">
        <v>0</v>
      </c>
      <c r="T697" s="26">
        <v>0</v>
      </c>
      <c r="U697" s="26">
        <v>0</v>
      </c>
      <c r="V697" s="26">
        <v>0</v>
      </c>
      <c r="W697" s="26"/>
      <c r="X697" s="26"/>
      <c r="Y697" s="26"/>
      <c r="Z697" s="26">
        <v>0</v>
      </c>
      <c r="AA697" s="18">
        <v>106800000</v>
      </c>
      <c r="AB697" s="26">
        <v>0</v>
      </c>
      <c r="AC697" s="26">
        <v>0</v>
      </c>
      <c r="AD697" s="26"/>
      <c r="AE697" s="26"/>
      <c r="AF697" s="26"/>
      <c r="AG697" s="26"/>
      <c r="AH697" s="26"/>
      <c r="AI697" s="26"/>
      <c r="AJ697" s="26">
        <v>0</v>
      </c>
      <c r="AK697" s="26">
        <v>0</v>
      </c>
      <c r="AL697" s="110">
        <v>0</v>
      </c>
      <c r="AM697" s="14">
        <f>34991380-34991380</f>
        <v>0</v>
      </c>
      <c r="AN697" s="26">
        <v>0</v>
      </c>
      <c r="AO697" s="27">
        <v>0</v>
      </c>
      <c r="AP697" s="27"/>
      <c r="AQ697" s="26">
        <f>P697+Q697+R697+S697+T697+U697+V697+W697+X697+Y697+Z697+AA697+AB697+AC697+AD697+AE697+AF697+AG697+AH697+AI697+AJ697+AK697+AL697+AM697+AN697+AP697+AO697</f>
        <v>106800000</v>
      </c>
    </row>
    <row r="698" spans="1:43" s="28" customFormat="1" ht="50.25" customHeight="1" x14ac:dyDescent="0.25">
      <c r="A698" s="20"/>
      <c r="B698" s="20"/>
      <c r="C698" s="875"/>
      <c r="D698" s="900"/>
      <c r="E698" s="880"/>
      <c r="F698" s="883"/>
      <c r="G698" s="860"/>
      <c r="H698" s="775">
        <v>207</v>
      </c>
      <c r="I698" s="774" t="s">
        <v>849</v>
      </c>
      <c r="J698" s="31">
        <v>4</v>
      </c>
      <c r="K698" s="31">
        <v>1</v>
      </c>
      <c r="L698" s="31" t="s">
        <v>836</v>
      </c>
      <c r="M698" s="873"/>
      <c r="N698" s="886"/>
      <c r="O698" s="31" t="s">
        <v>34</v>
      </c>
      <c r="P698" s="26">
        <v>0</v>
      </c>
      <c r="Q698" s="26">
        <v>0</v>
      </c>
      <c r="R698" s="26">
        <v>0</v>
      </c>
      <c r="S698" s="26">
        <v>0</v>
      </c>
      <c r="T698" s="26">
        <v>0</v>
      </c>
      <c r="U698" s="26">
        <v>0</v>
      </c>
      <c r="V698" s="26">
        <v>0</v>
      </c>
      <c r="W698" s="26"/>
      <c r="X698" s="26"/>
      <c r="Y698" s="26"/>
      <c r="Z698" s="26">
        <v>0</v>
      </c>
      <c r="AA698" s="26"/>
      <c r="AB698" s="26">
        <v>0</v>
      </c>
      <c r="AC698" s="26">
        <v>0</v>
      </c>
      <c r="AD698" s="26"/>
      <c r="AE698" s="26"/>
      <c r="AF698" s="26"/>
      <c r="AG698" s="26"/>
      <c r="AH698" s="26"/>
      <c r="AI698" s="26"/>
      <c r="AJ698" s="26">
        <v>0</v>
      </c>
      <c r="AK698" s="26">
        <v>0</v>
      </c>
      <c r="AL698" s="110">
        <f>107173+333200274</f>
        <v>333307447</v>
      </c>
      <c r="AM698" s="18">
        <f>20000000+10000000-30000000</f>
        <v>0</v>
      </c>
      <c r="AN698" s="26">
        <v>0</v>
      </c>
      <c r="AO698" s="27">
        <v>0</v>
      </c>
      <c r="AP698" s="27"/>
      <c r="AQ698" s="26">
        <f>P698+Q698+R698+S698+T698+U698+V698+W698+X698+Y698+Z698+AA698+AB698+AC698+AD698+AE698+AF698+AG698+AH698+AI698+AJ698+AK698+AL698+AM698+AN698+AP698+AO698</f>
        <v>333307447</v>
      </c>
    </row>
    <row r="699" spans="1:43" s="28" customFormat="1" ht="42.75" x14ac:dyDescent="0.25">
      <c r="A699" s="20"/>
      <c r="B699" s="20"/>
      <c r="C699" s="862"/>
      <c r="D699" s="901"/>
      <c r="E699" s="881"/>
      <c r="F699" s="884"/>
      <c r="G699" s="859"/>
      <c r="H699" s="775">
        <v>208</v>
      </c>
      <c r="I699" s="774" t="s">
        <v>850</v>
      </c>
      <c r="J699" s="31">
        <v>1</v>
      </c>
      <c r="K699" s="31">
        <v>1</v>
      </c>
      <c r="L699" s="31" t="s">
        <v>836</v>
      </c>
      <c r="M699" s="874"/>
      <c r="N699" s="887"/>
      <c r="O699" s="31" t="s">
        <v>38</v>
      </c>
      <c r="P699" s="26">
        <v>0</v>
      </c>
      <c r="Q699" s="26">
        <v>0</v>
      </c>
      <c r="R699" s="26">
        <v>0</v>
      </c>
      <c r="S699" s="26">
        <v>0</v>
      </c>
      <c r="T699" s="26">
        <v>0</v>
      </c>
      <c r="U699" s="26">
        <v>0</v>
      </c>
      <c r="V699" s="26">
        <v>0</v>
      </c>
      <c r="W699" s="26"/>
      <c r="X699" s="26"/>
      <c r="Y699" s="26"/>
      <c r="Z699" s="26">
        <v>0</v>
      </c>
      <c r="AA699" s="26"/>
      <c r="AB699" s="26">
        <v>0</v>
      </c>
      <c r="AC699" s="26">
        <v>0</v>
      </c>
      <c r="AD699" s="26"/>
      <c r="AE699" s="26"/>
      <c r="AF699" s="26"/>
      <c r="AG699" s="26"/>
      <c r="AH699" s="26"/>
      <c r="AI699" s="26"/>
      <c r="AJ699" s="26">
        <v>0</v>
      </c>
      <c r="AK699" s="26">
        <v>0</v>
      </c>
      <c r="AL699" s="110">
        <f>10000000+10000000+30000000</f>
        <v>50000000</v>
      </c>
      <c r="AM699" s="18"/>
      <c r="AN699" s="26">
        <v>0</v>
      </c>
      <c r="AO699" s="27">
        <v>0</v>
      </c>
      <c r="AP699" s="27"/>
      <c r="AQ699" s="26">
        <f>P699+Q699+R699+S699+T699+U699+V699+W699+X699+Y699+Z699+AA699+AB699+AC699+AD699+AE699+AF699+AG699+AH699+AI699+AJ699+AK699+AL699+AM699+AN699+AP699+AO699</f>
        <v>50000000</v>
      </c>
    </row>
    <row r="700" spans="1:43" ht="15" x14ac:dyDescent="0.25">
      <c r="A700" s="20"/>
      <c r="B700" s="152"/>
      <c r="C700" s="542"/>
      <c r="D700" s="153"/>
      <c r="E700" s="579"/>
      <c r="F700" s="579"/>
      <c r="G700" s="154"/>
      <c r="H700" s="155"/>
      <c r="I700" s="154"/>
      <c r="J700" s="316"/>
      <c r="K700" s="316"/>
      <c r="L700" s="316"/>
      <c r="M700" s="380"/>
      <c r="N700" s="303"/>
      <c r="O700" s="316"/>
      <c r="P700" s="158">
        <f t="shared" ref="P700:AK700" si="327">SUM(P697:P699)</f>
        <v>0</v>
      </c>
      <c r="Q700" s="158">
        <f t="shared" si="327"/>
        <v>0</v>
      </c>
      <c r="R700" s="158">
        <f t="shared" si="327"/>
        <v>0</v>
      </c>
      <c r="S700" s="158">
        <f t="shared" si="327"/>
        <v>0</v>
      </c>
      <c r="T700" s="158">
        <f t="shared" si="327"/>
        <v>0</v>
      </c>
      <c r="U700" s="158">
        <f t="shared" si="327"/>
        <v>0</v>
      </c>
      <c r="V700" s="158">
        <f t="shared" si="327"/>
        <v>0</v>
      </c>
      <c r="W700" s="158">
        <f t="shared" si="327"/>
        <v>0</v>
      </c>
      <c r="X700" s="158">
        <f t="shared" si="327"/>
        <v>0</v>
      </c>
      <c r="Y700" s="158">
        <f t="shared" si="327"/>
        <v>0</v>
      </c>
      <c r="Z700" s="158">
        <f t="shared" si="327"/>
        <v>0</v>
      </c>
      <c r="AA700" s="158">
        <f t="shared" si="327"/>
        <v>106800000</v>
      </c>
      <c r="AB700" s="158">
        <f t="shared" si="327"/>
        <v>0</v>
      </c>
      <c r="AC700" s="158">
        <f t="shared" si="327"/>
        <v>0</v>
      </c>
      <c r="AD700" s="158">
        <f t="shared" si="327"/>
        <v>0</v>
      </c>
      <c r="AE700" s="158">
        <f t="shared" si="327"/>
        <v>0</v>
      </c>
      <c r="AF700" s="158">
        <f t="shared" si="327"/>
        <v>0</v>
      </c>
      <c r="AG700" s="158">
        <f t="shared" si="327"/>
        <v>0</v>
      </c>
      <c r="AH700" s="158">
        <f t="shared" si="327"/>
        <v>0</v>
      </c>
      <c r="AI700" s="158">
        <f t="shared" si="327"/>
        <v>0</v>
      </c>
      <c r="AJ700" s="158">
        <f t="shared" si="327"/>
        <v>0</v>
      </c>
      <c r="AK700" s="158">
        <f t="shared" si="327"/>
        <v>0</v>
      </c>
      <c r="AL700" s="158">
        <f t="shared" ref="AL700:AP700" si="328">SUM(AL697:AL699)</f>
        <v>383307447</v>
      </c>
      <c r="AM700" s="158">
        <f t="shared" si="328"/>
        <v>0</v>
      </c>
      <c r="AN700" s="158">
        <f t="shared" si="328"/>
        <v>0</v>
      </c>
      <c r="AO700" s="158">
        <f t="shared" si="328"/>
        <v>0</v>
      </c>
      <c r="AP700" s="158">
        <f t="shared" si="328"/>
        <v>0</v>
      </c>
      <c r="AQ700" s="158">
        <f>SUM(AQ697:AQ699)</f>
        <v>490107447</v>
      </c>
    </row>
    <row r="701" spans="1:43" ht="15" x14ac:dyDescent="0.25">
      <c r="A701" s="20"/>
      <c r="B701" s="388"/>
      <c r="C701" s="222"/>
      <c r="D701" s="161"/>
      <c r="E701" s="162"/>
      <c r="F701" s="162"/>
      <c r="G701" s="161"/>
      <c r="H701" s="162"/>
      <c r="I701" s="161"/>
      <c r="J701" s="328"/>
      <c r="K701" s="328"/>
      <c r="L701" s="328"/>
      <c r="M701" s="543"/>
      <c r="N701" s="544"/>
      <c r="O701" s="328"/>
      <c r="P701" s="165">
        <f t="shared" ref="P701:AK701" si="329">P700+P694+P690+P686</f>
        <v>0</v>
      </c>
      <c r="Q701" s="165">
        <f t="shared" si="329"/>
        <v>0</v>
      </c>
      <c r="R701" s="165">
        <f t="shared" si="329"/>
        <v>0</v>
      </c>
      <c r="S701" s="165">
        <f t="shared" si="329"/>
        <v>0</v>
      </c>
      <c r="T701" s="165">
        <f t="shared" si="329"/>
        <v>0</v>
      </c>
      <c r="U701" s="165">
        <f t="shared" si="329"/>
        <v>0</v>
      </c>
      <c r="V701" s="165">
        <f t="shared" si="329"/>
        <v>0</v>
      </c>
      <c r="W701" s="165">
        <f t="shared" si="329"/>
        <v>0</v>
      </c>
      <c r="X701" s="165">
        <f t="shared" si="329"/>
        <v>0</v>
      </c>
      <c r="Y701" s="165">
        <f t="shared" si="329"/>
        <v>0</v>
      </c>
      <c r="Z701" s="165">
        <f t="shared" si="329"/>
        <v>0</v>
      </c>
      <c r="AA701" s="165">
        <f t="shared" si="329"/>
        <v>680664333.80999994</v>
      </c>
      <c r="AB701" s="165">
        <f t="shared" si="329"/>
        <v>0</v>
      </c>
      <c r="AC701" s="165">
        <f t="shared" si="329"/>
        <v>0</v>
      </c>
      <c r="AD701" s="165">
        <f t="shared" si="329"/>
        <v>0</v>
      </c>
      <c r="AE701" s="165">
        <f t="shared" si="329"/>
        <v>0</v>
      </c>
      <c r="AF701" s="165">
        <f t="shared" si="329"/>
        <v>0</v>
      </c>
      <c r="AG701" s="165">
        <f t="shared" si="329"/>
        <v>0</v>
      </c>
      <c r="AH701" s="165">
        <f t="shared" si="329"/>
        <v>0</v>
      </c>
      <c r="AI701" s="165">
        <f t="shared" si="329"/>
        <v>0</v>
      </c>
      <c r="AJ701" s="165">
        <f t="shared" si="329"/>
        <v>0</v>
      </c>
      <c r="AK701" s="165">
        <f t="shared" si="329"/>
        <v>0</v>
      </c>
      <c r="AL701" s="165">
        <f t="shared" ref="AL701:AP701" si="330">AL700+AL694+AL690+AL686</f>
        <v>1104044680</v>
      </c>
      <c r="AM701" s="165">
        <f t="shared" si="330"/>
        <v>125652384</v>
      </c>
      <c r="AN701" s="165">
        <f t="shared" si="330"/>
        <v>5276896</v>
      </c>
      <c r="AO701" s="165">
        <f t="shared" si="330"/>
        <v>0</v>
      </c>
      <c r="AP701" s="165">
        <f t="shared" si="330"/>
        <v>0</v>
      </c>
      <c r="AQ701" s="165">
        <f>AQ700+AQ694+AQ690+AQ686</f>
        <v>1915638293.8099999</v>
      </c>
    </row>
    <row r="702" spans="1:43" ht="15" x14ac:dyDescent="0.25">
      <c r="A702" s="20"/>
      <c r="B702" s="177"/>
      <c r="C702" s="795"/>
      <c r="D702" s="177"/>
      <c r="E702" s="795"/>
      <c r="F702" s="795"/>
      <c r="G702" s="177"/>
      <c r="H702" s="795"/>
      <c r="I702" s="177"/>
      <c r="J702" s="795"/>
      <c r="K702" s="795"/>
      <c r="L702" s="776"/>
      <c r="M702" s="234"/>
      <c r="N702" s="223"/>
      <c r="O702" s="795"/>
      <c r="P702" s="180"/>
      <c r="Q702" s="180"/>
      <c r="R702" s="180"/>
      <c r="S702" s="180"/>
      <c r="T702" s="180"/>
      <c r="U702" s="180"/>
      <c r="V702" s="180"/>
      <c r="W702" s="180"/>
      <c r="X702" s="180"/>
      <c r="Y702" s="180"/>
      <c r="Z702" s="180"/>
      <c r="AA702" s="180"/>
      <c r="AB702" s="180"/>
      <c r="AC702" s="180"/>
      <c r="AD702" s="181"/>
      <c r="AE702" s="181"/>
      <c r="AF702" s="181"/>
      <c r="AG702" s="181"/>
      <c r="AH702" s="181"/>
      <c r="AI702" s="181"/>
      <c r="AJ702" s="180"/>
      <c r="AK702" s="180"/>
      <c r="AL702" s="182"/>
      <c r="AM702" s="180"/>
      <c r="AN702" s="180"/>
      <c r="AO702" s="180"/>
      <c r="AP702" s="180"/>
      <c r="AQ702" s="26"/>
    </row>
    <row r="703" spans="1:43" ht="15" x14ac:dyDescent="0.25">
      <c r="A703" s="20"/>
      <c r="B703" s="545">
        <v>21</v>
      </c>
      <c r="C703" s="147" t="s">
        <v>851</v>
      </c>
      <c r="D703" s="146"/>
      <c r="E703" s="146"/>
      <c r="F703" s="146"/>
      <c r="G703" s="146"/>
      <c r="H703" s="147"/>
      <c r="I703" s="146"/>
      <c r="J703" s="146"/>
      <c r="K703" s="146"/>
      <c r="L703" s="146"/>
      <c r="M703" s="652"/>
      <c r="N703" s="146"/>
      <c r="O703" s="146"/>
      <c r="P703" s="146"/>
      <c r="Q703" s="146"/>
      <c r="R703" s="146"/>
      <c r="S703" s="146"/>
      <c r="T703" s="146"/>
      <c r="U703" s="146"/>
      <c r="V703" s="146"/>
      <c r="W703" s="146"/>
      <c r="X703" s="146"/>
      <c r="Y703" s="146"/>
      <c r="Z703" s="146"/>
      <c r="AA703" s="146"/>
      <c r="AB703" s="146"/>
      <c r="AC703" s="146"/>
      <c r="AD703" s="146"/>
      <c r="AE703" s="146"/>
      <c r="AF703" s="146"/>
      <c r="AG703" s="146"/>
      <c r="AH703" s="146"/>
      <c r="AI703" s="146"/>
      <c r="AJ703" s="146"/>
      <c r="AK703" s="146"/>
      <c r="AL703" s="148"/>
      <c r="AM703" s="146"/>
      <c r="AN703" s="146"/>
      <c r="AO703" s="146"/>
      <c r="AP703" s="146"/>
      <c r="AQ703" s="524"/>
    </row>
    <row r="704" spans="1:43" ht="15" x14ac:dyDescent="0.25">
      <c r="A704" s="20"/>
      <c r="B704" s="888"/>
      <c r="C704" s="795"/>
      <c r="D704" s="177"/>
      <c r="E704" s="795"/>
      <c r="F704" s="773"/>
      <c r="G704" s="344">
        <v>72</v>
      </c>
      <c r="H704" s="189" t="s">
        <v>852</v>
      </c>
      <c r="I704" s="189"/>
      <c r="J704" s="189"/>
      <c r="K704" s="189"/>
      <c r="L704" s="189"/>
      <c r="M704" s="659"/>
      <c r="N704" s="189"/>
      <c r="O704" s="189"/>
      <c r="P704" s="189"/>
      <c r="Q704" s="189"/>
      <c r="R704" s="189"/>
      <c r="S704" s="189"/>
      <c r="T704" s="189"/>
      <c r="U704" s="189"/>
      <c r="V704" s="189"/>
      <c r="W704" s="189"/>
      <c r="X704" s="189"/>
      <c r="Y704" s="189"/>
      <c r="Z704" s="189"/>
      <c r="AA704" s="189"/>
      <c r="AB704" s="189"/>
      <c r="AC704" s="189"/>
      <c r="AD704" s="189"/>
      <c r="AE704" s="189"/>
      <c r="AF704" s="189"/>
      <c r="AG704" s="189"/>
      <c r="AH704" s="189"/>
      <c r="AI704" s="189"/>
      <c r="AJ704" s="189"/>
      <c r="AK704" s="189"/>
      <c r="AL704" s="190"/>
      <c r="AM704" s="189"/>
      <c r="AN704" s="189"/>
      <c r="AO704" s="189"/>
      <c r="AP704" s="189"/>
      <c r="AQ704" s="521"/>
    </row>
    <row r="705" spans="1:43" s="28" customFormat="1" ht="42.75" x14ac:dyDescent="0.25">
      <c r="A705" s="20"/>
      <c r="B705" s="888"/>
      <c r="C705" s="861">
        <v>36</v>
      </c>
      <c r="D705" s="876" t="s">
        <v>834</v>
      </c>
      <c r="E705" s="879">
        <v>0.4</v>
      </c>
      <c r="F705" s="882">
        <v>0.6</v>
      </c>
      <c r="G705" s="858" t="s">
        <v>419</v>
      </c>
      <c r="H705" s="775">
        <v>209</v>
      </c>
      <c r="I705" s="774" t="s">
        <v>853</v>
      </c>
      <c r="J705" s="31">
        <v>1</v>
      </c>
      <c r="K705" s="31">
        <v>1</v>
      </c>
      <c r="L705" s="31" t="s">
        <v>836</v>
      </c>
      <c r="M705" s="872" t="s">
        <v>854</v>
      </c>
      <c r="N705" s="885" t="s">
        <v>855</v>
      </c>
      <c r="O705" s="31" t="s">
        <v>38</v>
      </c>
      <c r="P705" s="26">
        <v>0</v>
      </c>
      <c r="Q705" s="26">
        <v>0</v>
      </c>
      <c r="R705" s="26">
        <v>0</v>
      </c>
      <c r="S705" s="26">
        <v>0</v>
      </c>
      <c r="T705" s="26">
        <v>0</v>
      </c>
      <c r="U705" s="26">
        <v>0</v>
      </c>
      <c r="V705" s="26">
        <v>0</v>
      </c>
      <c r="W705" s="26"/>
      <c r="X705" s="26"/>
      <c r="Y705" s="26"/>
      <c r="Z705" s="26">
        <v>0</v>
      </c>
      <c r="AA705" s="26">
        <v>32000000</v>
      </c>
      <c r="AB705" s="26">
        <v>0</v>
      </c>
      <c r="AC705" s="26">
        <v>0</v>
      </c>
      <c r="AD705" s="26"/>
      <c r="AE705" s="26"/>
      <c r="AF705" s="26"/>
      <c r="AG705" s="26"/>
      <c r="AH705" s="26"/>
      <c r="AI705" s="26"/>
      <c r="AJ705" s="26">
        <v>0</v>
      </c>
      <c r="AK705" s="26"/>
      <c r="AL705" s="110">
        <f>10000000-2000000</f>
        <v>8000000</v>
      </c>
      <c r="AM705" s="18">
        <v>18154184</v>
      </c>
      <c r="AN705" s="26">
        <v>0</v>
      </c>
      <c r="AO705" s="27">
        <v>0</v>
      </c>
      <c r="AP705" s="27"/>
      <c r="AQ705" s="26">
        <f>P705+Q705+R705+S705+T705+U705+V705+W705+X705+Y705+Z705+AA705+AB705+AC705+AD705+AE705+AF705+AG705+AH705+AI705+AJ705+AK705+AL705+AM705+AN705+AP705+AO705</f>
        <v>58154184</v>
      </c>
    </row>
    <row r="706" spans="1:43" s="28" customFormat="1" ht="48" customHeight="1" x14ac:dyDescent="0.25">
      <c r="A706" s="20"/>
      <c r="B706" s="888"/>
      <c r="C706" s="875"/>
      <c r="D706" s="877"/>
      <c r="E706" s="880"/>
      <c r="F706" s="883"/>
      <c r="G706" s="860"/>
      <c r="H706" s="775">
        <v>210</v>
      </c>
      <c r="I706" s="774" t="s">
        <v>856</v>
      </c>
      <c r="J706" s="775">
        <v>1</v>
      </c>
      <c r="K706" s="775">
        <v>1</v>
      </c>
      <c r="L706" s="31" t="s">
        <v>836</v>
      </c>
      <c r="M706" s="873"/>
      <c r="N706" s="886"/>
      <c r="O706" s="31" t="s">
        <v>38</v>
      </c>
      <c r="P706" s="26">
        <v>0</v>
      </c>
      <c r="Q706" s="26">
        <v>0</v>
      </c>
      <c r="R706" s="26">
        <v>0</v>
      </c>
      <c r="S706" s="26">
        <v>0</v>
      </c>
      <c r="T706" s="26">
        <v>0</v>
      </c>
      <c r="U706" s="26">
        <v>0</v>
      </c>
      <c r="V706" s="26">
        <v>0</v>
      </c>
      <c r="W706" s="26"/>
      <c r="X706" s="26"/>
      <c r="Y706" s="26"/>
      <c r="Z706" s="26">
        <v>0</v>
      </c>
      <c r="AA706" s="26">
        <v>32567760</v>
      </c>
      <c r="AB706" s="26">
        <v>0</v>
      </c>
      <c r="AC706" s="26">
        <v>0</v>
      </c>
      <c r="AD706" s="26"/>
      <c r="AE706" s="26"/>
      <c r="AF706" s="26"/>
      <c r="AG706" s="26"/>
      <c r="AH706" s="26"/>
      <c r="AI706" s="26"/>
      <c r="AJ706" s="26">
        <v>0</v>
      </c>
      <c r="AK706" s="26"/>
      <c r="AL706" s="110">
        <v>42000000</v>
      </c>
      <c r="AM706" s="18">
        <v>14650016</v>
      </c>
      <c r="AN706" s="26">
        <v>0</v>
      </c>
      <c r="AO706" s="27">
        <v>0</v>
      </c>
      <c r="AP706" s="27"/>
      <c r="AQ706" s="26">
        <f>P706+Q706+R706+S706+T706+U706+V706+W706+X706+Y706+Z706+AA706+AB706+AC706+AD706+AE706+AF706+AG706+AH706+AI706+AJ706+AK706+AL706+AM706+AN706+AP706+AO706</f>
        <v>89217776</v>
      </c>
    </row>
    <row r="707" spans="1:43" s="28" customFormat="1" ht="83.25" customHeight="1" x14ac:dyDescent="0.25">
      <c r="A707" s="20"/>
      <c r="B707" s="888"/>
      <c r="C707" s="862"/>
      <c r="D707" s="878"/>
      <c r="E707" s="881"/>
      <c r="F707" s="884"/>
      <c r="G707" s="860"/>
      <c r="H707" s="775">
        <v>211</v>
      </c>
      <c r="I707" s="774" t="s">
        <v>857</v>
      </c>
      <c r="J707" s="31">
        <v>1</v>
      </c>
      <c r="K707" s="31">
        <v>1</v>
      </c>
      <c r="L707" s="31" t="s">
        <v>836</v>
      </c>
      <c r="M707" s="874"/>
      <c r="N707" s="887"/>
      <c r="O707" s="31" t="s">
        <v>38</v>
      </c>
      <c r="P707" s="26">
        <v>0</v>
      </c>
      <c r="Q707" s="26">
        <v>0</v>
      </c>
      <c r="R707" s="26">
        <v>0</v>
      </c>
      <c r="S707" s="26">
        <v>0</v>
      </c>
      <c r="T707" s="26">
        <v>0</v>
      </c>
      <c r="U707" s="26">
        <v>0</v>
      </c>
      <c r="V707" s="26">
        <v>0</v>
      </c>
      <c r="W707" s="26"/>
      <c r="X707" s="26"/>
      <c r="Y707" s="26"/>
      <c r="Z707" s="26">
        <v>0</v>
      </c>
      <c r="AA707" s="26"/>
      <c r="AB707" s="26">
        <v>0</v>
      </c>
      <c r="AC707" s="26">
        <v>0</v>
      </c>
      <c r="AD707" s="26"/>
      <c r="AE707" s="26"/>
      <c r="AF707" s="26"/>
      <c r="AG707" s="26"/>
      <c r="AH707" s="26"/>
      <c r="AI707" s="26"/>
      <c r="AJ707" s="26">
        <v>0</v>
      </c>
      <c r="AK707" s="26"/>
      <c r="AL707" s="110">
        <f>20000000-20000000</f>
        <v>0</v>
      </c>
      <c r="AM707" s="546">
        <v>12800000</v>
      </c>
      <c r="AN707" s="26">
        <v>0</v>
      </c>
      <c r="AO707" s="27">
        <v>0</v>
      </c>
      <c r="AP707" s="27"/>
      <c r="AQ707" s="26">
        <f>P707+Q707+R707+S707+T707+U707+V707+W707+X707+Y707+Z707+AA707+AB707+AC707+AD707+AE707+AF707+AG707+AH707+AI707+AJ707+AK707+AL707+AM707+AN707+AP707+AO707</f>
        <v>12800000</v>
      </c>
    </row>
    <row r="708" spans="1:43" ht="15" x14ac:dyDescent="0.25">
      <c r="A708" s="20"/>
      <c r="B708" s="888"/>
      <c r="C708" s="542"/>
      <c r="D708" s="798"/>
      <c r="E708" s="790"/>
      <c r="F708" s="790"/>
      <c r="G708" s="216"/>
      <c r="H708" s="217"/>
      <c r="I708" s="216"/>
      <c r="J708" s="547"/>
      <c r="K708" s="547"/>
      <c r="L708" s="547"/>
      <c r="M708" s="548"/>
      <c r="N708" s="549"/>
      <c r="O708" s="547"/>
      <c r="P708" s="248">
        <f t="shared" ref="P708:AK708" si="331">SUM(P705:P707)</f>
        <v>0</v>
      </c>
      <c r="Q708" s="248">
        <f t="shared" si="331"/>
        <v>0</v>
      </c>
      <c r="R708" s="248">
        <f t="shared" si="331"/>
        <v>0</v>
      </c>
      <c r="S708" s="248">
        <f t="shared" si="331"/>
        <v>0</v>
      </c>
      <c r="T708" s="248">
        <f t="shared" si="331"/>
        <v>0</v>
      </c>
      <c r="U708" s="248">
        <f t="shared" si="331"/>
        <v>0</v>
      </c>
      <c r="V708" s="248">
        <f t="shared" si="331"/>
        <v>0</v>
      </c>
      <c r="W708" s="248">
        <f t="shared" si="331"/>
        <v>0</v>
      </c>
      <c r="X708" s="248">
        <f t="shared" si="331"/>
        <v>0</v>
      </c>
      <c r="Y708" s="248">
        <f t="shared" si="331"/>
        <v>0</v>
      </c>
      <c r="Z708" s="248">
        <f t="shared" si="331"/>
        <v>0</v>
      </c>
      <c r="AA708" s="248">
        <f t="shared" si="331"/>
        <v>64567760</v>
      </c>
      <c r="AB708" s="248">
        <f t="shared" si="331"/>
        <v>0</v>
      </c>
      <c r="AC708" s="248">
        <f t="shared" si="331"/>
        <v>0</v>
      </c>
      <c r="AD708" s="248">
        <f t="shared" si="331"/>
        <v>0</v>
      </c>
      <c r="AE708" s="248">
        <f t="shared" si="331"/>
        <v>0</v>
      </c>
      <c r="AF708" s="248">
        <f t="shared" si="331"/>
        <v>0</v>
      </c>
      <c r="AG708" s="248">
        <f t="shared" si="331"/>
        <v>0</v>
      </c>
      <c r="AH708" s="248">
        <f t="shared" si="331"/>
        <v>0</v>
      </c>
      <c r="AI708" s="248">
        <f t="shared" si="331"/>
        <v>0</v>
      </c>
      <c r="AJ708" s="248">
        <f t="shared" si="331"/>
        <v>0</v>
      </c>
      <c r="AK708" s="248">
        <f t="shared" si="331"/>
        <v>0</v>
      </c>
      <c r="AL708" s="248">
        <f t="shared" ref="AL708:AP708" si="332">SUM(AL705:AL707)</f>
        <v>50000000</v>
      </c>
      <c r="AM708" s="248">
        <f t="shared" si="332"/>
        <v>45604200</v>
      </c>
      <c r="AN708" s="248">
        <f t="shared" si="332"/>
        <v>0</v>
      </c>
      <c r="AO708" s="248">
        <f t="shared" si="332"/>
        <v>0</v>
      </c>
      <c r="AP708" s="248">
        <f t="shared" si="332"/>
        <v>0</v>
      </c>
      <c r="AQ708" s="248">
        <f>SUM(AQ705:AQ707)</f>
        <v>160171960</v>
      </c>
    </row>
    <row r="709" spans="1:43" ht="15" x14ac:dyDescent="0.25">
      <c r="A709" s="20"/>
      <c r="B709" s="888"/>
      <c r="C709" s="795"/>
      <c r="D709" s="177"/>
      <c r="E709" s="795"/>
      <c r="F709" s="795"/>
      <c r="G709" s="177"/>
      <c r="H709" s="795"/>
      <c r="I709" s="177"/>
      <c r="J709" s="795"/>
      <c r="K709" s="795"/>
      <c r="L709" s="776"/>
      <c r="M709" s="234"/>
      <c r="N709" s="223"/>
      <c r="O709" s="795"/>
      <c r="P709" s="180"/>
      <c r="Q709" s="180"/>
      <c r="R709" s="180"/>
      <c r="S709" s="180"/>
      <c r="T709" s="180"/>
      <c r="U709" s="180"/>
      <c r="V709" s="180"/>
      <c r="W709" s="180"/>
      <c r="X709" s="180"/>
      <c r="Y709" s="180"/>
      <c r="Z709" s="180"/>
      <c r="AA709" s="180"/>
      <c r="AB709" s="180"/>
      <c r="AC709" s="180"/>
      <c r="AD709" s="181"/>
      <c r="AE709" s="181"/>
      <c r="AF709" s="181"/>
      <c r="AG709" s="181"/>
      <c r="AH709" s="181"/>
      <c r="AI709" s="181"/>
      <c r="AJ709" s="180"/>
      <c r="AK709" s="180"/>
      <c r="AL709" s="182"/>
      <c r="AM709" s="183"/>
      <c r="AN709" s="180"/>
      <c r="AO709" s="180"/>
      <c r="AP709" s="180"/>
      <c r="AQ709" s="26"/>
    </row>
    <row r="710" spans="1:43" ht="15" x14ac:dyDescent="0.25">
      <c r="A710" s="20"/>
      <c r="B710" s="888"/>
      <c r="C710" s="795"/>
      <c r="D710" s="153"/>
      <c r="E710" s="579"/>
      <c r="F710" s="579"/>
      <c r="G710" s="344">
        <v>73</v>
      </c>
      <c r="H710" s="189" t="s">
        <v>858</v>
      </c>
      <c r="I710" s="189"/>
      <c r="J710" s="189"/>
      <c r="K710" s="189"/>
      <c r="L710" s="189"/>
      <c r="M710" s="659"/>
      <c r="N710" s="189"/>
      <c r="O710" s="189"/>
      <c r="P710" s="189"/>
      <c r="Q710" s="189"/>
      <c r="R710" s="189"/>
      <c r="S710" s="189"/>
      <c r="T710" s="189"/>
      <c r="U710" s="189"/>
      <c r="V710" s="189"/>
      <c r="W710" s="189"/>
      <c r="X710" s="189"/>
      <c r="Y710" s="189"/>
      <c r="Z710" s="189"/>
      <c r="AA710" s="189"/>
      <c r="AB710" s="189"/>
      <c r="AC710" s="189"/>
      <c r="AD710" s="189"/>
      <c r="AE710" s="189"/>
      <c r="AF710" s="189"/>
      <c r="AG710" s="189"/>
      <c r="AH710" s="189"/>
      <c r="AI710" s="189"/>
      <c r="AJ710" s="189"/>
      <c r="AK710" s="189"/>
      <c r="AL710" s="190"/>
      <c r="AM710" s="189"/>
      <c r="AN710" s="189"/>
      <c r="AO710" s="189"/>
      <c r="AP710" s="189"/>
      <c r="AQ710" s="521"/>
    </row>
    <row r="711" spans="1:43" ht="84.75" customHeight="1" x14ac:dyDescent="0.25">
      <c r="A711" s="20"/>
      <c r="B711" s="888"/>
      <c r="C711" s="469">
        <v>36</v>
      </c>
      <c r="D711" s="475" t="s">
        <v>834</v>
      </c>
      <c r="E711" s="503">
        <v>0.4</v>
      </c>
      <c r="F711" s="489">
        <v>0.6</v>
      </c>
      <c r="G711" s="763"/>
      <c r="H711" s="760">
        <v>212</v>
      </c>
      <c r="I711" s="763" t="s">
        <v>859</v>
      </c>
      <c r="J711" s="801">
        <v>1</v>
      </c>
      <c r="K711" s="801">
        <v>1</v>
      </c>
      <c r="L711" s="9" t="s">
        <v>836</v>
      </c>
      <c r="M711" s="812" t="s">
        <v>860</v>
      </c>
      <c r="N711" s="541" t="s">
        <v>885</v>
      </c>
      <c r="O711" s="31" t="s">
        <v>38</v>
      </c>
      <c r="P711" s="81">
        <v>0</v>
      </c>
      <c r="Q711" s="81">
        <v>0</v>
      </c>
      <c r="R711" s="81">
        <v>0</v>
      </c>
      <c r="S711" s="81">
        <v>0</v>
      </c>
      <c r="T711" s="81">
        <v>0</v>
      </c>
      <c r="U711" s="81">
        <v>0</v>
      </c>
      <c r="V711" s="81">
        <v>0</v>
      </c>
      <c r="W711" s="81"/>
      <c r="X711" s="81"/>
      <c r="Y711" s="81"/>
      <c r="Z711" s="81">
        <v>0</v>
      </c>
      <c r="AA711" s="81"/>
      <c r="AB711" s="81">
        <v>0</v>
      </c>
      <c r="AC711" s="81">
        <v>0</v>
      </c>
      <c r="AD711" s="550"/>
      <c r="AE711" s="550"/>
      <c r="AF711" s="550"/>
      <c r="AG711" s="550"/>
      <c r="AH711" s="550"/>
      <c r="AI711" s="550"/>
      <c r="AJ711" s="81">
        <v>0</v>
      </c>
      <c r="AK711" s="81">
        <v>0</v>
      </c>
      <c r="AL711" s="110">
        <v>51200000</v>
      </c>
      <c r="AM711" s="551">
        <v>103500000</v>
      </c>
      <c r="AN711" s="81">
        <v>0</v>
      </c>
      <c r="AO711" s="82">
        <v>0</v>
      </c>
      <c r="AP711" s="82"/>
      <c r="AQ711" s="26">
        <f>P711+Q711+R711+S711+T711+U711+V711+W711+X711+Y711+Z711+AA711+AB711+AC711+AD711+AE711+AF711+AG711+AH711+AI711+AJ711+AK711+AL711+AM711+AN711+AP711+AO711</f>
        <v>154700000</v>
      </c>
    </row>
    <row r="712" spans="1:43" s="47" customFormat="1" ht="20.25" x14ac:dyDescent="0.25">
      <c r="A712" s="20"/>
      <c r="B712" s="888"/>
      <c r="C712" s="542"/>
      <c r="D712" s="798"/>
      <c r="E712" s="790"/>
      <c r="F712" s="790"/>
      <c r="G712" s="216"/>
      <c r="H712" s="217"/>
      <c r="I712" s="216"/>
      <c r="J712" s="547"/>
      <c r="K712" s="547"/>
      <c r="L712" s="547"/>
      <c r="M712" s="548"/>
      <c r="N712" s="549"/>
      <c r="O712" s="547"/>
      <c r="P712" s="300">
        <f>SUM(P711)</f>
        <v>0</v>
      </c>
      <c r="Q712" s="300">
        <f t="shared" ref="Q712:AK712" si="333">SUM(Q711)</f>
        <v>0</v>
      </c>
      <c r="R712" s="300">
        <f t="shared" si="333"/>
        <v>0</v>
      </c>
      <c r="S712" s="300">
        <f t="shared" si="333"/>
        <v>0</v>
      </c>
      <c r="T712" s="300">
        <f t="shared" si="333"/>
        <v>0</v>
      </c>
      <c r="U712" s="300">
        <f t="shared" si="333"/>
        <v>0</v>
      </c>
      <c r="V712" s="300">
        <f t="shared" si="333"/>
        <v>0</v>
      </c>
      <c r="W712" s="300">
        <f t="shared" si="333"/>
        <v>0</v>
      </c>
      <c r="X712" s="300">
        <f t="shared" si="333"/>
        <v>0</v>
      </c>
      <c r="Y712" s="300">
        <f t="shared" si="333"/>
        <v>0</v>
      </c>
      <c r="Z712" s="300">
        <f t="shared" si="333"/>
        <v>0</v>
      </c>
      <c r="AA712" s="300">
        <f t="shared" si="333"/>
        <v>0</v>
      </c>
      <c r="AB712" s="300">
        <f t="shared" si="333"/>
        <v>0</v>
      </c>
      <c r="AC712" s="300">
        <f t="shared" si="333"/>
        <v>0</v>
      </c>
      <c r="AD712" s="300">
        <f t="shared" si="333"/>
        <v>0</v>
      </c>
      <c r="AE712" s="300">
        <f t="shared" si="333"/>
        <v>0</v>
      </c>
      <c r="AF712" s="300">
        <f t="shared" si="333"/>
        <v>0</v>
      </c>
      <c r="AG712" s="300">
        <f t="shared" si="333"/>
        <v>0</v>
      </c>
      <c r="AH712" s="300">
        <f t="shared" si="333"/>
        <v>0</v>
      </c>
      <c r="AI712" s="300">
        <f t="shared" si="333"/>
        <v>0</v>
      </c>
      <c r="AJ712" s="300">
        <f t="shared" si="333"/>
        <v>0</v>
      </c>
      <c r="AK712" s="300">
        <f t="shared" si="333"/>
        <v>0</v>
      </c>
      <c r="AL712" s="300">
        <f t="shared" ref="AL712:AP712" si="334">SUM(AL711)</f>
        <v>51200000</v>
      </c>
      <c r="AM712" s="300">
        <f t="shared" si="334"/>
        <v>103500000</v>
      </c>
      <c r="AN712" s="300">
        <f t="shared" si="334"/>
        <v>0</v>
      </c>
      <c r="AO712" s="300">
        <f t="shared" si="334"/>
        <v>0</v>
      </c>
      <c r="AP712" s="300">
        <f t="shared" si="334"/>
        <v>0</v>
      </c>
      <c r="AQ712" s="248">
        <f>SUM(AQ711)</f>
        <v>154700000</v>
      </c>
    </row>
    <row r="713" spans="1:43" s="28" customFormat="1" ht="15" x14ac:dyDescent="0.25">
      <c r="A713" s="20"/>
      <c r="B713" s="388"/>
      <c r="C713" s="222"/>
      <c r="D713" s="221"/>
      <c r="E713" s="222"/>
      <c r="F713" s="222"/>
      <c r="G713" s="221"/>
      <c r="H713" s="222"/>
      <c r="I713" s="221"/>
      <c r="J713" s="552"/>
      <c r="K713" s="552"/>
      <c r="L713" s="552"/>
      <c r="M713" s="553"/>
      <c r="N713" s="554"/>
      <c r="O713" s="552"/>
      <c r="P713" s="391">
        <f>P712+P708</f>
        <v>0</v>
      </c>
      <c r="Q713" s="391">
        <f t="shared" ref="Q713:AK713" si="335">Q712+Q708</f>
        <v>0</v>
      </c>
      <c r="R713" s="391">
        <f t="shared" si="335"/>
        <v>0</v>
      </c>
      <c r="S713" s="391">
        <f t="shared" si="335"/>
        <v>0</v>
      </c>
      <c r="T713" s="391">
        <f t="shared" si="335"/>
        <v>0</v>
      </c>
      <c r="U713" s="391">
        <f t="shared" si="335"/>
        <v>0</v>
      </c>
      <c r="V713" s="391">
        <f t="shared" si="335"/>
        <v>0</v>
      </c>
      <c r="W713" s="391">
        <f t="shared" si="335"/>
        <v>0</v>
      </c>
      <c r="X713" s="391">
        <f t="shared" si="335"/>
        <v>0</v>
      </c>
      <c r="Y713" s="391">
        <f t="shared" si="335"/>
        <v>0</v>
      </c>
      <c r="Z713" s="391">
        <f t="shared" si="335"/>
        <v>0</v>
      </c>
      <c r="AA713" s="391">
        <f t="shared" si="335"/>
        <v>64567760</v>
      </c>
      <c r="AB713" s="391">
        <f t="shared" si="335"/>
        <v>0</v>
      </c>
      <c r="AC713" s="391">
        <f t="shared" si="335"/>
        <v>0</v>
      </c>
      <c r="AD713" s="391">
        <f t="shared" si="335"/>
        <v>0</v>
      </c>
      <c r="AE713" s="391">
        <f t="shared" si="335"/>
        <v>0</v>
      </c>
      <c r="AF713" s="391">
        <f t="shared" si="335"/>
        <v>0</v>
      </c>
      <c r="AG713" s="391">
        <f t="shared" si="335"/>
        <v>0</v>
      </c>
      <c r="AH713" s="391">
        <f t="shared" si="335"/>
        <v>0</v>
      </c>
      <c r="AI713" s="391">
        <f t="shared" si="335"/>
        <v>0</v>
      </c>
      <c r="AJ713" s="391">
        <f t="shared" si="335"/>
        <v>0</v>
      </c>
      <c r="AK713" s="391">
        <f t="shared" si="335"/>
        <v>0</v>
      </c>
      <c r="AL713" s="391">
        <f t="shared" ref="AL713:AP713" si="336">AL712+AL708</f>
        <v>101200000</v>
      </c>
      <c r="AM713" s="391">
        <f t="shared" si="336"/>
        <v>149104200</v>
      </c>
      <c r="AN713" s="391">
        <f t="shared" si="336"/>
        <v>0</v>
      </c>
      <c r="AO713" s="391">
        <f t="shared" si="336"/>
        <v>0</v>
      </c>
      <c r="AP713" s="391">
        <f t="shared" si="336"/>
        <v>0</v>
      </c>
      <c r="AQ713" s="249">
        <f>AQ712+AQ708</f>
        <v>314871960</v>
      </c>
    </row>
    <row r="714" spans="1:43" s="28" customFormat="1" ht="15" x14ac:dyDescent="0.25">
      <c r="A714" s="20"/>
      <c r="B714" s="177"/>
      <c r="C714" s="795"/>
      <c r="D714" s="177"/>
      <c r="E714" s="795"/>
      <c r="F714" s="795"/>
      <c r="G714" s="177"/>
      <c r="H714" s="795"/>
      <c r="I714" s="177"/>
      <c r="J714" s="795"/>
      <c r="K714" s="795"/>
      <c r="L714" s="776"/>
      <c r="M714" s="234"/>
      <c r="N714" s="223"/>
      <c r="O714" s="795"/>
      <c r="P714" s="180"/>
      <c r="Q714" s="180"/>
      <c r="R714" s="180"/>
      <c r="S714" s="180"/>
      <c r="T714" s="180"/>
      <c r="U714" s="180"/>
      <c r="V714" s="180"/>
      <c r="W714" s="180"/>
      <c r="X714" s="180"/>
      <c r="Y714" s="180"/>
      <c r="Z714" s="180"/>
      <c r="AA714" s="180"/>
      <c r="AB714" s="180"/>
      <c r="AC714" s="180"/>
      <c r="AD714" s="181"/>
      <c r="AE714" s="181"/>
      <c r="AF714" s="181"/>
      <c r="AG714" s="181"/>
      <c r="AH714" s="181"/>
      <c r="AI714" s="181"/>
      <c r="AJ714" s="180"/>
      <c r="AK714" s="180"/>
      <c r="AL714" s="182"/>
      <c r="AM714" s="180"/>
      <c r="AN714" s="180"/>
      <c r="AO714" s="180"/>
      <c r="AP714" s="180"/>
      <c r="AQ714" s="26"/>
    </row>
    <row r="715" spans="1:43" s="28" customFormat="1" ht="15" x14ac:dyDescent="0.25">
      <c r="A715" s="20"/>
      <c r="B715" s="555">
        <v>22</v>
      </c>
      <c r="C715" s="147" t="s">
        <v>861</v>
      </c>
      <c r="D715" s="146"/>
      <c r="E715" s="146"/>
      <c r="F715" s="146"/>
      <c r="G715" s="146"/>
      <c r="H715" s="147"/>
      <c r="I715" s="146"/>
      <c r="J715" s="146"/>
      <c r="K715" s="146"/>
      <c r="L715" s="146"/>
      <c r="M715" s="652"/>
      <c r="N715" s="146"/>
      <c r="O715" s="146"/>
      <c r="P715" s="146"/>
      <c r="Q715" s="146"/>
      <c r="R715" s="146"/>
      <c r="S715" s="146"/>
      <c r="T715" s="146"/>
      <c r="U715" s="146"/>
      <c r="V715" s="146"/>
      <c r="W715" s="146"/>
      <c r="X715" s="146"/>
      <c r="Y715" s="146"/>
      <c r="Z715" s="146"/>
      <c r="AA715" s="146"/>
      <c r="AB715" s="146"/>
      <c r="AC715" s="146"/>
      <c r="AD715" s="146"/>
      <c r="AE715" s="146"/>
      <c r="AF715" s="146"/>
      <c r="AG715" s="146"/>
      <c r="AH715" s="146"/>
      <c r="AI715" s="146"/>
      <c r="AJ715" s="146"/>
      <c r="AK715" s="146"/>
      <c r="AL715" s="148"/>
      <c r="AM715" s="146"/>
      <c r="AN715" s="146"/>
      <c r="AO715" s="146"/>
      <c r="AP715" s="146"/>
      <c r="AQ715" s="524"/>
    </row>
    <row r="716" spans="1:43" s="28" customFormat="1" ht="15" x14ac:dyDescent="0.25">
      <c r="A716" s="20"/>
      <c r="B716" s="888"/>
      <c r="C716" s="795"/>
      <c r="D716" s="177"/>
      <c r="E716" s="795"/>
      <c r="F716" s="773"/>
      <c r="G716" s="344">
        <v>74</v>
      </c>
      <c r="H716" s="189" t="s">
        <v>862</v>
      </c>
      <c r="I716" s="189"/>
      <c r="J716" s="189"/>
      <c r="K716" s="189"/>
      <c r="L716" s="189"/>
      <c r="M716" s="653"/>
      <c r="N716" s="189"/>
      <c r="O716" s="189"/>
      <c r="P716" s="189"/>
      <c r="Q716" s="189"/>
      <c r="R716" s="189"/>
      <c r="S716" s="189"/>
      <c r="T716" s="189"/>
      <c r="U716" s="189"/>
      <c r="V716" s="189"/>
      <c r="W716" s="189"/>
      <c r="X716" s="189"/>
      <c r="Y716" s="189"/>
      <c r="Z716" s="189"/>
      <c r="AA716" s="189"/>
      <c r="AB716" s="189"/>
      <c r="AC716" s="189"/>
      <c r="AD716" s="189"/>
      <c r="AE716" s="189"/>
      <c r="AF716" s="189"/>
      <c r="AG716" s="189"/>
      <c r="AH716" s="189"/>
      <c r="AI716" s="189"/>
      <c r="AJ716" s="189"/>
      <c r="AK716" s="189"/>
      <c r="AL716" s="190"/>
      <c r="AM716" s="189"/>
      <c r="AN716" s="189"/>
      <c r="AO716" s="189"/>
      <c r="AP716" s="189"/>
      <c r="AQ716" s="521"/>
    </row>
    <row r="717" spans="1:43" s="28" customFormat="1" ht="65.099999999999994" customHeight="1" x14ac:dyDescent="0.25">
      <c r="A717" s="20"/>
      <c r="B717" s="888"/>
      <c r="C717" s="469">
        <v>36</v>
      </c>
      <c r="D717" s="475" t="s">
        <v>834</v>
      </c>
      <c r="E717" s="503">
        <v>0.4</v>
      </c>
      <c r="F717" s="489">
        <v>0.6</v>
      </c>
      <c r="G717" s="774"/>
      <c r="H717" s="775">
        <v>213</v>
      </c>
      <c r="I717" s="774" t="s">
        <v>863</v>
      </c>
      <c r="J717" s="31">
        <v>12</v>
      </c>
      <c r="K717" s="31">
        <v>12</v>
      </c>
      <c r="L717" s="9" t="s">
        <v>836</v>
      </c>
      <c r="M717" s="812" t="s">
        <v>864</v>
      </c>
      <c r="N717" s="556" t="s">
        <v>865</v>
      </c>
      <c r="O717" s="31" t="s">
        <v>38</v>
      </c>
      <c r="P717" s="26"/>
      <c r="Q717" s="26"/>
      <c r="R717" s="26"/>
      <c r="S717" s="26"/>
      <c r="T717" s="26"/>
      <c r="U717" s="26"/>
      <c r="V717" s="26"/>
      <c r="W717" s="26"/>
      <c r="X717" s="26"/>
      <c r="Y717" s="26"/>
      <c r="Z717" s="26"/>
      <c r="AA717" s="26"/>
      <c r="AB717" s="26"/>
      <c r="AC717" s="26"/>
      <c r="AD717" s="254"/>
      <c r="AE717" s="254"/>
      <c r="AF717" s="254"/>
      <c r="AG717" s="254"/>
      <c r="AH717" s="254"/>
      <c r="AI717" s="254"/>
      <c r="AJ717" s="26"/>
      <c r="AK717" s="26"/>
      <c r="AL717" s="110"/>
      <c r="AM717" s="38"/>
      <c r="AN717" s="26">
        <f>236949833+5875533-30272190</f>
        <v>212553176</v>
      </c>
      <c r="AO717" s="293"/>
      <c r="AP717" s="293"/>
      <c r="AQ717" s="26">
        <f>P717+Q717+R717+S717+T717+U717+V717+W717+X717+Y717+Z717+AA717+AB717+AC717+AD717+AE717+AF717+AG717+AH717+AI717+AJ717+AK717+AL717+AM717+AN717+AP717+AO717</f>
        <v>212553176</v>
      </c>
    </row>
    <row r="718" spans="1:43" s="28" customFormat="1" ht="15" x14ac:dyDescent="0.25">
      <c r="A718" s="20"/>
      <c r="B718" s="888"/>
      <c r="C718" s="215"/>
      <c r="D718" s="153"/>
      <c r="E718" s="579"/>
      <c r="F718" s="579"/>
      <c r="G718" s="154"/>
      <c r="H718" s="155"/>
      <c r="I718" s="154"/>
      <c r="J718" s="316"/>
      <c r="K718" s="316"/>
      <c r="L718" s="316"/>
      <c r="M718" s="380"/>
      <c r="N718" s="303"/>
      <c r="O718" s="316"/>
      <c r="P718" s="696">
        <f t="shared" ref="P718:AK718" si="337">SUM(P717)</f>
        <v>0</v>
      </c>
      <c r="Q718" s="696">
        <f t="shared" si="337"/>
        <v>0</v>
      </c>
      <c r="R718" s="696">
        <f t="shared" si="337"/>
        <v>0</v>
      </c>
      <c r="S718" s="696">
        <f t="shared" si="337"/>
        <v>0</v>
      </c>
      <c r="T718" s="696">
        <f t="shared" si="337"/>
        <v>0</v>
      </c>
      <c r="U718" s="696">
        <f t="shared" si="337"/>
        <v>0</v>
      </c>
      <c r="V718" s="696">
        <f t="shared" si="337"/>
        <v>0</v>
      </c>
      <c r="W718" s="696">
        <f t="shared" si="337"/>
        <v>0</v>
      </c>
      <c r="X718" s="696">
        <f t="shared" si="337"/>
        <v>0</v>
      </c>
      <c r="Y718" s="696">
        <f t="shared" si="337"/>
        <v>0</v>
      </c>
      <c r="Z718" s="696">
        <f t="shared" si="337"/>
        <v>0</v>
      </c>
      <c r="AA718" s="696">
        <f t="shared" si="337"/>
        <v>0</v>
      </c>
      <c r="AB718" s="696">
        <f t="shared" si="337"/>
        <v>0</v>
      </c>
      <c r="AC718" s="696">
        <f t="shared" si="337"/>
        <v>0</v>
      </c>
      <c r="AD718" s="696">
        <f t="shared" si="337"/>
        <v>0</v>
      </c>
      <c r="AE718" s="696">
        <f t="shared" si="337"/>
        <v>0</v>
      </c>
      <c r="AF718" s="696">
        <f t="shared" si="337"/>
        <v>0</v>
      </c>
      <c r="AG718" s="696">
        <f t="shared" si="337"/>
        <v>0</v>
      </c>
      <c r="AH718" s="696">
        <f t="shared" si="337"/>
        <v>0</v>
      </c>
      <c r="AI718" s="696">
        <f t="shared" si="337"/>
        <v>0</v>
      </c>
      <c r="AJ718" s="696">
        <f t="shared" si="337"/>
        <v>0</v>
      </c>
      <c r="AK718" s="696">
        <f t="shared" si="337"/>
        <v>0</v>
      </c>
      <c r="AL718" s="696">
        <f t="shared" ref="AL718:AP718" si="338">SUM(AL717)</f>
        <v>0</v>
      </c>
      <c r="AM718" s="696">
        <f t="shared" si="338"/>
        <v>0</v>
      </c>
      <c r="AN718" s="696">
        <f t="shared" si="338"/>
        <v>212553176</v>
      </c>
      <c r="AO718" s="696">
        <f t="shared" si="338"/>
        <v>0</v>
      </c>
      <c r="AP718" s="696">
        <f t="shared" si="338"/>
        <v>0</v>
      </c>
      <c r="AQ718" s="696">
        <f>SUM(AQ717)</f>
        <v>212553176</v>
      </c>
    </row>
    <row r="719" spans="1:43" s="28" customFormat="1" ht="15" x14ac:dyDescent="0.25">
      <c r="A719" s="152"/>
      <c r="B719" s="218"/>
      <c r="C719" s="162"/>
      <c r="D719" s="161"/>
      <c r="E719" s="162"/>
      <c r="F719" s="162"/>
      <c r="G719" s="161"/>
      <c r="H719" s="162"/>
      <c r="I719" s="161"/>
      <c r="J719" s="328"/>
      <c r="K719" s="328"/>
      <c r="L719" s="328"/>
      <c r="M719" s="543"/>
      <c r="N719" s="544"/>
      <c r="O719" s="328"/>
      <c r="P719" s="697">
        <f t="shared" ref="P719:AK719" si="339">P718</f>
        <v>0</v>
      </c>
      <c r="Q719" s="697">
        <f t="shared" si="339"/>
        <v>0</v>
      </c>
      <c r="R719" s="697">
        <f t="shared" si="339"/>
        <v>0</v>
      </c>
      <c r="S719" s="697">
        <f t="shared" si="339"/>
        <v>0</v>
      </c>
      <c r="T719" s="697">
        <f t="shared" si="339"/>
        <v>0</v>
      </c>
      <c r="U719" s="697">
        <f t="shared" si="339"/>
        <v>0</v>
      </c>
      <c r="V719" s="697">
        <f t="shared" si="339"/>
        <v>0</v>
      </c>
      <c r="W719" s="697">
        <f t="shared" si="339"/>
        <v>0</v>
      </c>
      <c r="X719" s="697">
        <f t="shared" si="339"/>
        <v>0</v>
      </c>
      <c r="Y719" s="697">
        <f t="shared" si="339"/>
        <v>0</v>
      </c>
      <c r="Z719" s="697">
        <f t="shared" si="339"/>
        <v>0</v>
      </c>
      <c r="AA719" s="697">
        <f t="shared" si="339"/>
        <v>0</v>
      </c>
      <c r="AB719" s="697">
        <f t="shared" si="339"/>
        <v>0</v>
      </c>
      <c r="AC719" s="697">
        <f t="shared" si="339"/>
        <v>0</v>
      </c>
      <c r="AD719" s="697">
        <f t="shared" si="339"/>
        <v>0</v>
      </c>
      <c r="AE719" s="697">
        <f t="shared" si="339"/>
        <v>0</v>
      </c>
      <c r="AF719" s="697">
        <f t="shared" si="339"/>
        <v>0</v>
      </c>
      <c r="AG719" s="697">
        <f t="shared" si="339"/>
        <v>0</v>
      </c>
      <c r="AH719" s="697">
        <f t="shared" si="339"/>
        <v>0</v>
      </c>
      <c r="AI719" s="697">
        <f t="shared" si="339"/>
        <v>0</v>
      </c>
      <c r="AJ719" s="697">
        <f t="shared" si="339"/>
        <v>0</v>
      </c>
      <c r="AK719" s="697">
        <f t="shared" si="339"/>
        <v>0</v>
      </c>
      <c r="AL719" s="697">
        <f t="shared" ref="AL719:AP719" si="340">AL718</f>
        <v>0</v>
      </c>
      <c r="AM719" s="697">
        <f t="shared" si="340"/>
        <v>0</v>
      </c>
      <c r="AN719" s="697">
        <f t="shared" si="340"/>
        <v>212553176</v>
      </c>
      <c r="AO719" s="697">
        <f t="shared" si="340"/>
        <v>0</v>
      </c>
      <c r="AP719" s="697">
        <f t="shared" si="340"/>
        <v>0</v>
      </c>
      <c r="AQ719" s="697">
        <f>AQ718</f>
        <v>212553176</v>
      </c>
    </row>
    <row r="720" spans="1:43" s="28" customFormat="1" ht="15" x14ac:dyDescent="0.25">
      <c r="A720" s="166"/>
      <c r="B720" s="166"/>
      <c r="C720" s="167"/>
      <c r="D720" s="166"/>
      <c r="E720" s="167"/>
      <c r="F720" s="167"/>
      <c r="G720" s="166"/>
      <c r="H720" s="167"/>
      <c r="I720" s="166"/>
      <c r="J720" s="339"/>
      <c r="K720" s="339"/>
      <c r="L720" s="339"/>
      <c r="M720" s="557"/>
      <c r="N720" s="558"/>
      <c r="O720" s="339"/>
      <c r="P720" s="698">
        <f t="shared" ref="P720:AK720" si="341">P719+P713+P701</f>
        <v>0</v>
      </c>
      <c r="Q720" s="698">
        <f t="shared" si="341"/>
        <v>0</v>
      </c>
      <c r="R720" s="698">
        <f t="shared" si="341"/>
        <v>0</v>
      </c>
      <c r="S720" s="698">
        <f t="shared" si="341"/>
        <v>0</v>
      </c>
      <c r="T720" s="698">
        <f t="shared" si="341"/>
        <v>0</v>
      </c>
      <c r="U720" s="698">
        <f t="shared" si="341"/>
        <v>0</v>
      </c>
      <c r="V720" s="698">
        <f t="shared" si="341"/>
        <v>0</v>
      </c>
      <c r="W720" s="698">
        <f t="shared" si="341"/>
        <v>0</v>
      </c>
      <c r="X720" s="698">
        <f t="shared" si="341"/>
        <v>0</v>
      </c>
      <c r="Y720" s="698">
        <f t="shared" si="341"/>
        <v>0</v>
      </c>
      <c r="Z720" s="698">
        <f t="shared" si="341"/>
        <v>0</v>
      </c>
      <c r="AA720" s="698">
        <f t="shared" si="341"/>
        <v>745232093.80999994</v>
      </c>
      <c r="AB720" s="698">
        <f t="shared" si="341"/>
        <v>0</v>
      </c>
      <c r="AC720" s="698">
        <f t="shared" si="341"/>
        <v>0</v>
      </c>
      <c r="AD720" s="698">
        <f t="shared" si="341"/>
        <v>0</v>
      </c>
      <c r="AE720" s="698">
        <f t="shared" si="341"/>
        <v>0</v>
      </c>
      <c r="AF720" s="698">
        <f t="shared" si="341"/>
        <v>0</v>
      </c>
      <c r="AG720" s="698">
        <f t="shared" si="341"/>
        <v>0</v>
      </c>
      <c r="AH720" s="698">
        <f t="shared" si="341"/>
        <v>0</v>
      </c>
      <c r="AI720" s="698">
        <f t="shared" si="341"/>
        <v>0</v>
      </c>
      <c r="AJ720" s="698">
        <f t="shared" si="341"/>
        <v>0</v>
      </c>
      <c r="AK720" s="698">
        <f t="shared" si="341"/>
        <v>0</v>
      </c>
      <c r="AL720" s="698">
        <f t="shared" ref="AL720:AP720" si="342">AL719+AL713+AL701</f>
        <v>1205244680</v>
      </c>
      <c r="AM720" s="698">
        <f t="shared" si="342"/>
        <v>274756584</v>
      </c>
      <c r="AN720" s="698">
        <f t="shared" si="342"/>
        <v>217830072</v>
      </c>
      <c r="AO720" s="698">
        <f t="shared" si="342"/>
        <v>0</v>
      </c>
      <c r="AP720" s="698">
        <f t="shared" si="342"/>
        <v>0</v>
      </c>
      <c r="AQ720" s="698">
        <f>AQ719+AQ713+AQ701</f>
        <v>2443063429.8099999</v>
      </c>
    </row>
    <row r="721" spans="1:43" s="47" customFormat="1" ht="20.25" x14ac:dyDescent="0.25">
      <c r="A721" s="171"/>
      <c r="B721" s="171"/>
      <c r="C721" s="172"/>
      <c r="D721" s="171"/>
      <c r="E721" s="172"/>
      <c r="F721" s="172"/>
      <c r="G721" s="171"/>
      <c r="H721" s="172"/>
      <c r="I721" s="171"/>
      <c r="J721" s="342"/>
      <c r="K721" s="342"/>
      <c r="L721" s="342"/>
      <c r="M721" s="559"/>
      <c r="N721" s="488"/>
      <c r="O721" s="342"/>
      <c r="P721" s="699">
        <f t="shared" ref="P721:AK721" si="343">P720</f>
        <v>0</v>
      </c>
      <c r="Q721" s="699">
        <f t="shared" si="343"/>
        <v>0</v>
      </c>
      <c r="R721" s="699">
        <f t="shared" si="343"/>
        <v>0</v>
      </c>
      <c r="S721" s="699">
        <f t="shared" si="343"/>
        <v>0</v>
      </c>
      <c r="T721" s="699">
        <f t="shared" si="343"/>
        <v>0</v>
      </c>
      <c r="U721" s="699">
        <f t="shared" si="343"/>
        <v>0</v>
      </c>
      <c r="V721" s="699">
        <f t="shared" si="343"/>
        <v>0</v>
      </c>
      <c r="W721" s="699">
        <f t="shared" si="343"/>
        <v>0</v>
      </c>
      <c r="X721" s="699">
        <f t="shared" si="343"/>
        <v>0</v>
      </c>
      <c r="Y721" s="699">
        <f t="shared" si="343"/>
        <v>0</v>
      </c>
      <c r="Z721" s="699">
        <f t="shared" si="343"/>
        <v>0</v>
      </c>
      <c r="AA721" s="699">
        <f t="shared" si="343"/>
        <v>745232093.80999994</v>
      </c>
      <c r="AB721" s="699">
        <f t="shared" si="343"/>
        <v>0</v>
      </c>
      <c r="AC721" s="699">
        <f t="shared" si="343"/>
        <v>0</v>
      </c>
      <c r="AD721" s="699">
        <f t="shared" si="343"/>
        <v>0</v>
      </c>
      <c r="AE721" s="699">
        <f t="shared" si="343"/>
        <v>0</v>
      </c>
      <c r="AF721" s="699">
        <f t="shared" si="343"/>
        <v>0</v>
      </c>
      <c r="AG721" s="699">
        <f t="shared" si="343"/>
        <v>0</v>
      </c>
      <c r="AH721" s="699">
        <f t="shared" si="343"/>
        <v>0</v>
      </c>
      <c r="AI721" s="699">
        <f t="shared" si="343"/>
        <v>0</v>
      </c>
      <c r="AJ721" s="699">
        <f t="shared" si="343"/>
        <v>0</v>
      </c>
      <c r="AK721" s="699">
        <f t="shared" si="343"/>
        <v>0</v>
      </c>
      <c r="AL721" s="699">
        <f t="shared" ref="AL721:AP721" si="344">AL720</f>
        <v>1205244680</v>
      </c>
      <c r="AM721" s="699">
        <f t="shared" si="344"/>
        <v>274756584</v>
      </c>
      <c r="AN721" s="699">
        <f t="shared" si="344"/>
        <v>217830072</v>
      </c>
      <c r="AO721" s="699">
        <f t="shared" si="344"/>
        <v>0</v>
      </c>
      <c r="AP721" s="699">
        <f t="shared" si="344"/>
        <v>0</v>
      </c>
      <c r="AQ721" s="699">
        <f>AQ720</f>
        <v>2443063429.8099999</v>
      </c>
    </row>
    <row r="722" spans="1:43" s="231" customFormat="1" ht="34.5" customHeight="1" x14ac:dyDescent="0.25">
      <c r="A722" s="560"/>
      <c r="B722" s="560"/>
      <c r="C722" s="530"/>
      <c r="D722" s="560"/>
      <c r="E722" s="560"/>
      <c r="F722" s="560"/>
      <c r="G722" s="560"/>
      <c r="H722" s="530"/>
      <c r="I722" s="560"/>
      <c r="J722" s="560"/>
      <c r="K722" s="560"/>
      <c r="L722" s="560"/>
      <c r="M722" s="531"/>
      <c r="N722" s="560"/>
      <c r="O722" s="560"/>
      <c r="P722" s="560"/>
      <c r="Q722" s="560"/>
      <c r="R722" s="560"/>
      <c r="S722" s="560"/>
      <c r="T722" s="560"/>
      <c r="U722" s="560"/>
      <c r="V722" s="560"/>
      <c r="W722" s="560"/>
      <c r="X722" s="560"/>
      <c r="Y722" s="560"/>
      <c r="Z722" s="560"/>
      <c r="AA722" s="560"/>
      <c r="AB722" s="560"/>
      <c r="AC722" s="560"/>
      <c r="AD722" s="560"/>
      <c r="AE722" s="560"/>
      <c r="AF722" s="560"/>
      <c r="AG722" s="560"/>
      <c r="AH722" s="560"/>
      <c r="AI722" s="560"/>
      <c r="AJ722" s="560"/>
      <c r="AK722" s="560"/>
      <c r="AL722" s="561"/>
      <c r="AM722" s="560"/>
      <c r="AN722" s="560"/>
      <c r="AO722" s="560"/>
      <c r="AP722" s="560"/>
      <c r="AQ722" s="700"/>
    </row>
    <row r="723" spans="1:43" ht="20.25" x14ac:dyDescent="0.25">
      <c r="A723" s="562" t="s">
        <v>866</v>
      </c>
      <c r="B723" s="562"/>
      <c r="C723" s="563"/>
      <c r="D723" s="562"/>
      <c r="E723" s="562"/>
      <c r="F723" s="562"/>
      <c r="G723" s="135"/>
      <c r="H723" s="136"/>
      <c r="I723" s="135"/>
      <c r="J723" s="135"/>
      <c r="K723" s="135"/>
      <c r="L723" s="135"/>
      <c r="M723" s="650"/>
      <c r="N723" s="135"/>
      <c r="O723" s="136"/>
      <c r="P723" s="135"/>
      <c r="Q723" s="135"/>
      <c r="R723" s="135"/>
      <c r="S723" s="135"/>
      <c r="T723" s="135"/>
      <c r="U723" s="135"/>
      <c r="V723" s="135"/>
      <c r="W723" s="135"/>
      <c r="X723" s="135"/>
      <c r="Y723" s="135"/>
      <c r="Z723" s="135"/>
      <c r="AA723" s="135"/>
      <c r="AB723" s="135"/>
      <c r="AC723" s="135"/>
      <c r="AD723" s="135"/>
      <c r="AE723" s="135"/>
      <c r="AF723" s="135"/>
      <c r="AG723" s="135"/>
      <c r="AH723" s="135"/>
      <c r="AI723" s="135"/>
      <c r="AJ723" s="135"/>
      <c r="AK723" s="135"/>
      <c r="AL723" s="137"/>
      <c r="AM723" s="138"/>
      <c r="AN723" s="135"/>
      <c r="AO723" s="135"/>
      <c r="AP723" s="135"/>
      <c r="AQ723" s="564"/>
    </row>
    <row r="724" spans="1:43" ht="15" x14ac:dyDescent="0.25">
      <c r="A724" s="807">
        <v>2</v>
      </c>
      <c r="B724" s="889" t="s">
        <v>113</v>
      </c>
      <c r="C724" s="889"/>
      <c r="D724" s="889"/>
      <c r="E724" s="889"/>
      <c r="F724" s="367"/>
      <c r="G724" s="565"/>
      <c r="H724" s="566"/>
      <c r="I724" s="565"/>
      <c r="J724" s="565"/>
      <c r="K724" s="565"/>
      <c r="L724" s="565"/>
      <c r="M724" s="663"/>
      <c r="N724" s="565"/>
      <c r="O724" s="565"/>
      <c r="P724" s="565"/>
      <c r="Q724" s="565"/>
      <c r="R724" s="565"/>
      <c r="S724" s="565"/>
      <c r="T724" s="565"/>
      <c r="U724" s="565"/>
      <c r="V724" s="565"/>
      <c r="W724" s="565"/>
      <c r="X724" s="565"/>
      <c r="Y724" s="565"/>
      <c r="Z724" s="565"/>
      <c r="AA724" s="565"/>
      <c r="AB724" s="565"/>
      <c r="AC724" s="565"/>
      <c r="AD724" s="565"/>
      <c r="AE724" s="565"/>
      <c r="AF724" s="565"/>
      <c r="AG724" s="565"/>
      <c r="AH724" s="565"/>
      <c r="AI724" s="565"/>
      <c r="AJ724" s="565"/>
      <c r="AK724" s="565"/>
      <c r="AL724" s="567"/>
      <c r="AM724" s="565"/>
      <c r="AN724" s="565"/>
      <c r="AO724" s="565"/>
      <c r="AP724" s="565"/>
      <c r="AQ724" s="367"/>
    </row>
    <row r="725" spans="1:43" ht="15" x14ac:dyDescent="0.25">
      <c r="A725" s="568"/>
      <c r="B725" s="266">
        <v>4</v>
      </c>
      <c r="C725" s="890" t="s">
        <v>114</v>
      </c>
      <c r="D725" s="890"/>
      <c r="E725" s="890"/>
      <c r="F725" s="890"/>
      <c r="G725" s="569"/>
      <c r="H725" s="570"/>
      <c r="I725" s="569"/>
      <c r="J725" s="569"/>
      <c r="K725" s="569"/>
      <c r="L725" s="569"/>
      <c r="M725" s="207"/>
      <c r="N725" s="569"/>
      <c r="O725" s="569"/>
      <c r="P725" s="569"/>
      <c r="Q725" s="569"/>
      <c r="R725" s="569"/>
      <c r="S725" s="569"/>
      <c r="T725" s="569"/>
      <c r="U725" s="569"/>
      <c r="V725" s="569"/>
      <c r="W725" s="569"/>
      <c r="X725" s="569"/>
      <c r="Y725" s="569"/>
      <c r="Z725" s="569"/>
      <c r="AA725" s="569"/>
      <c r="AB725" s="569"/>
      <c r="AC725" s="569"/>
      <c r="AD725" s="569"/>
      <c r="AE725" s="569"/>
      <c r="AF725" s="569"/>
      <c r="AG725" s="569"/>
      <c r="AH725" s="569"/>
      <c r="AI725" s="569"/>
      <c r="AJ725" s="569"/>
      <c r="AK725" s="569"/>
      <c r="AL725" s="571"/>
      <c r="AM725" s="569"/>
      <c r="AN725" s="569"/>
      <c r="AO725" s="569"/>
      <c r="AP725" s="569"/>
      <c r="AQ725" s="572"/>
    </row>
    <row r="726" spans="1:43" s="28" customFormat="1" ht="15" x14ac:dyDescent="0.25">
      <c r="A726" s="464"/>
      <c r="B726" s="464"/>
      <c r="C726" s="806"/>
      <c r="D726" s="464"/>
      <c r="E726" s="464"/>
      <c r="F726" s="464"/>
      <c r="G726" s="344">
        <v>14</v>
      </c>
      <c r="H726" s="189" t="s">
        <v>115</v>
      </c>
      <c r="I726" s="189"/>
      <c r="J726" s="189"/>
      <c r="K726" s="189"/>
      <c r="L726" s="189"/>
      <c r="M726" s="653"/>
      <c r="N726" s="189"/>
      <c r="O726" s="189"/>
      <c r="P726" s="189"/>
      <c r="Q726" s="189"/>
      <c r="R726" s="189"/>
      <c r="S726" s="189"/>
      <c r="T726" s="189"/>
      <c r="U726" s="189"/>
      <c r="V726" s="189"/>
      <c r="W726" s="189"/>
      <c r="X726" s="189"/>
      <c r="Y726" s="189"/>
      <c r="Z726" s="189"/>
      <c r="AA726" s="189"/>
      <c r="AB726" s="189"/>
      <c r="AC726" s="189"/>
      <c r="AD726" s="189"/>
      <c r="AE726" s="189"/>
      <c r="AF726" s="189"/>
      <c r="AG726" s="189"/>
      <c r="AH726" s="189"/>
      <c r="AI726" s="189"/>
      <c r="AJ726" s="189"/>
      <c r="AK726" s="189"/>
      <c r="AL726" s="190"/>
      <c r="AM726" s="189"/>
      <c r="AN726" s="189"/>
      <c r="AO726" s="189"/>
      <c r="AP726" s="189"/>
      <c r="AQ726" s="521"/>
    </row>
    <row r="727" spans="1:43" s="28" customFormat="1" ht="71.25" x14ac:dyDescent="0.25">
      <c r="A727" s="623"/>
      <c r="B727" s="623"/>
      <c r="C727" s="670">
        <v>7</v>
      </c>
      <c r="D727" s="671" t="s">
        <v>867</v>
      </c>
      <c r="E727" s="624">
        <v>0.317</v>
      </c>
      <c r="F727" s="625">
        <v>0.27</v>
      </c>
      <c r="G727" s="101"/>
      <c r="H727" s="626">
        <v>54</v>
      </c>
      <c r="I727" s="671" t="s">
        <v>117</v>
      </c>
      <c r="J727" s="627">
        <v>129.85</v>
      </c>
      <c r="K727" s="627">
        <v>0.5</v>
      </c>
      <c r="L727" s="627" t="s">
        <v>868</v>
      </c>
      <c r="M727" s="814" t="s">
        <v>869</v>
      </c>
      <c r="N727" s="628" t="s">
        <v>870</v>
      </c>
      <c r="O727" s="670" t="s">
        <v>38</v>
      </c>
      <c r="P727" s="629"/>
      <c r="Q727" s="629"/>
      <c r="R727" s="629"/>
      <c r="S727" s="629"/>
      <c r="T727" s="629"/>
      <c r="U727" s="631"/>
      <c r="V727" s="629"/>
      <c r="W727" s="629"/>
      <c r="X727" s="629"/>
      <c r="Y727" s="629"/>
      <c r="Z727" s="629"/>
      <c r="AA727" s="629"/>
      <c r="AB727" s="629"/>
      <c r="AC727" s="629"/>
      <c r="AD727" s="629"/>
      <c r="AE727" s="629"/>
      <c r="AF727" s="629"/>
      <c r="AG727" s="629"/>
      <c r="AH727" s="629"/>
      <c r="AI727" s="629"/>
      <c r="AJ727" s="629"/>
      <c r="AK727" s="629"/>
      <c r="AL727" s="632">
        <v>0</v>
      </c>
      <c r="AM727" s="633"/>
      <c r="AN727" s="817">
        <f>264000000-104149220+55000000</f>
        <v>214850780</v>
      </c>
      <c r="AO727" s="630"/>
      <c r="AP727" s="630"/>
      <c r="AQ727" s="26">
        <f>P727+Q727+R727+S727+T727+U727+V727+W727+X727+Y727+Z727+AA727+AB727+AC727+AD727+AE727+AF727+AG727+AH727+AI727+AJ727+AK727+AL727+AM727+AN727+AP727+AO727</f>
        <v>214850780</v>
      </c>
    </row>
    <row r="728" spans="1:43" s="28" customFormat="1" ht="15" x14ac:dyDescent="0.25">
      <c r="A728" s="615"/>
      <c r="B728" s="615"/>
      <c r="C728" s="123"/>
      <c r="D728" s="12"/>
      <c r="E728" s="616"/>
      <c r="F728" s="617"/>
      <c r="G728" s="639"/>
      <c r="H728" s="618"/>
      <c r="I728" s="619"/>
      <c r="J728" s="620"/>
      <c r="K728" s="620"/>
      <c r="L728" s="620"/>
      <c r="M728" s="640"/>
      <c r="N728" s="621"/>
      <c r="O728" s="622"/>
      <c r="P728" s="124">
        <f t="shared" ref="P728:AK728" si="345">P727</f>
        <v>0</v>
      </c>
      <c r="Q728" s="124">
        <f t="shared" si="345"/>
        <v>0</v>
      </c>
      <c r="R728" s="124">
        <f t="shared" si="345"/>
        <v>0</v>
      </c>
      <c r="S728" s="124">
        <f t="shared" si="345"/>
        <v>0</v>
      </c>
      <c r="T728" s="124">
        <f t="shared" si="345"/>
        <v>0</v>
      </c>
      <c r="U728" s="124">
        <f t="shared" si="345"/>
        <v>0</v>
      </c>
      <c r="V728" s="124">
        <f t="shared" si="345"/>
        <v>0</v>
      </c>
      <c r="W728" s="124">
        <f t="shared" si="345"/>
        <v>0</v>
      </c>
      <c r="X728" s="124">
        <f t="shared" si="345"/>
        <v>0</v>
      </c>
      <c r="Y728" s="124">
        <f t="shared" si="345"/>
        <v>0</v>
      </c>
      <c r="Z728" s="124">
        <f t="shared" si="345"/>
        <v>0</v>
      </c>
      <c r="AA728" s="124">
        <f t="shared" si="345"/>
        <v>0</v>
      </c>
      <c r="AB728" s="124">
        <f t="shared" si="345"/>
        <v>0</v>
      </c>
      <c r="AC728" s="124">
        <f t="shared" si="345"/>
        <v>0</v>
      </c>
      <c r="AD728" s="124">
        <f t="shared" si="345"/>
        <v>0</v>
      </c>
      <c r="AE728" s="124">
        <f t="shared" si="345"/>
        <v>0</v>
      </c>
      <c r="AF728" s="124">
        <f t="shared" si="345"/>
        <v>0</v>
      </c>
      <c r="AG728" s="124">
        <f t="shared" si="345"/>
        <v>0</v>
      </c>
      <c r="AH728" s="124">
        <f t="shared" si="345"/>
        <v>0</v>
      </c>
      <c r="AI728" s="124">
        <f t="shared" si="345"/>
        <v>0</v>
      </c>
      <c r="AJ728" s="124">
        <f t="shared" si="345"/>
        <v>0</v>
      </c>
      <c r="AK728" s="124">
        <f t="shared" si="345"/>
        <v>0</v>
      </c>
      <c r="AL728" s="124">
        <f t="shared" ref="AL728:AP728" si="346">AL727</f>
        <v>0</v>
      </c>
      <c r="AM728" s="124">
        <f t="shared" si="346"/>
        <v>0</v>
      </c>
      <c r="AN728" s="124">
        <f t="shared" si="346"/>
        <v>214850780</v>
      </c>
      <c r="AO728" s="124">
        <f t="shared" si="346"/>
        <v>0</v>
      </c>
      <c r="AP728" s="124">
        <f t="shared" si="346"/>
        <v>0</v>
      </c>
      <c r="AQ728" s="124">
        <f>AQ727</f>
        <v>214850780</v>
      </c>
    </row>
    <row r="729" spans="1:43" s="28" customFormat="1" ht="16.5" x14ac:dyDescent="0.25">
      <c r="A729" s="152"/>
      <c r="B729" s="152"/>
      <c r="C729" s="762"/>
      <c r="D729" s="765"/>
      <c r="E729" s="780"/>
      <c r="F729" s="783"/>
      <c r="G729" s="101"/>
      <c r="H729" s="634"/>
      <c r="I729" s="414"/>
      <c r="J729" s="635"/>
      <c r="K729" s="635"/>
      <c r="L729" s="635"/>
      <c r="M729" s="636"/>
      <c r="N729" s="637"/>
      <c r="O729" s="777"/>
      <c r="P729" s="281"/>
      <c r="Q729" s="281"/>
      <c r="R729" s="281"/>
      <c r="S729" s="281"/>
      <c r="T729" s="281"/>
      <c r="U729" s="638"/>
      <c r="V729" s="281"/>
      <c r="W729" s="281"/>
      <c r="X729" s="281"/>
      <c r="Y729" s="281"/>
      <c r="Z729" s="281"/>
      <c r="AA729" s="281"/>
      <c r="AB729" s="281"/>
      <c r="AC729" s="281"/>
      <c r="AD729" s="281"/>
      <c r="AE729" s="281"/>
      <c r="AF729" s="281"/>
      <c r="AG729" s="281"/>
      <c r="AH729" s="281"/>
      <c r="AI729" s="281"/>
      <c r="AJ729" s="281"/>
      <c r="AK729" s="281"/>
      <c r="AL729" s="282"/>
      <c r="AM729" s="285"/>
      <c r="AN729" s="818"/>
      <c r="AO729" s="281"/>
      <c r="AP729" s="281"/>
      <c r="AQ729" s="26"/>
    </row>
    <row r="730" spans="1:43" s="28" customFormat="1" ht="15" x14ac:dyDescent="0.25">
      <c r="A730" s="464"/>
      <c r="B730" s="464"/>
      <c r="C730" s="775"/>
      <c r="D730" s="87"/>
      <c r="E730" s="87"/>
      <c r="F730" s="87"/>
      <c r="G730" s="344">
        <v>15</v>
      </c>
      <c r="H730" s="189" t="s">
        <v>123</v>
      </c>
      <c r="I730" s="189"/>
      <c r="J730" s="189"/>
      <c r="K730" s="189"/>
      <c r="L730" s="189"/>
      <c r="M730" s="653"/>
      <c r="N730" s="189"/>
      <c r="O730" s="189"/>
      <c r="P730" s="245">
        <f t="shared" ref="P730:AE730" si="347">SUM(P727)</f>
        <v>0</v>
      </c>
      <c r="Q730" s="245">
        <f t="shared" si="347"/>
        <v>0</v>
      </c>
      <c r="R730" s="245">
        <f t="shared" si="347"/>
        <v>0</v>
      </c>
      <c r="S730" s="245">
        <f t="shared" si="347"/>
        <v>0</v>
      </c>
      <c r="T730" s="245">
        <f t="shared" si="347"/>
        <v>0</v>
      </c>
      <c r="U730" s="245">
        <f t="shared" si="347"/>
        <v>0</v>
      </c>
      <c r="V730" s="245">
        <f t="shared" si="347"/>
        <v>0</v>
      </c>
      <c r="W730" s="245">
        <f t="shared" si="347"/>
        <v>0</v>
      </c>
      <c r="X730" s="245">
        <f t="shared" si="347"/>
        <v>0</v>
      </c>
      <c r="Y730" s="245">
        <f t="shared" si="347"/>
        <v>0</v>
      </c>
      <c r="Z730" s="245">
        <f t="shared" si="347"/>
        <v>0</v>
      </c>
      <c r="AA730" s="245">
        <f t="shared" si="347"/>
        <v>0</v>
      </c>
      <c r="AB730" s="245">
        <f t="shared" si="347"/>
        <v>0</v>
      </c>
      <c r="AC730" s="245">
        <f t="shared" si="347"/>
        <v>0</v>
      </c>
      <c r="AD730" s="245">
        <f t="shared" si="347"/>
        <v>0</v>
      </c>
      <c r="AE730" s="245">
        <f t="shared" si="347"/>
        <v>0</v>
      </c>
      <c r="AF730" s="245"/>
      <c r="AG730" s="245">
        <f t="shared" ref="AG730:AL730" si="348">SUM(AG727)</f>
        <v>0</v>
      </c>
      <c r="AH730" s="245">
        <f t="shared" si="348"/>
        <v>0</v>
      </c>
      <c r="AI730" s="245">
        <f t="shared" si="348"/>
        <v>0</v>
      </c>
      <c r="AJ730" s="245">
        <f t="shared" si="348"/>
        <v>0</v>
      </c>
      <c r="AK730" s="245">
        <f t="shared" si="348"/>
        <v>0</v>
      </c>
      <c r="AL730" s="190">
        <f t="shared" si="348"/>
        <v>0</v>
      </c>
      <c r="AM730" s="245"/>
      <c r="AN730" s="245"/>
      <c r="AO730" s="245">
        <f>SUM(AO727)</f>
        <v>0</v>
      </c>
      <c r="AP730" s="245">
        <f>SUM(AP727)</f>
        <v>0</v>
      </c>
      <c r="AQ730" s="701"/>
    </row>
    <row r="731" spans="1:43" s="28" customFormat="1" ht="98.25" customHeight="1" x14ac:dyDescent="0.25">
      <c r="A731" s="464"/>
      <c r="B731" s="464"/>
      <c r="C731" s="775">
        <v>7</v>
      </c>
      <c r="D731" s="774" t="s">
        <v>867</v>
      </c>
      <c r="E731" s="84">
        <v>0.317</v>
      </c>
      <c r="F731" s="80">
        <v>0.27</v>
      </c>
      <c r="G731" s="101"/>
      <c r="H731" s="775">
        <v>59</v>
      </c>
      <c r="I731" s="774" t="s">
        <v>130</v>
      </c>
      <c r="J731" s="11">
        <v>82</v>
      </c>
      <c r="K731" s="8">
        <v>12</v>
      </c>
      <c r="L731" s="851" t="s">
        <v>126</v>
      </c>
      <c r="M731" s="872" t="s">
        <v>869</v>
      </c>
      <c r="N731" s="891" t="s">
        <v>870</v>
      </c>
      <c r="O731" s="5" t="s">
        <v>34</v>
      </c>
      <c r="P731" s="254">
        <v>0</v>
      </c>
      <c r="Q731" s="254">
        <v>0</v>
      </c>
      <c r="R731" s="819">
        <f>350000000+181666666+117391386</f>
        <v>649058052</v>
      </c>
      <c r="S731" s="254">
        <v>0</v>
      </c>
      <c r="T731" s="254">
        <v>0</v>
      </c>
      <c r="U731" s="254">
        <v>0</v>
      </c>
      <c r="V731" s="254">
        <v>0</v>
      </c>
      <c r="W731" s="254"/>
      <c r="X731" s="254"/>
      <c r="Y731" s="254"/>
      <c r="Z731" s="254">
        <v>0</v>
      </c>
      <c r="AA731" s="254"/>
      <c r="AB731" s="254">
        <v>0</v>
      </c>
      <c r="AC731" s="254">
        <v>0</v>
      </c>
      <c r="AD731" s="254"/>
      <c r="AE731" s="254"/>
      <c r="AF731" s="254"/>
      <c r="AG731" s="254"/>
      <c r="AH731" s="254"/>
      <c r="AI731" s="254"/>
      <c r="AJ731" s="254">
        <v>0</v>
      </c>
      <c r="AK731" s="254">
        <v>0</v>
      </c>
      <c r="AL731" s="114">
        <v>0</v>
      </c>
      <c r="AM731" s="333"/>
      <c r="AN731" s="819">
        <f>70000000-35149220</f>
        <v>34850780</v>
      </c>
      <c r="AO731" s="470">
        <v>0</v>
      </c>
      <c r="AP731" s="470"/>
      <c r="AQ731" s="26">
        <f>P731+Q731+R731+S731+T731+U731+V731+W731+X731+Y731+Z731+AA731+AB731+AC731+AD731+AE731+AF731+AG731+AH731+AI731+AJ731+AK731+AL731+AM731+AN731+AP731+AO731</f>
        <v>683908832</v>
      </c>
    </row>
    <row r="732" spans="1:43" s="28" customFormat="1" ht="111" customHeight="1" x14ac:dyDescent="0.25">
      <c r="A732" s="464"/>
      <c r="B732" s="464"/>
      <c r="C732" s="775">
        <v>7</v>
      </c>
      <c r="D732" s="774" t="s">
        <v>867</v>
      </c>
      <c r="E732" s="84">
        <v>0.317</v>
      </c>
      <c r="F732" s="80">
        <v>0.27</v>
      </c>
      <c r="G732" s="101"/>
      <c r="H732" s="775">
        <v>57</v>
      </c>
      <c r="I732" s="774" t="s">
        <v>125</v>
      </c>
      <c r="J732" s="11">
        <v>103</v>
      </c>
      <c r="K732" s="21">
        <v>12</v>
      </c>
      <c r="L732" s="852"/>
      <c r="M732" s="873"/>
      <c r="N732" s="892"/>
      <c r="O732" s="5" t="s">
        <v>34</v>
      </c>
      <c r="P732" s="254"/>
      <c r="Q732" s="254"/>
      <c r="R732" s="819">
        <v>670045268</v>
      </c>
      <c r="S732" s="254"/>
      <c r="T732" s="254"/>
      <c r="U732" s="254"/>
      <c r="V732" s="254"/>
      <c r="W732" s="254"/>
      <c r="X732" s="254"/>
      <c r="Y732" s="254"/>
      <c r="Z732" s="254"/>
      <c r="AA732" s="254"/>
      <c r="AB732" s="254"/>
      <c r="AC732" s="254"/>
      <c r="AD732" s="254"/>
      <c r="AE732" s="254"/>
      <c r="AF732" s="254"/>
      <c r="AG732" s="254"/>
      <c r="AH732" s="254"/>
      <c r="AI732" s="254"/>
      <c r="AJ732" s="254"/>
      <c r="AK732" s="254"/>
      <c r="AL732" s="114"/>
      <c r="AM732" s="333"/>
      <c r="AN732" s="819">
        <f>70000000-35149220</f>
        <v>34850780</v>
      </c>
      <c r="AO732" s="573"/>
      <c r="AP732" s="573"/>
      <c r="AQ732" s="26">
        <f>P732+Q732+R732+S732+T732+U732+V732+W732+X732+Y732+Z732+AA732+AB732+AC732+AD732+AE732+AF732+AG732+AH732+AI732+AJ732+AK732+AL732+AM732+AN732+AP732+AO732</f>
        <v>704896048</v>
      </c>
    </row>
    <row r="733" spans="1:43" ht="95.25" customHeight="1" x14ac:dyDescent="0.25">
      <c r="A733" s="464"/>
      <c r="B733" s="464"/>
      <c r="C733" s="775">
        <v>7</v>
      </c>
      <c r="D733" s="774" t="s">
        <v>867</v>
      </c>
      <c r="E733" s="84">
        <v>0.317</v>
      </c>
      <c r="F733" s="80">
        <v>0.27</v>
      </c>
      <c r="G733" s="101"/>
      <c r="H733" s="775">
        <v>60</v>
      </c>
      <c r="I733" s="774" t="s">
        <v>913</v>
      </c>
      <c r="J733" s="11">
        <v>9</v>
      </c>
      <c r="K733" s="21">
        <v>12</v>
      </c>
      <c r="L733" s="852"/>
      <c r="M733" s="873"/>
      <c r="N733" s="892"/>
      <c r="O733" s="5" t="s">
        <v>34</v>
      </c>
      <c r="P733" s="254">
        <v>0</v>
      </c>
      <c r="Q733" s="254">
        <v>0</v>
      </c>
      <c r="R733" s="819">
        <f>100000000-100000000</f>
        <v>0</v>
      </c>
      <c r="S733" s="254">
        <v>0</v>
      </c>
      <c r="T733" s="254">
        <v>0</v>
      </c>
      <c r="U733" s="254">
        <v>0</v>
      </c>
      <c r="V733" s="254">
        <v>0</v>
      </c>
      <c r="W733" s="254"/>
      <c r="X733" s="254"/>
      <c r="Y733" s="254"/>
      <c r="Z733" s="254">
        <v>0</v>
      </c>
      <c r="AA733" s="254"/>
      <c r="AB733" s="254">
        <v>0</v>
      </c>
      <c r="AC733" s="254">
        <v>0</v>
      </c>
      <c r="AD733" s="254"/>
      <c r="AE733" s="254"/>
      <c r="AF733" s="254"/>
      <c r="AG733" s="254"/>
      <c r="AH733" s="254"/>
      <c r="AI733" s="254"/>
      <c r="AJ733" s="254">
        <v>0</v>
      </c>
      <c r="AK733" s="254">
        <v>0</v>
      </c>
      <c r="AL733" s="114"/>
      <c r="AM733" s="333"/>
      <c r="AN733" s="26">
        <v>464767887</v>
      </c>
      <c r="AO733" s="470">
        <v>0</v>
      </c>
      <c r="AP733" s="470"/>
      <c r="AQ733" s="26">
        <f>P733+Q733+R733+S733+T733+U733+V733+W733+X733+Y733+Z733+AA733+AB733+AC733+AD733+AE733+AF733+AG733+AH733+AI733+AJ733+AK733+AL733+AM733+AN733+AP733+AO733</f>
        <v>464767887</v>
      </c>
    </row>
    <row r="734" spans="1:43" ht="65.25" customHeight="1" thickBot="1" x14ac:dyDescent="0.3">
      <c r="A734" s="464"/>
      <c r="B734" s="464"/>
      <c r="C734" s="775">
        <v>7</v>
      </c>
      <c r="D734" s="774" t="s">
        <v>867</v>
      </c>
      <c r="E734" s="84">
        <v>0.317</v>
      </c>
      <c r="F734" s="80">
        <v>0.27</v>
      </c>
      <c r="G734" s="101"/>
      <c r="H734" s="775">
        <v>63</v>
      </c>
      <c r="I734" s="6" t="s">
        <v>133</v>
      </c>
      <c r="J734" s="11" t="s">
        <v>30</v>
      </c>
      <c r="K734" s="21">
        <v>250</v>
      </c>
      <c r="L734" s="853"/>
      <c r="M734" s="874"/>
      <c r="N734" s="893"/>
      <c r="O734" s="5" t="s">
        <v>34</v>
      </c>
      <c r="P734" s="254"/>
      <c r="Q734" s="254"/>
      <c r="R734" s="26">
        <f>695000000-213333332+117391386</f>
        <v>599058054</v>
      </c>
      <c r="S734" s="254"/>
      <c r="T734" s="254"/>
      <c r="U734" s="254"/>
      <c r="V734" s="254"/>
      <c r="W734" s="254"/>
      <c r="X734" s="254"/>
      <c r="Y734" s="254"/>
      <c r="Z734" s="254"/>
      <c r="AA734" s="254"/>
      <c r="AB734" s="254"/>
      <c r="AC734" s="254"/>
      <c r="AD734" s="254"/>
      <c r="AE734" s="254"/>
      <c r="AF734" s="254"/>
      <c r="AG734" s="254"/>
      <c r="AH734" s="254"/>
      <c r="AI734" s="254"/>
      <c r="AJ734" s="254"/>
      <c r="AK734" s="254"/>
      <c r="AL734" s="574"/>
      <c r="AM734" s="575"/>
      <c r="AN734" s="26">
        <f>180253900-80403120</f>
        <v>99850780</v>
      </c>
      <c r="AO734" s="470"/>
      <c r="AP734" s="470"/>
      <c r="AQ734" s="26">
        <f>P734+Q734+R734+S734+T734+U734+V734+W734+X734+Y734+Z734+AA734+AB734+AC734+AD734+AE734+AF734+AG734+AH734+AI734+AJ734+AK734+AL734+AM734+AN734+AP734+AO734</f>
        <v>698908834</v>
      </c>
    </row>
    <row r="735" spans="1:43" ht="15" x14ac:dyDescent="0.25">
      <c r="A735" s="568"/>
      <c r="B735" s="464"/>
      <c r="C735" s="775"/>
      <c r="D735" s="774"/>
      <c r="E735" s="775"/>
      <c r="F735" s="775"/>
      <c r="G735" s="409"/>
      <c r="H735" s="155"/>
      <c r="I735" s="154"/>
      <c r="J735" s="253"/>
      <c r="K735" s="253"/>
      <c r="L735" s="253"/>
      <c r="M735" s="157"/>
      <c r="N735" s="154"/>
      <c r="O735" s="155"/>
      <c r="P735" s="158">
        <f t="shared" ref="P735:R735" si="349">SUM(P731:P734)</f>
        <v>0</v>
      </c>
      <c r="Q735" s="158">
        <f t="shared" si="349"/>
        <v>0</v>
      </c>
      <c r="R735" s="158">
        <f t="shared" si="349"/>
        <v>1918161374</v>
      </c>
      <c r="S735" s="158">
        <f t="shared" ref="S735:AM735" si="350">SUM(S731:S734)</f>
        <v>0</v>
      </c>
      <c r="T735" s="158">
        <f t="shared" si="350"/>
        <v>0</v>
      </c>
      <c r="U735" s="158">
        <f t="shared" si="350"/>
        <v>0</v>
      </c>
      <c r="V735" s="158">
        <f t="shared" si="350"/>
        <v>0</v>
      </c>
      <c r="W735" s="158">
        <f t="shared" si="350"/>
        <v>0</v>
      </c>
      <c r="X735" s="158">
        <f t="shared" si="350"/>
        <v>0</v>
      </c>
      <c r="Y735" s="158">
        <f t="shared" si="350"/>
        <v>0</v>
      </c>
      <c r="Z735" s="158">
        <f t="shared" si="350"/>
        <v>0</v>
      </c>
      <c r="AA735" s="158">
        <f t="shared" si="350"/>
        <v>0</v>
      </c>
      <c r="AB735" s="158">
        <f t="shared" si="350"/>
        <v>0</v>
      </c>
      <c r="AC735" s="158">
        <f t="shared" si="350"/>
        <v>0</v>
      </c>
      <c r="AD735" s="158">
        <f t="shared" si="350"/>
        <v>0</v>
      </c>
      <c r="AE735" s="158">
        <f t="shared" si="350"/>
        <v>0</v>
      </c>
      <c r="AF735" s="158">
        <f t="shared" si="350"/>
        <v>0</v>
      </c>
      <c r="AG735" s="158">
        <f t="shared" si="350"/>
        <v>0</v>
      </c>
      <c r="AH735" s="158">
        <f t="shared" si="350"/>
        <v>0</v>
      </c>
      <c r="AI735" s="158">
        <f t="shared" si="350"/>
        <v>0</v>
      </c>
      <c r="AJ735" s="158">
        <f t="shared" si="350"/>
        <v>0</v>
      </c>
      <c r="AK735" s="158">
        <f t="shared" si="350"/>
        <v>0</v>
      </c>
      <c r="AL735" s="158">
        <f t="shared" si="350"/>
        <v>0</v>
      </c>
      <c r="AM735" s="158">
        <f t="shared" si="350"/>
        <v>0</v>
      </c>
      <c r="AN735" s="158">
        <f t="shared" ref="AN735:AP735" si="351">SUM(AN731:AN734)</f>
        <v>634320227</v>
      </c>
      <c r="AO735" s="158">
        <f t="shared" si="351"/>
        <v>0</v>
      </c>
      <c r="AP735" s="158">
        <f t="shared" si="351"/>
        <v>0</v>
      </c>
      <c r="AQ735" s="158">
        <f>SUM(AQ731:AQ734)</f>
        <v>2552481601</v>
      </c>
    </row>
    <row r="736" spans="1:43" ht="15" x14ac:dyDescent="0.25">
      <c r="A736" s="568"/>
      <c r="B736" s="161"/>
      <c r="C736" s="162"/>
      <c r="D736" s="161"/>
      <c r="E736" s="162"/>
      <c r="F736" s="162"/>
      <c r="G736" s="218"/>
      <c r="H736" s="162"/>
      <c r="I736" s="161"/>
      <c r="J736" s="261"/>
      <c r="K736" s="261"/>
      <c r="L736" s="261"/>
      <c r="M736" s="164"/>
      <c r="N736" s="161"/>
      <c r="O736" s="162"/>
      <c r="P736" s="165">
        <f t="shared" ref="P736:Q738" si="352">P735</f>
        <v>0</v>
      </c>
      <c r="Q736" s="165">
        <f t="shared" si="352"/>
        <v>0</v>
      </c>
      <c r="R736" s="165">
        <f>R735+R728</f>
        <v>1918161374</v>
      </c>
      <c r="S736" s="165">
        <f t="shared" ref="S736:AM736" si="353">S735+S728</f>
        <v>0</v>
      </c>
      <c r="T736" s="165">
        <f t="shared" si="353"/>
        <v>0</v>
      </c>
      <c r="U736" s="165">
        <f t="shared" si="353"/>
        <v>0</v>
      </c>
      <c r="V736" s="165">
        <f t="shared" si="353"/>
        <v>0</v>
      </c>
      <c r="W736" s="165">
        <f t="shared" si="353"/>
        <v>0</v>
      </c>
      <c r="X736" s="165">
        <f t="shared" si="353"/>
        <v>0</v>
      </c>
      <c r="Y736" s="165">
        <f t="shared" si="353"/>
        <v>0</v>
      </c>
      <c r="Z736" s="165">
        <f t="shared" si="353"/>
        <v>0</v>
      </c>
      <c r="AA736" s="165">
        <f t="shared" si="353"/>
        <v>0</v>
      </c>
      <c r="AB736" s="165">
        <f t="shared" si="353"/>
        <v>0</v>
      </c>
      <c r="AC736" s="165">
        <f t="shared" si="353"/>
        <v>0</v>
      </c>
      <c r="AD736" s="165">
        <f t="shared" si="353"/>
        <v>0</v>
      </c>
      <c r="AE736" s="165">
        <f t="shared" si="353"/>
        <v>0</v>
      </c>
      <c r="AF736" s="165">
        <f t="shared" si="353"/>
        <v>0</v>
      </c>
      <c r="AG736" s="165">
        <f t="shared" si="353"/>
        <v>0</v>
      </c>
      <c r="AH736" s="165">
        <f t="shared" si="353"/>
        <v>0</v>
      </c>
      <c r="AI736" s="165">
        <f t="shared" si="353"/>
        <v>0</v>
      </c>
      <c r="AJ736" s="165">
        <f t="shared" si="353"/>
        <v>0</v>
      </c>
      <c r="AK736" s="165">
        <f t="shared" si="353"/>
        <v>0</v>
      </c>
      <c r="AL736" s="165">
        <f t="shared" si="353"/>
        <v>0</v>
      </c>
      <c r="AM736" s="165">
        <f t="shared" si="353"/>
        <v>0</v>
      </c>
      <c r="AN736" s="165">
        <f t="shared" ref="AN736:AP736" si="354">AN735+AN728</f>
        <v>849171007</v>
      </c>
      <c r="AO736" s="165">
        <f t="shared" si="354"/>
        <v>0</v>
      </c>
      <c r="AP736" s="165">
        <f t="shared" si="354"/>
        <v>0</v>
      </c>
      <c r="AQ736" s="165">
        <f>AQ735+AQ728</f>
        <v>2767332381</v>
      </c>
    </row>
    <row r="737" spans="1:43" ht="15" x14ac:dyDescent="0.25">
      <c r="A737" s="166"/>
      <c r="B737" s="166"/>
      <c r="C737" s="167"/>
      <c r="D737" s="166"/>
      <c r="E737" s="167"/>
      <c r="F737" s="167"/>
      <c r="G737" s="262"/>
      <c r="H737" s="167"/>
      <c r="I737" s="166"/>
      <c r="J737" s="263"/>
      <c r="K737" s="263"/>
      <c r="L737" s="263"/>
      <c r="M737" s="169"/>
      <c r="N737" s="166"/>
      <c r="O737" s="167"/>
      <c r="P737" s="170">
        <f t="shared" si="352"/>
        <v>0</v>
      </c>
      <c r="Q737" s="170">
        <f t="shared" si="352"/>
        <v>0</v>
      </c>
      <c r="R737" s="170">
        <f>R736</f>
        <v>1918161374</v>
      </c>
      <c r="S737" s="170">
        <f t="shared" ref="S737:AM737" si="355">S736</f>
        <v>0</v>
      </c>
      <c r="T737" s="170">
        <f t="shared" si="355"/>
        <v>0</v>
      </c>
      <c r="U737" s="170">
        <f t="shared" si="355"/>
        <v>0</v>
      </c>
      <c r="V737" s="170">
        <f t="shared" si="355"/>
        <v>0</v>
      </c>
      <c r="W737" s="170">
        <f t="shared" si="355"/>
        <v>0</v>
      </c>
      <c r="X737" s="170">
        <f t="shared" si="355"/>
        <v>0</v>
      </c>
      <c r="Y737" s="170">
        <f t="shared" si="355"/>
        <v>0</v>
      </c>
      <c r="Z737" s="170">
        <f t="shared" si="355"/>
        <v>0</v>
      </c>
      <c r="AA737" s="170">
        <f t="shared" si="355"/>
        <v>0</v>
      </c>
      <c r="AB737" s="170">
        <f t="shared" si="355"/>
        <v>0</v>
      </c>
      <c r="AC737" s="170">
        <f t="shared" si="355"/>
        <v>0</v>
      </c>
      <c r="AD737" s="170">
        <f t="shared" si="355"/>
        <v>0</v>
      </c>
      <c r="AE737" s="170">
        <f t="shared" si="355"/>
        <v>0</v>
      </c>
      <c r="AF737" s="170">
        <f t="shared" si="355"/>
        <v>0</v>
      </c>
      <c r="AG737" s="170">
        <f t="shared" si="355"/>
        <v>0</v>
      </c>
      <c r="AH737" s="170">
        <f t="shared" si="355"/>
        <v>0</v>
      </c>
      <c r="AI737" s="170">
        <f t="shared" si="355"/>
        <v>0</v>
      </c>
      <c r="AJ737" s="170">
        <f t="shared" si="355"/>
        <v>0</v>
      </c>
      <c r="AK737" s="170">
        <f t="shared" si="355"/>
        <v>0</v>
      </c>
      <c r="AL737" s="170">
        <f t="shared" si="355"/>
        <v>0</v>
      </c>
      <c r="AM737" s="170">
        <f t="shared" si="355"/>
        <v>0</v>
      </c>
      <c r="AN737" s="170">
        <f t="shared" ref="AN737:AP737" si="356">AN736</f>
        <v>849171007</v>
      </c>
      <c r="AO737" s="170">
        <f t="shared" si="356"/>
        <v>0</v>
      </c>
      <c r="AP737" s="170">
        <f t="shared" si="356"/>
        <v>0</v>
      </c>
      <c r="AQ737" s="170">
        <f t="shared" ref="AQ737:AQ738" si="357">AQ736</f>
        <v>2767332381</v>
      </c>
    </row>
    <row r="738" spans="1:43" ht="15" x14ac:dyDescent="0.25">
      <c r="A738" s="171"/>
      <c r="B738" s="171"/>
      <c r="C738" s="172"/>
      <c r="D738" s="171"/>
      <c r="E738" s="172"/>
      <c r="F738" s="172"/>
      <c r="G738" s="576"/>
      <c r="H738" s="172"/>
      <c r="I738" s="171"/>
      <c r="J738" s="274"/>
      <c r="K738" s="274"/>
      <c r="L738" s="274"/>
      <c r="M738" s="174"/>
      <c r="N738" s="171"/>
      <c r="O738" s="172"/>
      <c r="P738" s="175">
        <f t="shared" si="352"/>
        <v>0</v>
      </c>
      <c r="Q738" s="175">
        <f t="shared" si="352"/>
        <v>0</v>
      </c>
      <c r="R738" s="175">
        <f>R737</f>
        <v>1918161374</v>
      </c>
      <c r="S738" s="175">
        <f t="shared" ref="S738:AM738" si="358">S737</f>
        <v>0</v>
      </c>
      <c r="T738" s="175">
        <f t="shared" si="358"/>
        <v>0</v>
      </c>
      <c r="U738" s="175">
        <f t="shared" si="358"/>
        <v>0</v>
      </c>
      <c r="V738" s="175">
        <f t="shared" si="358"/>
        <v>0</v>
      </c>
      <c r="W738" s="175">
        <f t="shared" si="358"/>
        <v>0</v>
      </c>
      <c r="X738" s="175">
        <f t="shared" si="358"/>
        <v>0</v>
      </c>
      <c r="Y738" s="175">
        <f t="shared" si="358"/>
        <v>0</v>
      </c>
      <c r="Z738" s="175">
        <f t="shared" si="358"/>
        <v>0</v>
      </c>
      <c r="AA738" s="175">
        <f t="shared" si="358"/>
        <v>0</v>
      </c>
      <c r="AB738" s="175">
        <f t="shared" si="358"/>
        <v>0</v>
      </c>
      <c r="AC738" s="175">
        <f t="shared" si="358"/>
        <v>0</v>
      </c>
      <c r="AD738" s="175">
        <f t="shared" si="358"/>
        <v>0</v>
      </c>
      <c r="AE738" s="175">
        <f t="shared" si="358"/>
        <v>0</v>
      </c>
      <c r="AF738" s="175">
        <f t="shared" si="358"/>
        <v>0</v>
      </c>
      <c r="AG738" s="175">
        <f t="shared" si="358"/>
        <v>0</v>
      </c>
      <c r="AH738" s="175">
        <f t="shared" si="358"/>
        <v>0</v>
      </c>
      <c r="AI738" s="175">
        <f t="shared" si="358"/>
        <v>0</v>
      </c>
      <c r="AJ738" s="175">
        <f t="shared" si="358"/>
        <v>0</v>
      </c>
      <c r="AK738" s="175">
        <f t="shared" si="358"/>
        <v>0</v>
      </c>
      <c r="AL738" s="175">
        <f t="shared" si="358"/>
        <v>0</v>
      </c>
      <c r="AM738" s="175">
        <f t="shared" si="358"/>
        <v>0</v>
      </c>
      <c r="AN738" s="175">
        <f t="shared" ref="AN738:AP738" si="359">AN737</f>
        <v>849171007</v>
      </c>
      <c r="AO738" s="175">
        <f t="shared" si="359"/>
        <v>0</v>
      </c>
      <c r="AP738" s="175">
        <f t="shared" si="359"/>
        <v>0</v>
      </c>
      <c r="AQ738" s="175">
        <f t="shared" si="357"/>
        <v>2767332381</v>
      </c>
    </row>
    <row r="739" spans="1:43" s="459" customFormat="1" ht="21" customHeight="1" x14ac:dyDescent="0.25">
      <c r="A739" s="6"/>
      <c r="B739" s="6"/>
      <c r="C739" s="5"/>
      <c r="D739" s="6"/>
      <c r="E739" s="5"/>
      <c r="F739" s="5"/>
      <c r="G739" s="529"/>
      <c r="H739" s="530"/>
      <c r="I739" s="529"/>
      <c r="J739" s="577"/>
      <c r="K739" s="577"/>
      <c r="L739" s="577"/>
      <c r="M739" s="531"/>
      <c r="N739" s="529"/>
      <c r="O739" s="530"/>
      <c r="P739" s="265"/>
      <c r="Q739" s="265"/>
      <c r="R739" s="265"/>
      <c r="S739" s="265"/>
      <c r="T739" s="265"/>
      <c r="U739" s="265"/>
      <c r="V739" s="265"/>
      <c r="W739" s="265"/>
      <c r="X739" s="265"/>
      <c r="Y739" s="265"/>
      <c r="Z739" s="265"/>
      <c r="AA739" s="265"/>
      <c r="AB739" s="265"/>
      <c r="AC739" s="265"/>
      <c r="AD739" s="265"/>
      <c r="AE739" s="265"/>
      <c r="AF739" s="265"/>
      <c r="AG739" s="265"/>
      <c r="AH739" s="265"/>
      <c r="AI739" s="265"/>
      <c r="AJ739" s="265"/>
      <c r="AK739" s="265"/>
      <c r="AL739" s="578"/>
      <c r="AM739" s="265"/>
      <c r="AN739" s="265"/>
      <c r="AO739" s="265"/>
      <c r="AP739" s="265"/>
      <c r="AQ739" s="702"/>
    </row>
    <row r="740" spans="1:43" ht="36.75" customHeight="1" x14ac:dyDescent="0.25">
      <c r="A740" s="562" t="s">
        <v>871</v>
      </c>
      <c r="B740" s="562"/>
      <c r="C740" s="563"/>
      <c r="D740" s="562"/>
      <c r="E740" s="562"/>
      <c r="F740" s="562"/>
      <c r="G740" s="135"/>
      <c r="H740" s="136"/>
      <c r="I740" s="135"/>
      <c r="J740" s="135"/>
      <c r="K740" s="135"/>
      <c r="L740" s="135"/>
      <c r="M740" s="650"/>
      <c r="N740" s="135"/>
      <c r="O740" s="136"/>
      <c r="P740" s="135"/>
      <c r="Q740" s="135"/>
      <c r="R740" s="135"/>
      <c r="S740" s="135"/>
      <c r="T740" s="135"/>
      <c r="U740" s="135"/>
      <c r="V740" s="135"/>
      <c r="W740" s="135"/>
      <c r="X740" s="135"/>
      <c r="Y740" s="135"/>
      <c r="Z740" s="135"/>
      <c r="AA740" s="135"/>
      <c r="AB740" s="135"/>
      <c r="AC740" s="135"/>
      <c r="AD740" s="135"/>
      <c r="AE740" s="135"/>
      <c r="AF740" s="135"/>
      <c r="AG740" s="135"/>
      <c r="AH740" s="135"/>
      <c r="AI740" s="135"/>
      <c r="AJ740" s="135"/>
      <c r="AK740" s="135"/>
      <c r="AL740" s="137"/>
      <c r="AM740" s="138"/>
      <c r="AN740" s="135"/>
      <c r="AO740" s="135"/>
      <c r="AP740" s="135"/>
      <c r="AQ740" s="564"/>
    </row>
    <row r="741" spans="1:43" ht="24.75" customHeight="1" x14ac:dyDescent="0.25">
      <c r="A741" s="807">
        <v>4</v>
      </c>
      <c r="B741" s="538" t="s">
        <v>872</v>
      </c>
      <c r="C741" s="338"/>
      <c r="D741" s="538"/>
      <c r="E741" s="538"/>
      <c r="F741" s="367"/>
      <c r="G741" s="565"/>
      <c r="H741" s="566"/>
      <c r="I741" s="565"/>
      <c r="J741" s="565"/>
      <c r="K741" s="565"/>
      <c r="L741" s="565"/>
      <c r="M741" s="663"/>
      <c r="N741" s="565"/>
      <c r="O741" s="565"/>
      <c r="P741" s="565"/>
      <c r="Q741" s="565"/>
      <c r="R741" s="565"/>
      <c r="S741" s="565"/>
      <c r="T741" s="565"/>
      <c r="U741" s="565"/>
      <c r="V741" s="565"/>
      <c r="W741" s="565"/>
      <c r="X741" s="565"/>
      <c r="Y741" s="565"/>
      <c r="Z741" s="565"/>
      <c r="AA741" s="565"/>
      <c r="AB741" s="565"/>
      <c r="AC741" s="565"/>
      <c r="AD741" s="565"/>
      <c r="AE741" s="565"/>
      <c r="AF741" s="565"/>
      <c r="AG741" s="565"/>
      <c r="AH741" s="565"/>
      <c r="AI741" s="565"/>
      <c r="AJ741" s="565"/>
      <c r="AK741" s="565"/>
      <c r="AL741" s="567"/>
      <c r="AM741" s="565"/>
      <c r="AN741" s="565"/>
      <c r="AO741" s="565"/>
      <c r="AP741" s="565"/>
      <c r="AQ741" s="367"/>
    </row>
    <row r="742" spans="1:43" ht="24.75" customHeight="1" x14ac:dyDescent="0.25">
      <c r="A742" s="185"/>
      <c r="B742" s="266">
        <v>23</v>
      </c>
      <c r="C742" s="327" t="s">
        <v>162</v>
      </c>
      <c r="D742" s="524"/>
      <c r="E742" s="524"/>
      <c r="F742" s="524"/>
      <c r="G742" s="146"/>
      <c r="H742" s="147"/>
      <c r="I742" s="146"/>
      <c r="J742" s="146"/>
      <c r="K742" s="146"/>
      <c r="L742" s="569"/>
      <c r="M742" s="207"/>
      <c r="N742" s="569"/>
      <c r="O742" s="569"/>
      <c r="P742" s="569"/>
      <c r="Q742" s="569"/>
      <c r="R742" s="569"/>
      <c r="S742" s="569"/>
      <c r="T742" s="569"/>
      <c r="U742" s="569"/>
      <c r="V742" s="569"/>
      <c r="W742" s="569"/>
      <c r="X742" s="569"/>
      <c r="Y742" s="569"/>
      <c r="Z742" s="569"/>
      <c r="AA742" s="569"/>
      <c r="AB742" s="569"/>
      <c r="AC742" s="569"/>
      <c r="AD742" s="569"/>
      <c r="AE742" s="569"/>
      <c r="AF742" s="569"/>
      <c r="AG742" s="569"/>
      <c r="AH742" s="569"/>
      <c r="AI742" s="569"/>
      <c r="AJ742" s="569"/>
      <c r="AK742" s="569"/>
      <c r="AL742" s="571"/>
      <c r="AM742" s="569"/>
      <c r="AN742" s="569"/>
      <c r="AO742" s="569"/>
      <c r="AP742" s="569"/>
      <c r="AQ742" s="572"/>
    </row>
    <row r="743" spans="1:43" ht="24.75" customHeight="1" x14ac:dyDescent="0.25">
      <c r="A743" s="20"/>
      <c r="B743" s="611"/>
      <c r="C743" s="775"/>
      <c r="D743" s="774"/>
      <c r="E743" s="775"/>
      <c r="F743" s="775"/>
      <c r="G743" s="344">
        <v>77</v>
      </c>
      <c r="H743" s="189" t="s">
        <v>873</v>
      </c>
      <c r="I743" s="189"/>
      <c r="J743" s="189"/>
      <c r="K743" s="189"/>
      <c r="L743" s="189"/>
      <c r="M743" s="653"/>
      <c r="N743" s="189"/>
      <c r="O743" s="189"/>
      <c r="P743" s="189"/>
      <c r="Q743" s="189"/>
      <c r="R743" s="189"/>
      <c r="S743" s="189"/>
      <c r="T743" s="189"/>
      <c r="U743" s="189"/>
      <c r="V743" s="189"/>
      <c r="W743" s="189"/>
      <c r="X743" s="189"/>
      <c r="Y743" s="189"/>
      <c r="Z743" s="189"/>
      <c r="AA743" s="189"/>
      <c r="AB743" s="189"/>
      <c r="AC743" s="189"/>
      <c r="AD743" s="189"/>
      <c r="AE743" s="189"/>
      <c r="AF743" s="189"/>
      <c r="AG743" s="189"/>
      <c r="AH743" s="189"/>
      <c r="AI743" s="189"/>
      <c r="AJ743" s="189"/>
      <c r="AK743" s="189"/>
      <c r="AL743" s="190"/>
      <c r="AM743" s="189"/>
      <c r="AN743" s="189"/>
      <c r="AO743" s="189"/>
      <c r="AP743" s="189"/>
      <c r="AQ743" s="521"/>
    </row>
    <row r="744" spans="1:43" ht="56.25" customHeight="1" x14ac:dyDescent="0.25">
      <c r="A744" s="20"/>
      <c r="B744" s="612"/>
      <c r="C744" s="868">
        <v>11</v>
      </c>
      <c r="D744" s="870" t="s">
        <v>874</v>
      </c>
      <c r="E744" s="870" t="s">
        <v>875</v>
      </c>
      <c r="F744" s="870" t="s">
        <v>876</v>
      </c>
      <c r="G744" s="100"/>
      <c r="H744" s="775">
        <v>223</v>
      </c>
      <c r="I744" s="774" t="s">
        <v>877</v>
      </c>
      <c r="J744" s="490" t="s">
        <v>30</v>
      </c>
      <c r="K744" s="24">
        <v>1</v>
      </c>
      <c r="L744" s="490" t="s">
        <v>118</v>
      </c>
      <c r="M744" s="872" t="s">
        <v>878</v>
      </c>
      <c r="N744" s="849" t="s">
        <v>879</v>
      </c>
      <c r="O744" s="775" t="s">
        <v>38</v>
      </c>
      <c r="P744" s="26">
        <v>0</v>
      </c>
      <c r="Q744" s="26">
        <v>0</v>
      </c>
      <c r="R744" s="26">
        <v>0</v>
      </c>
      <c r="S744" s="26">
        <v>0</v>
      </c>
      <c r="T744" s="26">
        <v>0</v>
      </c>
      <c r="U744" s="26">
        <v>0</v>
      </c>
      <c r="V744" s="26">
        <v>0</v>
      </c>
      <c r="W744" s="26"/>
      <c r="X744" s="26"/>
      <c r="Y744" s="26"/>
      <c r="Z744" s="26">
        <v>0</v>
      </c>
      <c r="AA744" s="26"/>
      <c r="AB744" s="26">
        <v>0</v>
      </c>
      <c r="AC744" s="26">
        <v>0</v>
      </c>
      <c r="AD744" s="254"/>
      <c r="AE744" s="254"/>
      <c r="AF744" s="254"/>
      <c r="AG744" s="254"/>
      <c r="AH744" s="254"/>
      <c r="AI744" s="254"/>
      <c r="AJ744" s="26">
        <v>0</v>
      </c>
      <c r="AK744" s="26">
        <v>0</v>
      </c>
      <c r="AL744" s="110">
        <v>0</v>
      </c>
      <c r="AM744" s="110">
        <v>0</v>
      </c>
      <c r="AN744" s="14">
        <v>105284954</v>
      </c>
      <c r="AO744" s="293">
        <v>0</v>
      </c>
      <c r="AP744" s="293"/>
      <c r="AQ744" s="26">
        <f>P744+Q744+R744+S744+T744+U744+V744+W744+X744+Y744+Z744+AA744+AB744+AC744+AD744+AE744+AF744+AG744+AH744+AI744+AJ744+AK744+AL744+AM744+AN744+AP744+AO744</f>
        <v>105284954</v>
      </c>
    </row>
    <row r="745" spans="1:43" ht="37.5" customHeight="1" x14ac:dyDescent="0.25">
      <c r="A745" s="20"/>
      <c r="B745" s="612"/>
      <c r="C745" s="869"/>
      <c r="D745" s="871"/>
      <c r="E745" s="871"/>
      <c r="F745" s="871"/>
      <c r="G745" s="101"/>
      <c r="H745" s="775">
        <v>224</v>
      </c>
      <c r="I745" s="774" t="s">
        <v>880</v>
      </c>
      <c r="J745" s="490">
        <v>0</v>
      </c>
      <c r="K745" s="24">
        <v>1</v>
      </c>
      <c r="L745" s="490" t="s">
        <v>118</v>
      </c>
      <c r="M745" s="873"/>
      <c r="N745" s="857"/>
      <c r="O745" s="775" t="s">
        <v>38</v>
      </c>
      <c r="P745" s="26">
        <v>0</v>
      </c>
      <c r="Q745" s="26">
        <v>0</v>
      </c>
      <c r="R745" s="26">
        <v>0</v>
      </c>
      <c r="S745" s="26">
        <v>0</v>
      </c>
      <c r="T745" s="26">
        <v>0</v>
      </c>
      <c r="U745" s="26">
        <v>0</v>
      </c>
      <c r="V745" s="26">
        <v>0</v>
      </c>
      <c r="W745" s="26"/>
      <c r="X745" s="26"/>
      <c r="Y745" s="26"/>
      <c r="Z745" s="26">
        <v>0</v>
      </c>
      <c r="AA745" s="26"/>
      <c r="AB745" s="26">
        <v>0</v>
      </c>
      <c r="AC745" s="26">
        <v>0</v>
      </c>
      <c r="AD745" s="254"/>
      <c r="AE745" s="254"/>
      <c r="AF745" s="254"/>
      <c r="AG745" s="254"/>
      <c r="AH745" s="254"/>
      <c r="AI745" s="254"/>
      <c r="AJ745" s="26">
        <v>0</v>
      </c>
      <c r="AK745" s="26">
        <v>0</v>
      </c>
      <c r="AL745" s="110">
        <v>0</v>
      </c>
      <c r="AM745" s="110">
        <v>0</v>
      </c>
      <c r="AN745" s="14">
        <v>20600000</v>
      </c>
      <c r="AO745" s="293">
        <v>0</v>
      </c>
      <c r="AP745" s="293"/>
      <c r="AQ745" s="26">
        <f>P745+Q745+R745+S745+T745+U745+V745+W745+X745+Y745+Z745+AA745+AB745+AC745+AD745+AE745+AF745+AG745+AH745+AI745+AJ745+AK745+AL745+AM745+AN745+AP745+AO745</f>
        <v>20600000</v>
      </c>
    </row>
    <row r="746" spans="1:43" ht="51.75" customHeight="1" x14ac:dyDescent="0.25">
      <c r="A746" s="20"/>
      <c r="B746" s="612"/>
      <c r="C746" s="869"/>
      <c r="D746" s="871"/>
      <c r="E746" s="871"/>
      <c r="F746" s="871"/>
      <c r="G746" s="103"/>
      <c r="H746" s="775">
        <v>225</v>
      </c>
      <c r="I746" s="774" t="s">
        <v>881</v>
      </c>
      <c r="J746" s="490">
        <v>0</v>
      </c>
      <c r="K746" s="24">
        <v>1</v>
      </c>
      <c r="L746" s="490" t="s">
        <v>118</v>
      </c>
      <c r="M746" s="874"/>
      <c r="N746" s="850"/>
      <c r="O746" s="775" t="s">
        <v>38</v>
      </c>
      <c r="P746" s="26">
        <v>0</v>
      </c>
      <c r="Q746" s="26">
        <v>0</v>
      </c>
      <c r="R746" s="26">
        <v>0</v>
      </c>
      <c r="S746" s="26">
        <v>0</v>
      </c>
      <c r="T746" s="26">
        <v>0</v>
      </c>
      <c r="U746" s="26">
        <v>0</v>
      </c>
      <c r="V746" s="26">
        <v>0</v>
      </c>
      <c r="W746" s="26"/>
      <c r="X746" s="26"/>
      <c r="Y746" s="26"/>
      <c r="Z746" s="26">
        <v>0</v>
      </c>
      <c r="AA746" s="26"/>
      <c r="AB746" s="26">
        <v>0</v>
      </c>
      <c r="AC746" s="26">
        <v>0</v>
      </c>
      <c r="AD746" s="254"/>
      <c r="AE746" s="254"/>
      <c r="AF746" s="254"/>
      <c r="AG746" s="254"/>
      <c r="AH746" s="254"/>
      <c r="AI746" s="254"/>
      <c r="AJ746" s="26">
        <v>0</v>
      </c>
      <c r="AK746" s="26">
        <v>0</v>
      </c>
      <c r="AL746" s="110">
        <v>0</v>
      </c>
      <c r="AM746" s="110">
        <v>0</v>
      </c>
      <c r="AN746" s="14">
        <v>3666800</v>
      </c>
      <c r="AO746" s="293">
        <v>0</v>
      </c>
      <c r="AP746" s="293"/>
      <c r="AQ746" s="26">
        <f>P746+Q746+R746+S746+T746+U746+V746+W746+X746+Y746+Z746+AA746+AB746+AC746+AD746+AE746+AF746+AG746+AH746+AI746+AJ746+AK746+AL746+AM746+AN746+AP746+AO746</f>
        <v>3666800</v>
      </c>
    </row>
    <row r="747" spans="1:43" ht="21.75" customHeight="1" x14ac:dyDescent="0.25">
      <c r="A747" s="20"/>
      <c r="B747" s="613"/>
      <c r="C747" s="791"/>
      <c r="D747" s="799"/>
      <c r="E747" s="791"/>
      <c r="F747" s="791"/>
      <c r="G747" s="409"/>
      <c r="H747" s="155"/>
      <c r="I747" s="154"/>
      <c r="J747" s="156"/>
      <c r="K747" s="156"/>
      <c r="L747" s="156"/>
      <c r="M747" s="157"/>
      <c r="N747" s="154"/>
      <c r="O747" s="155"/>
      <c r="P747" s="158">
        <f t="shared" ref="P747:V747" si="360">SUM(P744:P746)</f>
        <v>0</v>
      </c>
      <c r="Q747" s="158">
        <f t="shared" si="360"/>
        <v>0</v>
      </c>
      <c r="R747" s="158">
        <f t="shared" si="360"/>
        <v>0</v>
      </c>
      <c r="S747" s="158">
        <f t="shared" si="360"/>
        <v>0</v>
      </c>
      <c r="T747" s="158">
        <f t="shared" si="360"/>
        <v>0</v>
      </c>
      <c r="U747" s="158">
        <f t="shared" si="360"/>
        <v>0</v>
      </c>
      <c r="V747" s="158">
        <f t="shared" si="360"/>
        <v>0</v>
      </c>
      <c r="W747" s="158"/>
      <c r="X747" s="158"/>
      <c r="Y747" s="158"/>
      <c r="Z747" s="158">
        <f>SUM(Z744:Z746)</f>
        <v>0</v>
      </c>
      <c r="AA747" s="158"/>
      <c r="AB747" s="158">
        <f t="shared" ref="AB747:AN747" si="361">SUM(AB744:AB746)</f>
        <v>0</v>
      </c>
      <c r="AC747" s="158">
        <f t="shared" si="361"/>
        <v>0</v>
      </c>
      <c r="AD747" s="158">
        <f t="shared" si="361"/>
        <v>0</v>
      </c>
      <c r="AE747" s="158">
        <f t="shared" si="361"/>
        <v>0</v>
      </c>
      <c r="AF747" s="158">
        <f t="shared" si="361"/>
        <v>0</v>
      </c>
      <c r="AG747" s="158">
        <f t="shared" si="361"/>
        <v>0</v>
      </c>
      <c r="AH747" s="158">
        <f t="shared" si="361"/>
        <v>0</v>
      </c>
      <c r="AI747" s="158">
        <f t="shared" si="361"/>
        <v>0</v>
      </c>
      <c r="AJ747" s="158">
        <f t="shared" si="361"/>
        <v>0</v>
      </c>
      <c r="AK747" s="158">
        <f t="shared" si="361"/>
        <v>0</v>
      </c>
      <c r="AL747" s="247">
        <f t="shared" si="361"/>
        <v>0</v>
      </c>
      <c r="AM747" s="247">
        <f t="shared" si="361"/>
        <v>0</v>
      </c>
      <c r="AN747" s="158">
        <f t="shared" si="361"/>
        <v>129551754</v>
      </c>
      <c r="AO747" s="158">
        <f t="shared" ref="AO747:AP747" si="362">SUM(AO744:AO746)</f>
        <v>0</v>
      </c>
      <c r="AP747" s="158">
        <f t="shared" si="362"/>
        <v>0</v>
      </c>
      <c r="AQ747" s="158">
        <f>SUM(AQ744:AQ746)</f>
        <v>129551754</v>
      </c>
    </row>
    <row r="748" spans="1:43" ht="21.75" customHeight="1" x14ac:dyDescent="0.25">
      <c r="A748" s="152"/>
      <c r="B748" s="581"/>
      <c r="C748" s="582"/>
      <c r="D748" s="581"/>
      <c r="E748" s="582"/>
      <c r="F748" s="582"/>
      <c r="G748" s="583"/>
      <c r="H748" s="582"/>
      <c r="I748" s="581"/>
      <c r="J748" s="584"/>
      <c r="K748" s="584"/>
      <c r="L748" s="584"/>
      <c r="M748" s="585"/>
      <c r="N748" s="581"/>
      <c r="O748" s="582"/>
      <c r="P748" s="586">
        <f t="shared" ref="P748:V750" si="363">P747</f>
        <v>0</v>
      </c>
      <c r="Q748" s="586">
        <f t="shared" si="363"/>
        <v>0</v>
      </c>
      <c r="R748" s="586">
        <f t="shared" si="363"/>
        <v>0</v>
      </c>
      <c r="S748" s="586">
        <f t="shared" si="363"/>
        <v>0</v>
      </c>
      <c r="T748" s="586">
        <f t="shared" si="363"/>
        <v>0</v>
      </c>
      <c r="U748" s="586">
        <f t="shared" si="363"/>
        <v>0</v>
      </c>
      <c r="V748" s="586">
        <f t="shared" si="363"/>
        <v>0</v>
      </c>
      <c r="W748" s="586"/>
      <c r="X748" s="586"/>
      <c r="Y748" s="586"/>
      <c r="Z748" s="586">
        <f>Z747</f>
        <v>0</v>
      </c>
      <c r="AA748" s="586"/>
      <c r="AB748" s="586">
        <f t="shared" ref="AB748:AN750" si="364">AB747</f>
        <v>0</v>
      </c>
      <c r="AC748" s="586">
        <f t="shared" si="364"/>
        <v>0</v>
      </c>
      <c r="AD748" s="586">
        <f t="shared" si="364"/>
        <v>0</v>
      </c>
      <c r="AE748" s="586">
        <f t="shared" si="364"/>
        <v>0</v>
      </c>
      <c r="AF748" s="586">
        <f t="shared" si="364"/>
        <v>0</v>
      </c>
      <c r="AG748" s="586">
        <f t="shared" si="364"/>
        <v>0</v>
      </c>
      <c r="AH748" s="586">
        <f t="shared" si="364"/>
        <v>0</v>
      </c>
      <c r="AI748" s="586">
        <f t="shared" si="364"/>
        <v>0</v>
      </c>
      <c r="AJ748" s="586">
        <f t="shared" si="364"/>
        <v>0</v>
      </c>
      <c r="AK748" s="586">
        <f t="shared" si="364"/>
        <v>0</v>
      </c>
      <c r="AL748" s="587">
        <f t="shared" si="364"/>
        <v>0</v>
      </c>
      <c r="AM748" s="587">
        <f t="shared" si="364"/>
        <v>0</v>
      </c>
      <c r="AN748" s="586">
        <f t="shared" si="364"/>
        <v>129551754</v>
      </c>
      <c r="AO748" s="586">
        <f t="shared" ref="AO748:AP750" si="365">AO747</f>
        <v>0</v>
      </c>
      <c r="AP748" s="586">
        <f t="shared" si="365"/>
        <v>0</v>
      </c>
      <c r="AQ748" s="586">
        <f>AQ747</f>
        <v>129551754</v>
      </c>
    </row>
    <row r="749" spans="1:43" ht="21.75" customHeight="1" x14ac:dyDescent="0.25">
      <c r="A749" s="166"/>
      <c r="B749" s="166"/>
      <c r="C749" s="167"/>
      <c r="D749" s="166"/>
      <c r="E749" s="167"/>
      <c r="F749" s="167"/>
      <c r="G749" s="262"/>
      <c r="H749" s="167"/>
      <c r="I749" s="166"/>
      <c r="J749" s="168"/>
      <c r="K749" s="168"/>
      <c r="L749" s="168"/>
      <c r="M749" s="169"/>
      <c r="N749" s="166"/>
      <c r="O749" s="167"/>
      <c r="P749" s="170">
        <f t="shared" si="363"/>
        <v>0</v>
      </c>
      <c r="Q749" s="170">
        <f t="shared" si="363"/>
        <v>0</v>
      </c>
      <c r="R749" s="170">
        <f t="shared" si="363"/>
        <v>0</v>
      </c>
      <c r="S749" s="170">
        <f t="shared" si="363"/>
        <v>0</v>
      </c>
      <c r="T749" s="170">
        <f t="shared" si="363"/>
        <v>0</v>
      </c>
      <c r="U749" s="170">
        <f t="shared" si="363"/>
        <v>0</v>
      </c>
      <c r="V749" s="170">
        <f t="shared" si="363"/>
        <v>0</v>
      </c>
      <c r="W749" s="170"/>
      <c r="X749" s="170"/>
      <c r="Y749" s="170"/>
      <c r="Z749" s="170">
        <f>Z748</f>
        <v>0</v>
      </c>
      <c r="AA749" s="170"/>
      <c r="AB749" s="170">
        <f t="shared" si="364"/>
        <v>0</v>
      </c>
      <c r="AC749" s="170">
        <f t="shared" si="364"/>
        <v>0</v>
      </c>
      <c r="AD749" s="170">
        <f t="shared" si="364"/>
        <v>0</v>
      </c>
      <c r="AE749" s="170">
        <f t="shared" si="364"/>
        <v>0</v>
      </c>
      <c r="AF749" s="170">
        <f t="shared" si="364"/>
        <v>0</v>
      </c>
      <c r="AG749" s="170">
        <f t="shared" si="364"/>
        <v>0</v>
      </c>
      <c r="AH749" s="170">
        <f t="shared" si="364"/>
        <v>0</v>
      </c>
      <c r="AI749" s="170">
        <f t="shared" si="364"/>
        <v>0</v>
      </c>
      <c r="AJ749" s="170">
        <f t="shared" si="364"/>
        <v>0</v>
      </c>
      <c r="AK749" s="170">
        <f t="shared" si="364"/>
        <v>0</v>
      </c>
      <c r="AL749" s="250">
        <f t="shared" si="364"/>
        <v>0</v>
      </c>
      <c r="AM749" s="250">
        <f t="shared" si="364"/>
        <v>0</v>
      </c>
      <c r="AN749" s="170">
        <f t="shared" si="364"/>
        <v>129551754</v>
      </c>
      <c r="AO749" s="170">
        <f t="shared" si="365"/>
        <v>0</v>
      </c>
      <c r="AP749" s="170">
        <f t="shared" si="365"/>
        <v>0</v>
      </c>
      <c r="AQ749" s="170">
        <f>AQ748</f>
        <v>129551754</v>
      </c>
    </row>
    <row r="750" spans="1:43" ht="21.75" customHeight="1" x14ac:dyDescent="0.25">
      <c r="A750" s="171"/>
      <c r="B750" s="171"/>
      <c r="C750" s="172"/>
      <c r="D750" s="171"/>
      <c r="E750" s="172"/>
      <c r="F750" s="172"/>
      <c r="G750" s="576"/>
      <c r="H750" s="172"/>
      <c r="I750" s="171"/>
      <c r="J750" s="173"/>
      <c r="K750" s="173"/>
      <c r="L750" s="173"/>
      <c r="M750" s="174"/>
      <c r="N750" s="171"/>
      <c r="O750" s="172"/>
      <c r="P750" s="175">
        <f t="shared" si="363"/>
        <v>0</v>
      </c>
      <c r="Q750" s="175">
        <f t="shared" si="363"/>
        <v>0</v>
      </c>
      <c r="R750" s="175">
        <f t="shared" si="363"/>
        <v>0</v>
      </c>
      <c r="S750" s="175">
        <f t="shared" si="363"/>
        <v>0</v>
      </c>
      <c r="T750" s="175">
        <f t="shared" si="363"/>
        <v>0</v>
      </c>
      <c r="U750" s="175">
        <f t="shared" si="363"/>
        <v>0</v>
      </c>
      <c r="V750" s="175">
        <f t="shared" si="363"/>
        <v>0</v>
      </c>
      <c r="W750" s="175"/>
      <c r="X750" s="175"/>
      <c r="Y750" s="175"/>
      <c r="Z750" s="175">
        <f>Z749</f>
        <v>0</v>
      </c>
      <c r="AA750" s="175"/>
      <c r="AB750" s="175">
        <f t="shared" si="364"/>
        <v>0</v>
      </c>
      <c r="AC750" s="175">
        <f t="shared" si="364"/>
        <v>0</v>
      </c>
      <c r="AD750" s="175">
        <f t="shared" si="364"/>
        <v>0</v>
      </c>
      <c r="AE750" s="175">
        <f t="shared" si="364"/>
        <v>0</v>
      </c>
      <c r="AF750" s="175">
        <f t="shared" si="364"/>
        <v>0</v>
      </c>
      <c r="AG750" s="175">
        <f t="shared" si="364"/>
        <v>0</v>
      </c>
      <c r="AH750" s="175">
        <f t="shared" si="364"/>
        <v>0</v>
      </c>
      <c r="AI750" s="175">
        <f t="shared" si="364"/>
        <v>0</v>
      </c>
      <c r="AJ750" s="175">
        <f t="shared" si="364"/>
        <v>0</v>
      </c>
      <c r="AK750" s="175">
        <f t="shared" si="364"/>
        <v>0</v>
      </c>
      <c r="AL750" s="251">
        <f t="shared" si="364"/>
        <v>0</v>
      </c>
      <c r="AM750" s="251">
        <f t="shared" si="364"/>
        <v>0</v>
      </c>
      <c r="AN750" s="175">
        <f t="shared" si="364"/>
        <v>129551754</v>
      </c>
      <c r="AO750" s="175">
        <f t="shared" si="365"/>
        <v>0</v>
      </c>
      <c r="AP750" s="175">
        <f t="shared" si="365"/>
        <v>0</v>
      </c>
      <c r="AQ750" s="175">
        <f>AQ749</f>
        <v>129551754</v>
      </c>
    </row>
    <row r="751" spans="1:43" ht="18.75" x14ac:dyDescent="0.3">
      <c r="A751" s="588"/>
      <c r="B751" s="588"/>
      <c r="C751" s="589"/>
      <c r="D751" s="590"/>
      <c r="E751" s="589"/>
      <c r="F751" s="589"/>
      <c r="G751" s="591"/>
      <c r="H751" s="592"/>
      <c r="I751" s="593"/>
      <c r="J751" s="594"/>
      <c r="K751" s="594"/>
      <c r="L751" s="594"/>
      <c r="M751" s="418"/>
      <c r="N751" s="595"/>
      <c r="O751" s="596"/>
      <c r="P751" s="597"/>
      <c r="Q751" s="597"/>
      <c r="R751" s="597"/>
      <c r="S751" s="597"/>
      <c r="T751" s="597"/>
      <c r="U751" s="597"/>
      <c r="V751" s="597"/>
      <c r="W751" s="597"/>
      <c r="X751" s="597"/>
      <c r="Y751" s="597"/>
      <c r="Z751" s="597"/>
      <c r="AA751" s="597"/>
      <c r="AB751" s="597"/>
      <c r="AC751" s="597"/>
      <c r="AD751" s="598"/>
      <c r="AE751" s="598"/>
      <c r="AF751" s="598"/>
      <c r="AG751" s="598"/>
      <c r="AH751" s="598"/>
      <c r="AI751" s="598"/>
      <c r="AJ751" s="597"/>
      <c r="AK751" s="597"/>
      <c r="AL751" s="599"/>
      <c r="AM751" s="600"/>
      <c r="AN751" s="867"/>
      <c r="AO751" s="867"/>
      <c r="AP751" s="810"/>
      <c r="AQ751" s="703"/>
    </row>
    <row r="752" spans="1:43" ht="30" customHeight="1" x14ac:dyDescent="0.25">
      <c r="A752" s="605" t="s">
        <v>919</v>
      </c>
      <c r="B752" s="605"/>
      <c r="C752" s="605"/>
      <c r="D752" s="605"/>
      <c r="E752" s="605"/>
      <c r="F752" s="605"/>
      <c r="G752" s="605"/>
      <c r="H752" s="605"/>
      <c r="I752" s="605"/>
      <c r="J752" s="605"/>
      <c r="K752" s="605"/>
      <c r="L752" s="605"/>
      <c r="M752" s="664"/>
      <c r="N752" s="605"/>
      <c r="O752" s="605"/>
      <c r="P752" s="704">
        <f t="shared" ref="P752:Z752" si="366">P678+P721+P738+P750</f>
        <v>2761249840.2599998</v>
      </c>
      <c r="Q752" s="704">
        <f t="shared" si="366"/>
        <v>4106001782.29</v>
      </c>
      <c r="R752" s="704">
        <f t="shared" si="366"/>
        <v>11802281921.209999</v>
      </c>
      <c r="S752" s="704">
        <f t="shared" si="366"/>
        <v>9145274815.1000004</v>
      </c>
      <c r="T752" s="704">
        <f t="shared" si="366"/>
        <v>80296670</v>
      </c>
      <c r="U752" s="704">
        <f t="shared" si="366"/>
        <v>636637204.06999993</v>
      </c>
      <c r="V752" s="704">
        <f t="shared" si="366"/>
        <v>8319123642</v>
      </c>
      <c r="W752" s="704">
        <f t="shared" si="366"/>
        <v>5020955903.996911</v>
      </c>
      <c r="X752" s="704">
        <f t="shared" si="366"/>
        <v>3775114443</v>
      </c>
      <c r="Y752" s="704">
        <f t="shared" si="366"/>
        <v>5974899521</v>
      </c>
      <c r="Z752" s="704">
        <f t="shared" si="366"/>
        <v>17995884298</v>
      </c>
      <c r="AA752" s="704">
        <f t="shared" ref="AA752:AK752" si="367">AA678+AA721+AA738+AA750</f>
        <v>745232093.80999994</v>
      </c>
      <c r="AB752" s="704">
        <f t="shared" si="367"/>
        <v>1375125452.1300001</v>
      </c>
      <c r="AC752" s="704">
        <f t="shared" si="367"/>
        <v>8005242942</v>
      </c>
      <c r="AD752" s="704">
        <f t="shared" si="367"/>
        <v>107645394041</v>
      </c>
      <c r="AE752" s="704">
        <f t="shared" si="367"/>
        <v>18840890009</v>
      </c>
      <c r="AF752" s="704">
        <f t="shared" si="367"/>
        <v>1165770164</v>
      </c>
      <c r="AG752" s="704">
        <f t="shared" si="367"/>
        <v>6431354</v>
      </c>
      <c r="AH752" s="704">
        <f t="shared" si="367"/>
        <v>1341180171</v>
      </c>
      <c r="AI752" s="704">
        <f t="shared" si="367"/>
        <v>488921512</v>
      </c>
      <c r="AJ752" s="704">
        <f t="shared" si="367"/>
        <v>9011218541</v>
      </c>
      <c r="AK752" s="704">
        <f t="shared" si="367"/>
        <v>2432800182</v>
      </c>
      <c r="AL752" s="704">
        <f t="shared" ref="AL752:AQ752" si="368">AL678+AL721+AL738+AL750</f>
        <v>28834533204</v>
      </c>
      <c r="AM752" s="704">
        <f t="shared" si="368"/>
        <v>274756584</v>
      </c>
      <c r="AN752" s="704">
        <f t="shared" si="368"/>
        <v>2173529898</v>
      </c>
      <c r="AO752" s="704">
        <f t="shared" si="368"/>
        <v>3782057171</v>
      </c>
      <c r="AP752" s="704">
        <f t="shared" si="368"/>
        <v>0</v>
      </c>
      <c r="AQ752" s="704">
        <f t="shared" si="368"/>
        <v>255740803359.86691</v>
      </c>
    </row>
    <row r="753" spans="1:43" x14ac:dyDescent="0.25">
      <c r="AQ753" s="604"/>
    </row>
    <row r="754" spans="1:43" x14ac:dyDescent="0.25">
      <c r="AQ754" s="604"/>
    </row>
    <row r="755" spans="1:43" x14ac:dyDescent="0.25">
      <c r="AQ755" s="705"/>
    </row>
    <row r="756" spans="1:43" ht="15" x14ac:dyDescent="0.25">
      <c r="A756" s="159"/>
      <c r="B756" s="159"/>
      <c r="C756" s="159"/>
      <c r="D756" s="159"/>
      <c r="E756" s="159"/>
      <c r="F756" s="159"/>
      <c r="G756" s="159"/>
      <c r="H756" s="159"/>
      <c r="I756" s="159"/>
      <c r="J756" s="159"/>
      <c r="K756" s="159"/>
      <c r="L756" s="159"/>
      <c r="M756" s="159"/>
      <c r="N756" s="159"/>
      <c r="O756" s="159"/>
      <c r="P756" s="159"/>
      <c r="Q756" s="159"/>
      <c r="R756" s="159"/>
      <c r="S756" s="159"/>
      <c r="T756" s="159"/>
      <c r="U756" s="159"/>
      <c r="V756" s="159"/>
      <c r="W756" s="159"/>
      <c r="X756" s="159"/>
      <c r="Y756" s="159"/>
      <c r="Z756" s="159"/>
      <c r="AA756" s="159"/>
      <c r="AB756" s="159"/>
      <c r="AC756" s="159"/>
      <c r="AD756" s="159"/>
      <c r="AE756" s="159"/>
      <c r="AF756" s="159"/>
      <c r="AG756" s="159"/>
      <c r="AH756" s="159"/>
      <c r="AI756" s="159"/>
      <c r="AJ756" s="159"/>
      <c r="AK756" s="159"/>
      <c r="AL756" s="599"/>
      <c r="AM756" s="159"/>
      <c r="AN756" s="159"/>
      <c r="AO756" s="159"/>
      <c r="AP756" s="159"/>
    </row>
  </sheetData>
  <sheetProtection password="CBEB" sheet="1" objects="1" scenarios="1"/>
  <mergeCells count="382">
    <mergeCell ref="N14:N18"/>
    <mergeCell ref="H5:I5"/>
    <mergeCell ref="L14:L18"/>
    <mergeCell ref="M14:M18"/>
    <mergeCell ref="C5:D5"/>
    <mergeCell ref="F44:F48"/>
    <mergeCell ref="D44:D48"/>
    <mergeCell ref="C131:C132"/>
    <mergeCell ref="D53:D61"/>
    <mergeCell ref="E53:E61"/>
    <mergeCell ref="F53:F61"/>
    <mergeCell ref="L53:L61"/>
    <mergeCell ref="M53:M61"/>
    <mergeCell ref="N53:N61"/>
    <mergeCell ref="N91:N98"/>
    <mergeCell ref="C53:C61"/>
    <mergeCell ref="D74:D75"/>
    <mergeCell ref="E74:E75"/>
    <mergeCell ref="C71:C73"/>
    <mergeCell ref="D71:D73"/>
    <mergeCell ref="E71:E73"/>
    <mergeCell ref="C91:C98"/>
    <mergeCell ref="D91:D98"/>
    <mergeCell ref="E44:E48"/>
    <mergeCell ref="H236:P236"/>
    <mergeCell ref="L237:L238"/>
    <mergeCell ref="M237:M238"/>
    <mergeCell ref="N237:N238"/>
    <mergeCell ref="L252:L254"/>
    <mergeCell ref="N189:N191"/>
    <mergeCell ref="N145:N149"/>
    <mergeCell ref="M174:M175"/>
    <mergeCell ref="N174:N175"/>
    <mergeCell ref="L44:L48"/>
    <mergeCell ref="M44:M48"/>
    <mergeCell ref="F71:F73"/>
    <mergeCell ref="N44:N48"/>
    <mergeCell ref="N71:N73"/>
    <mergeCell ref="N85:N87"/>
    <mergeCell ref="L91:L98"/>
    <mergeCell ref="M91:M98"/>
    <mergeCell ref="L85:L87"/>
    <mergeCell ref="M85:M87"/>
    <mergeCell ref="F74:F75"/>
    <mergeCell ref="L74:L75"/>
    <mergeCell ref="N74:N75"/>
    <mergeCell ref="M74:M75"/>
    <mergeCell ref="C44:C48"/>
    <mergeCell ref="C128:C130"/>
    <mergeCell ref="D128:D130"/>
    <mergeCell ref="E128:E130"/>
    <mergeCell ref="F128:F130"/>
    <mergeCell ref="L71:L73"/>
    <mergeCell ref="M71:M73"/>
    <mergeCell ref="C138:C139"/>
    <mergeCell ref="D138:D139"/>
    <mergeCell ref="E138:E139"/>
    <mergeCell ref="F138:F139"/>
    <mergeCell ref="D131:D132"/>
    <mergeCell ref="E131:E132"/>
    <mergeCell ref="F131:F132"/>
    <mergeCell ref="C136:C137"/>
    <mergeCell ref="D136:D137"/>
    <mergeCell ref="E136:E137"/>
    <mergeCell ref="F136:F137"/>
    <mergeCell ref="E91:E98"/>
    <mergeCell ref="F91:F98"/>
    <mergeCell ref="C85:C87"/>
    <mergeCell ref="D85:D87"/>
    <mergeCell ref="E85:E87"/>
    <mergeCell ref="F85:F87"/>
    <mergeCell ref="C74:C75"/>
    <mergeCell ref="C153:C155"/>
    <mergeCell ref="D153:D155"/>
    <mergeCell ref="E153:E155"/>
    <mergeCell ref="F153:F155"/>
    <mergeCell ref="L153:L155"/>
    <mergeCell ref="M153:M155"/>
    <mergeCell ref="N153:N155"/>
    <mergeCell ref="C145:C149"/>
    <mergeCell ref="D145:D149"/>
    <mergeCell ref="E145:E149"/>
    <mergeCell ref="F145:F149"/>
    <mergeCell ref="L145:L149"/>
    <mergeCell ref="M145:M149"/>
    <mergeCell ref="N136:N139"/>
    <mergeCell ref="L136:L139"/>
    <mergeCell ref="M136:M139"/>
    <mergeCell ref="L128:L132"/>
    <mergeCell ref="M128:M132"/>
    <mergeCell ref="N128:N132"/>
    <mergeCell ref="C166:C170"/>
    <mergeCell ref="D166:D170"/>
    <mergeCell ref="E166:E170"/>
    <mergeCell ref="F166:F170"/>
    <mergeCell ref="L166:L170"/>
    <mergeCell ref="M166:M170"/>
    <mergeCell ref="N166:N170"/>
    <mergeCell ref="C159:C160"/>
    <mergeCell ref="D159:D160"/>
    <mergeCell ref="E159:E160"/>
    <mergeCell ref="F159:F160"/>
    <mergeCell ref="L159:L160"/>
    <mergeCell ref="M159:M160"/>
    <mergeCell ref="N159:N160"/>
    <mergeCell ref="C189:C191"/>
    <mergeCell ref="D189:D191"/>
    <mergeCell ref="E189:E191"/>
    <mergeCell ref="F189:F191"/>
    <mergeCell ref="L189:L191"/>
    <mergeCell ref="M189:M191"/>
    <mergeCell ref="C174:C175"/>
    <mergeCell ref="D174:D175"/>
    <mergeCell ref="E174:E175"/>
    <mergeCell ref="F174:F175"/>
    <mergeCell ref="G174:G175"/>
    <mergeCell ref="L174:L175"/>
    <mergeCell ref="C226:C227"/>
    <mergeCell ref="D226:D227"/>
    <mergeCell ref="E226:E227"/>
    <mergeCell ref="F226:F227"/>
    <mergeCell ref="L226:L227"/>
    <mergeCell ref="M226:M227"/>
    <mergeCell ref="N226:N227"/>
    <mergeCell ref="C206:C208"/>
    <mergeCell ref="D206:D208"/>
    <mergeCell ref="E206:E208"/>
    <mergeCell ref="F206:F208"/>
    <mergeCell ref="L206:L208"/>
    <mergeCell ref="M206:M208"/>
    <mergeCell ref="N206:N208"/>
    <mergeCell ref="L260:L261"/>
    <mergeCell ref="M260:M261"/>
    <mergeCell ref="N260:N261"/>
    <mergeCell ref="L279:L284"/>
    <mergeCell ref="M279:M284"/>
    <mergeCell ref="N279:N284"/>
    <mergeCell ref="L288:L289"/>
    <mergeCell ref="C239:C240"/>
    <mergeCell ref="D239:D240"/>
    <mergeCell ref="E239:E240"/>
    <mergeCell ref="F239:F240"/>
    <mergeCell ref="L239:L241"/>
    <mergeCell ref="C247:C248"/>
    <mergeCell ref="D247:D248"/>
    <mergeCell ref="E247:E248"/>
    <mergeCell ref="F247:F248"/>
    <mergeCell ref="G245:G248"/>
    <mergeCell ref="L245:L248"/>
    <mergeCell ref="N252:N254"/>
    <mergeCell ref="M239:M241"/>
    <mergeCell ref="N239:N241"/>
    <mergeCell ref="M245:M248"/>
    <mergeCell ref="N245:N248"/>
    <mergeCell ref="M252:M254"/>
    <mergeCell ref="L306:L309"/>
    <mergeCell ref="M306:M309"/>
    <mergeCell ref="N306:N309"/>
    <mergeCell ref="L313:L318"/>
    <mergeCell ref="M313:M316"/>
    <mergeCell ref="N313:N316"/>
    <mergeCell ref="M288:M289"/>
    <mergeCell ref="N288:N289"/>
    <mergeCell ref="L294:L298"/>
    <mergeCell ref="M294:M298"/>
    <mergeCell ref="N294:N298"/>
    <mergeCell ref="L339:L343"/>
    <mergeCell ref="M339:M343"/>
    <mergeCell ref="N339:N343"/>
    <mergeCell ref="H352:N352"/>
    <mergeCell ref="H359:N359"/>
    <mergeCell ref="L322:L325"/>
    <mergeCell ref="M322:M325"/>
    <mergeCell ref="N322:N325"/>
    <mergeCell ref="C326:F326"/>
    <mergeCell ref="L329:L330"/>
    <mergeCell ref="M329:M331"/>
    <mergeCell ref="N329:N331"/>
    <mergeCell ref="L391:L398"/>
    <mergeCell ref="M391:M398"/>
    <mergeCell ref="N391:N398"/>
    <mergeCell ref="L370:L372"/>
    <mergeCell ref="M370:M372"/>
    <mergeCell ref="N370:N372"/>
    <mergeCell ref="L376:L381"/>
    <mergeCell ref="M376:M381"/>
    <mergeCell ref="N376:N381"/>
    <mergeCell ref="L436:L439"/>
    <mergeCell ref="M436:M439"/>
    <mergeCell ref="N436:N439"/>
    <mergeCell ref="L428:L432"/>
    <mergeCell ref="M428:M432"/>
    <mergeCell ref="N428:N432"/>
    <mergeCell ref="L402:L411"/>
    <mergeCell ref="M402:M411"/>
    <mergeCell ref="N402:N411"/>
    <mergeCell ref="L415:L418"/>
    <mergeCell ref="M415:M418"/>
    <mergeCell ref="N415:N418"/>
    <mergeCell ref="C459:C460"/>
    <mergeCell ref="D459:D460"/>
    <mergeCell ref="E459:E460"/>
    <mergeCell ref="F459:F460"/>
    <mergeCell ref="L459:L460"/>
    <mergeCell ref="M459:M460"/>
    <mergeCell ref="N459:N460"/>
    <mergeCell ref="C446:C447"/>
    <mergeCell ref="D446:D447"/>
    <mergeCell ref="E446:E447"/>
    <mergeCell ref="F446:F447"/>
    <mergeCell ref="L446:L447"/>
    <mergeCell ref="M446:M447"/>
    <mergeCell ref="N446:N447"/>
    <mergeCell ref="L493:L495"/>
    <mergeCell ref="M493:M495"/>
    <mergeCell ref="N493:N495"/>
    <mergeCell ref="M529:M532"/>
    <mergeCell ref="N529:N532"/>
    <mergeCell ref="C476:C477"/>
    <mergeCell ref="D476:D477"/>
    <mergeCell ref="E476:E477"/>
    <mergeCell ref="F476:F477"/>
    <mergeCell ref="L476:L477"/>
    <mergeCell ref="M476:M477"/>
    <mergeCell ref="N476:N477"/>
    <mergeCell ref="C487:C489"/>
    <mergeCell ref="D487:D489"/>
    <mergeCell ref="E487:E489"/>
    <mergeCell ref="F487:F489"/>
    <mergeCell ref="L487:L489"/>
    <mergeCell ref="M487:M489"/>
    <mergeCell ref="N487:N489"/>
    <mergeCell ref="C560:C561"/>
    <mergeCell ref="D560:D561"/>
    <mergeCell ref="E560:E561"/>
    <mergeCell ref="F560:F561"/>
    <mergeCell ref="G560:G561"/>
    <mergeCell ref="L560:L561"/>
    <mergeCell ref="M560:M561"/>
    <mergeCell ref="N560:N561"/>
    <mergeCell ref="C529:C532"/>
    <mergeCell ref="D529:D532"/>
    <mergeCell ref="E529:E532"/>
    <mergeCell ref="F529:F532"/>
    <mergeCell ref="L529:L532"/>
    <mergeCell ref="G578:G580"/>
    <mergeCell ref="L578:L580"/>
    <mergeCell ref="M578:M580"/>
    <mergeCell ref="N578:N580"/>
    <mergeCell ref="L565:L568"/>
    <mergeCell ref="M565:M568"/>
    <mergeCell ref="N565:N568"/>
    <mergeCell ref="C572:C574"/>
    <mergeCell ref="D572:D574"/>
    <mergeCell ref="E572:E574"/>
    <mergeCell ref="F572:F574"/>
    <mergeCell ref="L572:L574"/>
    <mergeCell ref="C579:C580"/>
    <mergeCell ref="D579:D580"/>
    <mergeCell ref="E579:E580"/>
    <mergeCell ref="F579:F580"/>
    <mergeCell ref="H577:K577"/>
    <mergeCell ref="C592:C593"/>
    <mergeCell ref="D592:D593"/>
    <mergeCell ref="E592:E593"/>
    <mergeCell ref="F592:F593"/>
    <mergeCell ref="G592:G593"/>
    <mergeCell ref="L592:L593"/>
    <mergeCell ref="G597:G598"/>
    <mergeCell ref="L584:L585"/>
    <mergeCell ref="M584:M585"/>
    <mergeCell ref="C615:C616"/>
    <mergeCell ref="D615:D616"/>
    <mergeCell ref="E615:E616"/>
    <mergeCell ref="F615:F616"/>
    <mergeCell ref="G615:G616"/>
    <mergeCell ref="L615:L616"/>
    <mergeCell ref="M615:M616"/>
    <mergeCell ref="N615:N616"/>
    <mergeCell ref="D602:D603"/>
    <mergeCell ref="E602:E603"/>
    <mergeCell ref="F602:F603"/>
    <mergeCell ref="G602:G603"/>
    <mergeCell ref="L602:L604"/>
    <mergeCell ref="M602:M604"/>
    <mergeCell ref="N602:N604"/>
    <mergeCell ref="C642:C644"/>
    <mergeCell ref="D642:D644"/>
    <mergeCell ref="E642:E644"/>
    <mergeCell ref="F642:F644"/>
    <mergeCell ref="G642:G644"/>
    <mergeCell ref="L642:L644"/>
    <mergeCell ref="M642:M644"/>
    <mergeCell ref="N642:N644"/>
    <mergeCell ref="C621:C622"/>
    <mergeCell ref="D621:D622"/>
    <mergeCell ref="E621:E622"/>
    <mergeCell ref="F621:F622"/>
    <mergeCell ref="L621:L622"/>
    <mergeCell ref="M621:M622"/>
    <mergeCell ref="N621:N622"/>
    <mergeCell ref="N652:N653"/>
    <mergeCell ref="C658:C659"/>
    <mergeCell ref="D658:D659"/>
    <mergeCell ref="E658:E659"/>
    <mergeCell ref="F658:F659"/>
    <mergeCell ref="G658:G659"/>
    <mergeCell ref="L658:L659"/>
    <mergeCell ref="M658:M659"/>
    <mergeCell ref="D684:D685"/>
    <mergeCell ref="L652:L653"/>
    <mergeCell ref="B716:B718"/>
    <mergeCell ref="B724:E724"/>
    <mergeCell ref="C725:F725"/>
    <mergeCell ref="L731:L734"/>
    <mergeCell ref="M731:M734"/>
    <mergeCell ref="N731:N734"/>
    <mergeCell ref="G670:G672"/>
    <mergeCell ref="L670:L672"/>
    <mergeCell ref="M670:M672"/>
    <mergeCell ref="N670:N672"/>
    <mergeCell ref="A678:N678"/>
    <mergeCell ref="E684:E685"/>
    <mergeCell ref="F684:F685"/>
    <mergeCell ref="M684:M685"/>
    <mergeCell ref="N684:N685"/>
    <mergeCell ref="B704:B712"/>
    <mergeCell ref="D697:D699"/>
    <mergeCell ref="E697:E699"/>
    <mergeCell ref="F697:F699"/>
    <mergeCell ref="G697:G699"/>
    <mergeCell ref="M697:M699"/>
    <mergeCell ref="N697:N699"/>
    <mergeCell ref="H683:O683"/>
    <mergeCell ref="C684:C685"/>
    <mergeCell ref="AN751:AO751"/>
    <mergeCell ref="C744:C746"/>
    <mergeCell ref="D744:D746"/>
    <mergeCell ref="E744:E746"/>
    <mergeCell ref="F744:F746"/>
    <mergeCell ref="M744:M746"/>
    <mergeCell ref="N744:N746"/>
    <mergeCell ref="C663:C664"/>
    <mergeCell ref="D663:D664"/>
    <mergeCell ref="E663:E664"/>
    <mergeCell ref="F663:F664"/>
    <mergeCell ref="G663:G664"/>
    <mergeCell ref="L663:L664"/>
    <mergeCell ref="M663:M664"/>
    <mergeCell ref="N663:N664"/>
    <mergeCell ref="C705:C707"/>
    <mergeCell ref="D705:D707"/>
    <mergeCell ref="E705:E707"/>
    <mergeCell ref="F705:F707"/>
    <mergeCell ref="G705:G707"/>
    <mergeCell ref="M705:M707"/>
    <mergeCell ref="N705:N707"/>
    <mergeCell ref="C697:C699"/>
    <mergeCell ref="A1:AO4"/>
    <mergeCell ref="N658:N659"/>
    <mergeCell ref="L608:L611"/>
    <mergeCell ref="M608:M611"/>
    <mergeCell ref="N608:N611"/>
    <mergeCell ref="M592:M593"/>
    <mergeCell ref="N592:N593"/>
    <mergeCell ref="L597:L598"/>
    <mergeCell ref="M597:M598"/>
    <mergeCell ref="N597:N598"/>
    <mergeCell ref="L586:L587"/>
    <mergeCell ref="M586:M587"/>
    <mergeCell ref="N586:N587"/>
    <mergeCell ref="N584:N585"/>
    <mergeCell ref="M572:M574"/>
    <mergeCell ref="N572:N574"/>
    <mergeCell ref="L552:L554"/>
    <mergeCell ref="M552:M554"/>
    <mergeCell ref="N552:N554"/>
    <mergeCell ref="C652:C653"/>
    <mergeCell ref="D652:D653"/>
    <mergeCell ref="E652:E653"/>
    <mergeCell ref="F652:F653"/>
    <mergeCell ref="M652:M653"/>
  </mergeCells>
  <conditionalFormatting sqref="G205">
    <cfRule type="duplicateValues" dxfId="1" priority="1"/>
  </conditionalFormatting>
  <conditionalFormatting sqref="M541 K541 P541">
    <cfRule type="duplicateValues" dxfId="0" priority="146"/>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POAI 2017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dc:creator>
  <cp:lastModifiedBy>AUXPLANEACION03</cp:lastModifiedBy>
  <cp:lastPrinted>2017-12-01T15:21:54Z</cp:lastPrinted>
  <dcterms:created xsi:type="dcterms:W3CDTF">2016-11-06T23:03:57Z</dcterms:created>
  <dcterms:modified xsi:type="dcterms:W3CDTF">2018-05-23T00:07:51Z</dcterms:modified>
</cp:coreProperties>
</file>