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7\SEGUIMIENTO PLAN DE DESARROLLO\SGTO PDD III TRIMESTRE DE2017\PROGRAMACION III TRIMESTRE 2017\"/>
    </mc:Choice>
  </mc:AlternateContent>
  <bookViews>
    <workbookView xWindow="0" yWindow="0" windowWidth="24000" windowHeight="9435" tabRatio="571"/>
  </bookViews>
  <sheets>
    <sheet name="POAI ENERO-SEPT-2017 " sheetId="7" r:id="rId1"/>
    <sheet name="PROYECTOS" sheetId="8" r:id="rId2"/>
  </sheets>
  <definedNames>
    <definedName name="CODIGO_DIVIPOLA">#REF!</definedName>
    <definedName name="DboREGISTRO_LEY_617">#REF!</definedName>
  </definedNames>
  <calcPr calcId="152511" iterate="1"/>
  <fileRecoveryPr autoRecover="0"/>
</workbook>
</file>

<file path=xl/calcChain.xml><?xml version="1.0" encoding="utf-8"?>
<calcChain xmlns="http://schemas.openxmlformats.org/spreadsheetml/2006/main">
  <c r="AP638" i="7" l="1"/>
  <c r="X610" i="7"/>
  <c r="X581" i="7"/>
  <c r="AA638" i="7"/>
  <c r="AP583" i="7"/>
  <c r="AI376" i="7" l="1"/>
  <c r="AF380" i="7"/>
  <c r="AG380" i="7" l="1"/>
  <c r="AM134" i="7" l="1"/>
  <c r="AM132" i="7"/>
  <c r="T132" i="7"/>
  <c r="R526" i="7"/>
  <c r="AM125" i="7" l="1"/>
  <c r="AM123" i="7"/>
  <c r="AN688" i="7" l="1"/>
  <c r="W405" i="7" l="1"/>
  <c r="W455" i="7" l="1"/>
  <c r="AM454" i="7" l="1"/>
  <c r="AR404" i="7" l="1"/>
  <c r="AR610" i="7" l="1"/>
  <c r="AM59" i="7" l="1"/>
  <c r="AM57" i="7"/>
  <c r="AM63" i="7"/>
  <c r="AE400" i="7" l="1"/>
  <c r="AM256" i="7"/>
  <c r="AM255" i="7"/>
  <c r="AM247" i="7" l="1"/>
  <c r="AM249" i="7"/>
  <c r="AM13" i="7" l="1"/>
  <c r="AM14" i="7"/>
  <c r="AM11" i="7"/>
  <c r="W427" i="7" l="1"/>
  <c r="W426" i="7"/>
  <c r="Q211" i="7" l="1"/>
  <c r="AQ21" i="7" l="1"/>
  <c r="AR20" i="7"/>
  <c r="G127" i="8" s="1"/>
  <c r="Z638" i="7"/>
  <c r="X615" i="7"/>
  <c r="AK366" i="7"/>
  <c r="W365" i="7"/>
  <c r="AH365" i="7"/>
  <c r="AM264" i="7"/>
  <c r="AM74" i="7"/>
  <c r="E127" i="8" l="1"/>
  <c r="F127" i="8" s="1"/>
  <c r="T131" i="7"/>
  <c r="V88" i="7" l="1"/>
  <c r="AM88" i="7"/>
  <c r="AM87" i="7"/>
  <c r="S95" i="7"/>
  <c r="AR95" i="7" s="1"/>
  <c r="S93" i="7"/>
  <c r="AR741" i="7"/>
  <c r="AR740" i="7"/>
  <c r="AR734" i="7"/>
  <c r="AR724" i="7"/>
  <c r="AR717" i="7"/>
  <c r="AR709" i="7"/>
  <c r="AR706" i="7"/>
  <c r="E119" i="8" s="1"/>
  <c r="AR704" i="7"/>
  <c r="AR701" i="7"/>
  <c r="AR692" i="7"/>
  <c r="AR690" i="7"/>
  <c r="AR686" i="7"/>
  <c r="AR684" i="7"/>
  <c r="AR682" i="7"/>
  <c r="AR667" i="7"/>
  <c r="AR666" i="7"/>
  <c r="AR665" i="7"/>
  <c r="AR664" i="7"/>
  <c r="AR659" i="7"/>
  <c r="AR658" i="7"/>
  <c r="AR657" i="7"/>
  <c r="AR656" i="7"/>
  <c r="AR654" i="7"/>
  <c r="AR653" i="7"/>
  <c r="AR648" i="7"/>
  <c r="AR647" i="7"/>
  <c r="AR643" i="7"/>
  <c r="E109" i="8" s="1"/>
  <c r="AR639" i="7"/>
  <c r="AR638" i="7"/>
  <c r="AR637" i="7"/>
  <c r="AR631" i="7"/>
  <c r="AR627" i="7"/>
  <c r="AR623" i="7"/>
  <c r="AR617" i="7"/>
  <c r="AR616" i="7"/>
  <c r="AR615" i="7"/>
  <c r="E105" i="8" s="1"/>
  <c r="AR611" i="7"/>
  <c r="AR606" i="7"/>
  <c r="AR605" i="7"/>
  <c r="AR604" i="7"/>
  <c r="AR603" i="7"/>
  <c r="AR599" i="7"/>
  <c r="AR598" i="7"/>
  <c r="AR593" i="7"/>
  <c r="AR592" i="7"/>
  <c r="E101" i="8" s="1"/>
  <c r="AR588" i="7"/>
  <c r="AR587" i="7"/>
  <c r="E100" i="8" s="1"/>
  <c r="AR583" i="7"/>
  <c r="E99" i="8" s="1"/>
  <c r="AR582" i="7"/>
  <c r="AR580" i="7"/>
  <c r="AR579" i="7"/>
  <c r="AR575" i="7"/>
  <c r="AR574" i="7"/>
  <c r="AR573" i="7"/>
  <c r="AR569" i="7"/>
  <c r="AR568" i="7"/>
  <c r="AR567" i="7"/>
  <c r="AR565" i="7"/>
  <c r="AR563" i="7"/>
  <c r="AR562" i="7"/>
  <c r="AR561" i="7"/>
  <c r="AR560" i="7"/>
  <c r="AR556" i="7"/>
  <c r="AR555" i="7"/>
  <c r="E93" i="8" s="1"/>
  <c r="AR549" i="7"/>
  <c r="AR548" i="7"/>
  <c r="AR547" i="7"/>
  <c r="AR546" i="7"/>
  <c r="AR537" i="7"/>
  <c r="E91" i="8" s="1"/>
  <c r="F91" i="8" s="1"/>
  <c r="AR525" i="7"/>
  <c r="AR521" i="7"/>
  <c r="AR516" i="7"/>
  <c r="AR512" i="7"/>
  <c r="AR508" i="7"/>
  <c r="AR505" i="7"/>
  <c r="E85" i="8" s="1"/>
  <c r="AR503" i="7"/>
  <c r="AR497" i="7"/>
  <c r="AR494" i="7"/>
  <c r="E82" i="8" s="1"/>
  <c r="AR492" i="7"/>
  <c r="AR489" i="7"/>
  <c r="AR484" i="7"/>
  <c r="AR483" i="7"/>
  <c r="AR480" i="7"/>
  <c r="AR472" i="7"/>
  <c r="AR461" i="7"/>
  <c r="E77" i="8" s="1"/>
  <c r="AR458" i="7"/>
  <c r="AR455" i="7"/>
  <c r="AR454" i="7"/>
  <c r="AR452" i="7"/>
  <c r="AR448" i="7"/>
  <c r="AR446" i="7"/>
  <c r="E74" i="8" s="1"/>
  <c r="AR442" i="7"/>
  <c r="AR441" i="7"/>
  <c r="AR435" i="7"/>
  <c r="E126" i="8" s="1"/>
  <c r="AR434" i="7"/>
  <c r="AR433" i="7"/>
  <c r="AR432" i="7"/>
  <c r="AR431" i="7"/>
  <c r="AR427" i="7"/>
  <c r="AR426" i="7"/>
  <c r="AR425" i="7"/>
  <c r="AR424" i="7"/>
  <c r="AR423" i="7"/>
  <c r="AR417" i="7"/>
  <c r="E70" i="8" s="1"/>
  <c r="AR413" i="7"/>
  <c r="AR411" i="7"/>
  <c r="AR410" i="7"/>
  <c r="AR408" i="7"/>
  <c r="AR406" i="7"/>
  <c r="AR403" i="7"/>
  <c r="AR401" i="7"/>
  <c r="AR400" i="7"/>
  <c r="AR399" i="7"/>
  <c r="AR398" i="7"/>
  <c r="AR397" i="7"/>
  <c r="AR395" i="7"/>
  <c r="AR393" i="7"/>
  <c r="AR392" i="7"/>
  <c r="AR391" i="7"/>
  <c r="AR390" i="7"/>
  <c r="AR389" i="7"/>
  <c r="AR388" i="7"/>
  <c r="AR387" i="7"/>
  <c r="AR386" i="7"/>
  <c r="AR378" i="7"/>
  <c r="AR376" i="7"/>
  <c r="AR375" i="7"/>
  <c r="AR374" i="7"/>
  <c r="AR373" i="7"/>
  <c r="AR372" i="7"/>
  <c r="AR371" i="7"/>
  <c r="AR369" i="7"/>
  <c r="AR367" i="7"/>
  <c r="AR366" i="7"/>
  <c r="AR360" i="7"/>
  <c r="AR352" i="7"/>
  <c r="AR343" i="7"/>
  <c r="AR330" i="7"/>
  <c r="AR322" i="7"/>
  <c r="AR315" i="7"/>
  <c r="AR312" i="7"/>
  <c r="E125" i="8" s="1"/>
  <c r="AR311" i="7"/>
  <c r="AR310" i="7"/>
  <c r="AR309" i="7"/>
  <c r="AR304" i="7"/>
  <c r="AR302" i="7"/>
  <c r="AR297" i="7"/>
  <c r="AR293" i="7"/>
  <c r="AR292" i="7"/>
  <c r="AR290" i="7"/>
  <c r="AR286" i="7"/>
  <c r="AR281" i="7"/>
  <c r="AR277" i="7"/>
  <c r="AR269" i="7"/>
  <c r="AR262" i="7"/>
  <c r="AR258" i="7"/>
  <c r="AR252" i="7"/>
  <c r="AR245" i="7"/>
  <c r="AR227" i="7"/>
  <c r="AR219" i="7"/>
  <c r="AR214" i="7"/>
  <c r="AR209" i="7"/>
  <c r="AR205" i="7"/>
  <c r="AR195" i="7"/>
  <c r="AR188" i="7"/>
  <c r="AR186" i="7"/>
  <c r="AR181" i="7"/>
  <c r="AR178" i="7"/>
  <c r="E39" i="8" s="1"/>
  <c r="AR174" i="7"/>
  <c r="AR170" i="7"/>
  <c r="AR169" i="7"/>
  <c r="AR167" i="7"/>
  <c r="AR164" i="7"/>
  <c r="AR163" i="7"/>
  <c r="AR162" i="7"/>
  <c r="AR161" i="7"/>
  <c r="AR158" i="7"/>
  <c r="AR155" i="7"/>
  <c r="AR154" i="7"/>
  <c r="E34" i="8" s="1"/>
  <c r="AR152" i="7"/>
  <c r="AR150" i="7"/>
  <c r="AR149" i="7"/>
  <c r="AR148" i="7"/>
  <c r="AR146" i="7"/>
  <c r="AR143" i="7"/>
  <c r="AR142" i="7"/>
  <c r="AR137" i="7"/>
  <c r="AR134" i="7"/>
  <c r="AR132" i="7"/>
  <c r="AR131" i="7"/>
  <c r="AR123" i="7"/>
  <c r="AR113" i="7"/>
  <c r="E29" i="8" s="1"/>
  <c r="AR112" i="7"/>
  <c r="E28" i="8" s="1"/>
  <c r="AR111" i="7"/>
  <c r="E27" i="8" s="1"/>
  <c r="AR104" i="7"/>
  <c r="AR100" i="7"/>
  <c r="AR99" i="7"/>
  <c r="AR96" i="7"/>
  <c r="AR94" i="7"/>
  <c r="AR93" i="7"/>
  <c r="AR92" i="7"/>
  <c r="AR91" i="7"/>
  <c r="AR88" i="7"/>
  <c r="AR82" i="7"/>
  <c r="AR68" i="7"/>
  <c r="AR63" i="7"/>
  <c r="AR62" i="7"/>
  <c r="AR61" i="7"/>
  <c r="AR58" i="7"/>
  <c r="AR56" i="7"/>
  <c r="AR55" i="7"/>
  <c r="AR51" i="7"/>
  <c r="E14" i="8" s="1"/>
  <c r="AR50" i="7"/>
  <c r="AR48" i="7"/>
  <c r="AR47" i="7"/>
  <c r="AR43" i="7"/>
  <c r="AR37" i="7"/>
  <c r="AR34" i="7"/>
  <c r="E19" i="8" s="1"/>
  <c r="AR32" i="7"/>
  <c r="AR30" i="7"/>
  <c r="E11" i="8" s="1"/>
  <c r="AR25" i="7"/>
  <c r="AR14" i="7"/>
  <c r="E9" i="8" s="1"/>
  <c r="AR13" i="7"/>
  <c r="E8" i="8" s="1"/>
  <c r="AR12" i="7"/>
  <c r="E7" i="8" s="1"/>
  <c r="AP257" i="7"/>
  <c r="AO257" i="7"/>
  <c r="AN257" i="7"/>
  <c r="AL257" i="7"/>
  <c r="AK257" i="7"/>
  <c r="AJ257" i="7"/>
  <c r="AI257" i="7"/>
  <c r="AH257" i="7"/>
  <c r="AG257" i="7"/>
  <c r="AF257" i="7"/>
  <c r="AE257" i="7"/>
  <c r="AD257" i="7"/>
  <c r="AC257" i="7"/>
  <c r="AB257" i="7"/>
  <c r="AA257" i="7"/>
  <c r="Z257" i="7"/>
  <c r="Y257" i="7"/>
  <c r="X257" i="7"/>
  <c r="W257" i="7"/>
  <c r="V257" i="7"/>
  <c r="U257" i="7"/>
  <c r="T257" i="7"/>
  <c r="S257" i="7"/>
  <c r="R257" i="7"/>
  <c r="Q257" i="7"/>
  <c r="AQ257" i="7"/>
  <c r="AQ90" i="7"/>
  <c r="AQ22" i="7"/>
  <c r="AQ23" i="7" s="1"/>
  <c r="AQ24" i="7" s="1"/>
  <c r="AQ31" i="7"/>
  <c r="AQ35" i="7"/>
  <c r="AQ41" i="7"/>
  <c r="AQ42" i="7" s="1"/>
  <c r="AQ64" i="7"/>
  <c r="AQ65" i="7" s="1"/>
  <c r="AQ78" i="7"/>
  <c r="AQ79" i="7" s="1"/>
  <c r="AQ80" i="7" s="1"/>
  <c r="AQ81" i="7" s="1"/>
  <c r="AQ101" i="7"/>
  <c r="AQ114" i="7"/>
  <c r="AQ115" i="7" s="1"/>
  <c r="AQ116" i="7" s="1"/>
  <c r="AQ128" i="7"/>
  <c r="AQ135" i="7"/>
  <c r="AQ145" i="7"/>
  <c r="AQ151" i="7"/>
  <c r="AQ156" i="7"/>
  <c r="AQ166" i="7"/>
  <c r="AQ171" i="7"/>
  <c r="AQ172" i="7" s="1"/>
  <c r="AQ179" i="7"/>
  <c r="AQ180" i="7" s="1"/>
  <c r="AQ187" i="7"/>
  <c r="AQ191" i="7"/>
  <c r="AQ204" i="7"/>
  <c r="AQ208" i="7"/>
  <c r="AQ212" i="7"/>
  <c r="AQ218" i="7"/>
  <c r="AQ223" i="7"/>
  <c r="AQ237" i="7"/>
  <c r="AQ244" i="7"/>
  <c r="AQ250" i="7"/>
  <c r="AQ261" i="7"/>
  <c r="AQ265" i="7"/>
  <c r="AQ280" i="7"/>
  <c r="AQ285" i="7"/>
  <c r="AQ294" i="7"/>
  <c r="AQ305" i="7"/>
  <c r="AQ307" i="7"/>
  <c r="AQ314" i="7"/>
  <c r="AQ321" i="7"/>
  <c r="AQ327" i="7"/>
  <c r="AQ339" i="7"/>
  <c r="AQ340" i="7" s="1"/>
  <c r="AQ341" i="7" s="1"/>
  <c r="AQ350" i="7"/>
  <c r="AQ351" i="7" s="1"/>
  <c r="AQ356" i="7"/>
  <c r="AQ357" i="7" s="1"/>
  <c r="AQ368" i="7"/>
  <c r="AQ377" i="7"/>
  <c r="AQ381" i="7"/>
  <c r="AQ394" i="7"/>
  <c r="AQ407" i="7"/>
  <c r="AQ414" i="7"/>
  <c r="AQ418" i="7"/>
  <c r="AQ428" i="7"/>
  <c r="AQ436" i="7"/>
  <c r="AQ443" i="7"/>
  <c r="AQ447" i="7"/>
  <c r="AQ451" i="7"/>
  <c r="AQ456" i="7"/>
  <c r="AQ462" i="7"/>
  <c r="AQ463" i="7" s="1"/>
  <c r="AQ473" i="7"/>
  <c r="AQ474" i="7" s="1"/>
  <c r="AQ479" i="7"/>
  <c r="AQ485" i="7"/>
  <c r="AQ491" i="7"/>
  <c r="AQ495" i="7"/>
  <c r="AQ502" i="7"/>
  <c r="AQ507" i="7"/>
  <c r="AQ511" i="7"/>
  <c r="AQ515" i="7"/>
  <c r="AQ519" i="7"/>
  <c r="AQ528" i="7"/>
  <c r="AQ529" i="7" s="1"/>
  <c r="AQ538" i="7"/>
  <c r="AQ539" i="7" s="1"/>
  <c r="AQ540" i="7" s="1"/>
  <c r="AQ541" i="7" s="1"/>
  <c r="AQ550" i="7"/>
  <c r="AQ551" i="7" s="1"/>
  <c r="AQ557" i="7"/>
  <c r="AQ564" i="7"/>
  <c r="AQ570" i="7"/>
  <c r="AQ576" i="7"/>
  <c r="AQ584" i="7"/>
  <c r="AQ589" i="7"/>
  <c r="AQ594" i="7"/>
  <c r="AQ600" i="7"/>
  <c r="AQ607" i="7"/>
  <c r="AQ612" i="7"/>
  <c r="AQ618" i="7"/>
  <c r="AQ624" i="7"/>
  <c r="AQ628" i="7"/>
  <c r="AQ632" i="7"/>
  <c r="AQ640" i="7"/>
  <c r="AQ644" i="7"/>
  <c r="AQ650" i="7"/>
  <c r="AQ655" i="7"/>
  <c r="AQ660" i="7"/>
  <c r="AQ668" i="7"/>
  <c r="AQ669" i="7" s="1"/>
  <c r="AQ681" i="7"/>
  <c r="AQ685" i="7"/>
  <c r="AQ689" i="7"/>
  <c r="AQ695" i="7"/>
  <c r="AQ703" i="7"/>
  <c r="AQ707" i="7"/>
  <c r="AQ713" i="7"/>
  <c r="AQ714" i="7" s="1"/>
  <c r="AQ725" i="7"/>
  <c r="AQ730" i="7"/>
  <c r="AQ731" i="7" s="1"/>
  <c r="AQ732" i="7" s="1"/>
  <c r="AQ733" i="7" s="1"/>
  <c r="AQ742" i="7"/>
  <c r="AQ743" i="7" s="1"/>
  <c r="AQ744" i="7" s="1"/>
  <c r="AQ745" i="7" s="1"/>
  <c r="AR11" i="7"/>
  <c r="E6" i="8" s="1"/>
  <c r="E67" i="8" l="1"/>
  <c r="E92" i="8"/>
  <c r="E95" i="8"/>
  <c r="E76" i="8"/>
  <c r="E103" i="8"/>
  <c r="AQ358" i="7"/>
  <c r="AQ359" i="7" s="1"/>
  <c r="AQ224" i="7"/>
  <c r="AQ225" i="7" s="1"/>
  <c r="AQ226" i="7" s="1"/>
  <c r="AQ213" i="7"/>
  <c r="E72" i="8"/>
  <c r="E73" i="8"/>
  <c r="E106" i="8"/>
  <c r="E107" i="8"/>
  <c r="E108" i="8"/>
  <c r="E114" i="8"/>
  <c r="E33" i="8"/>
  <c r="E36" i="8"/>
  <c r="E65" i="8"/>
  <c r="E96" i="8"/>
  <c r="E94" i="8"/>
  <c r="E97" i="8"/>
  <c r="E104" i="8"/>
  <c r="E110" i="8"/>
  <c r="E112" i="8"/>
  <c r="E113" i="8"/>
  <c r="E71" i="8"/>
  <c r="AQ708" i="7"/>
  <c r="AQ457" i="7"/>
  <c r="AQ437" i="7"/>
  <c r="AQ251" i="7"/>
  <c r="AQ102" i="7"/>
  <c r="AQ103" i="7" s="1"/>
  <c r="AQ117" i="7" s="1"/>
  <c r="AQ696" i="7"/>
  <c r="AQ661" i="7"/>
  <c r="AQ633" i="7"/>
  <c r="AQ520" i="7"/>
  <c r="AQ496" i="7"/>
  <c r="AQ419" i="7"/>
  <c r="AQ382" i="7"/>
  <c r="AQ328" i="7"/>
  <c r="AQ329" i="7" s="1"/>
  <c r="AQ295" i="7"/>
  <c r="AQ296" i="7" s="1"/>
  <c r="AQ266" i="7"/>
  <c r="AQ192" i="7"/>
  <c r="AQ193" i="7" s="1"/>
  <c r="AQ157" i="7"/>
  <c r="AQ136" i="7"/>
  <c r="AQ36" i="7"/>
  <c r="AQ66" i="7" s="1"/>
  <c r="AQ67" i="7" s="1"/>
  <c r="AQ619" i="7"/>
  <c r="AR380" i="7"/>
  <c r="E66" i="8" s="1"/>
  <c r="AF450" i="7"/>
  <c r="AR450" i="7" s="1"/>
  <c r="E75" i="8" s="1"/>
  <c r="AM222" i="7"/>
  <c r="AR222" i="7" s="1"/>
  <c r="AM221" i="7"/>
  <c r="AR221" i="7" s="1"/>
  <c r="Q203" i="7"/>
  <c r="Q202" i="7"/>
  <c r="Q200" i="7"/>
  <c r="AR200" i="7" s="1"/>
  <c r="E40" i="8" s="1"/>
  <c r="E45" i="8" l="1"/>
  <c r="AQ267" i="7"/>
  <c r="AQ268" i="7" s="1"/>
  <c r="AQ670" i="7"/>
  <c r="AQ671" i="7" s="1"/>
  <c r="AQ715" i="7"/>
  <c r="AQ716" i="7" s="1"/>
  <c r="AQ530" i="7"/>
  <c r="AQ531" i="7" s="1"/>
  <c r="AQ464" i="7"/>
  <c r="AQ465" i="7" s="1"/>
  <c r="AQ342" i="7"/>
  <c r="AQ173" i="7"/>
  <c r="AQ194" i="7" s="1"/>
  <c r="AR211" i="7"/>
  <c r="E43" i="8" s="1"/>
  <c r="AQ673" i="7" l="1"/>
  <c r="R527" i="7"/>
  <c r="AR527" i="7" s="1"/>
  <c r="AR526" i="7"/>
  <c r="AL109" i="7"/>
  <c r="AL108" i="7"/>
  <c r="AQ747" i="7" l="1"/>
  <c r="AM303" i="7"/>
  <c r="AR303" i="7" s="1"/>
  <c r="AM301" i="7"/>
  <c r="AR301" i="7" s="1"/>
  <c r="E57" i="8" s="1"/>
  <c r="AM338" i="7" l="1"/>
  <c r="AR338" i="7" s="1"/>
  <c r="AM337" i="7"/>
  <c r="AR337" i="7" s="1"/>
  <c r="AM336" i="7"/>
  <c r="AR336" i="7" s="1"/>
  <c r="AM335" i="7"/>
  <c r="AR335" i="7" s="1"/>
  <c r="AM334" i="7"/>
  <c r="AR334" i="7" s="1"/>
  <c r="E60" i="8" l="1"/>
  <c r="AM291" i="7"/>
  <c r="AR291" i="7" s="1"/>
  <c r="U75" i="7" l="1"/>
  <c r="AP75" i="7"/>
  <c r="AR75" i="7" l="1"/>
  <c r="AG742" i="7"/>
  <c r="AG743" i="7" s="1"/>
  <c r="AG744" i="7" s="1"/>
  <c r="AG745" i="7" s="1"/>
  <c r="AN742" i="7"/>
  <c r="AN743" i="7" s="1"/>
  <c r="AN744" i="7" s="1"/>
  <c r="AN745" i="7" s="1"/>
  <c r="AN730" i="7"/>
  <c r="AN731" i="7"/>
  <c r="AN732" i="7" s="1"/>
  <c r="AN733" i="7" s="1"/>
  <c r="AG730" i="7"/>
  <c r="AG731" i="7" s="1"/>
  <c r="AG732" i="7" s="1"/>
  <c r="AG733" i="7" s="1"/>
  <c r="AH730" i="7"/>
  <c r="AH731" i="7" s="1"/>
  <c r="AH732" i="7" s="1"/>
  <c r="AH733" i="7" s="1"/>
  <c r="AI730" i="7"/>
  <c r="AI731" i="7" s="1"/>
  <c r="AI732" i="7" s="1"/>
  <c r="AI733" i="7" s="1"/>
  <c r="AN655" i="7"/>
  <c r="AO655" i="7"/>
  <c r="AG655" i="7"/>
  <c r="AN650" i="7"/>
  <c r="AO650" i="7"/>
  <c r="AG650" i="7"/>
  <c r="AH650" i="7"/>
  <c r="AI650" i="7"/>
  <c r="AN644" i="7"/>
  <c r="AG644" i="7"/>
  <c r="AN632" i="7"/>
  <c r="AN633" i="7" s="1"/>
  <c r="AO632" i="7"/>
  <c r="AG632" i="7"/>
  <c r="AH632" i="7"/>
  <c r="AG633" i="7"/>
  <c r="AN628" i="7"/>
  <c r="AO628" i="7"/>
  <c r="AG628" i="7"/>
  <c r="AH628" i="7"/>
  <c r="AG618" i="7"/>
  <c r="AH618" i="7"/>
  <c r="AI618" i="7"/>
  <c r="AJ618" i="7"/>
  <c r="AK618" i="7"/>
  <c r="AL618" i="7"/>
  <c r="AM618" i="7"/>
  <c r="AN618" i="7"/>
  <c r="AO618" i="7"/>
  <c r="AG612" i="7"/>
  <c r="AH612" i="7"/>
  <c r="AN612" i="7"/>
  <c r="AO612" i="7"/>
  <c r="AN589" i="7"/>
  <c r="AO589" i="7"/>
  <c r="AG589" i="7"/>
  <c r="AH589" i="7"/>
  <c r="AG557" i="7"/>
  <c r="AH557" i="7"/>
  <c r="AI557" i="7"/>
  <c r="AJ557" i="7"/>
  <c r="AN557" i="7"/>
  <c r="AO557" i="7"/>
  <c r="AP557" i="7"/>
  <c r="AN538" i="7"/>
  <c r="AN539" i="7" s="1"/>
  <c r="AN540" i="7" s="1"/>
  <c r="AN541" i="7" s="1"/>
  <c r="AO538" i="7"/>
  <c r="AP538" i="7"/>
  <c r="AP539" i="7" s="1"/>
  <c r="AP540" i="7" s="1"/>
  <c r="AP541" i="7" s="1"/>
  <c r="AO539" i="7"/>
  <c r="AO540" i="7" s="1"/>
  <c r="AO541" i="7" s="1"/>
  <c r="AG538" i="7"/>
  <c r="AG539" i="7" s="1"/>
  <c r="AG540" i="7" s="1"/>
  <c r="AG541" i="7" s="1"/>
  <c r="AH538" i="7"/>
  <c r="AI538" i="7"/>
  <c r="AI539" i="7" s="1"/>
  <c r="AI540" i="7" s="1"/>
  <c r="AI541" i="7" s="1"/>
  <c r="AJ538" i="7"/>
  <c r="AJ539" i="7" s="1"/>
  <c r="AJ540" i="7" s="1"/>
  <c r="AJ541" i="7" s="1"/>
  <c r="AK538" i="7"/>
  <c r="AK539" i="7" s="1"/>
  <c r="AK540" i="7" s="1"/>
  <c r="AK541" i="7" s="1"/>
  <c r="AH539" i="7"/>
  <c r="AH540" i="7" s="1"/>
  <c r="AH541" i="7" s="1"/>
  <c r="X538" i="7"/>
  <c r="X539" i="7" s="1"/>
  <c r="X540" i="7" s="1"/>
  <c r="X541" i="7" s="1"/>
  <c r="Y538" i="7"/>
  <c r="Y539" i="7" s="1"/>
  <c r="Y540" i="7" s="1"/>
  <c r="Y541" i="7" s="1"/>
  <c r="Z538" i="7"/>
  <c r="Z539" i="7" s="1"/>
  <c r="Z540" i="7" s="1"/>
  <c r="Z541" i="7" s="1"/>
  <c r="AA538" i="7"/>
  <c r="AB538" i="7"/>
  <c r="AB539" i="7" s="1"/>
  <c r="AB540" i="7" s="1"/>
  <c r="AB541" i="7" s="1"/>
  <c r="AC538" i="7"/>
  <c r="AC539" i="7" s="1"/>
  <c r="AC540" i="7" s="1"/>
  <c r="AC541" i="7" s="1"/>
  <c r="AA539" i="7"/>
  <c r="AA540" i="7" s="1"/>
  <c r="AA541" i="7" s="1"/>
  <c r="X528" i="7"/>
  <c r="X529" i="7" s="1"/>
  <c r="Y528" i="7"/>
  <c r="Y529" i="7" s="1"/>
  <c r="Z528" i="7"/>
  <c r="Z529" i="7" s="1"/>
  <c r="AA528" i="7"/>
  <c r="AB528" i="7"/>
  <c r="AB529" i="7" s="1"/>
  <c r="AC528" i="7"/>
  <c r="AC529" i="7" s="1"/>
  <c r="AD528" i="7"/>
  <c r="AD529" i="7" s="1"/>
  <c r="AA529" i="7"/>
  <c r="AG528" i="7"/>
  <c r="AG529" i="7" s="1"/>
  <c r="AN528" i="7"/>
  <c r="AN529" i="7" s="1"/>
  <c r="AO528" i="7"/>
  <c r="AO529" i="7" s="1"/>
  <c r="AP528" i="7"/>
  <c r="AP529" i="7" s="1"/>
  <c r="AN519" i="7"/>
  <c r="AO519" i="7"/>
  <c r="AP519" i="7"/>
  <c r="AN515" i="7"/>
  <c r="AO515" i="7"/>
  <c r="AP515" i="7"/>
  <c r="X519" i="7"/>
  <c r="Y519" i="7"/>
  <c r="Z519" i="7"/>
  <c r="AA519" i="7"/>
  <c r="AB519" i="7"/>
  <c r="AC519" i="7"/>
  <c r="AD519" i="7"/>
  <c r="AE519" i="7"/>
  <c r="AF519" i="7"/>
  <c r="AG519" i="7"/>
  <c r="AH519" i="7"/>
  <c r="AI519" i="7"/>
  <c r="X515" i="7"/>
  <c r="Y515" i="7"/>
  <c r="Z515" i="7"/>
  <c r="AA515" i="7"/>
  <c r="AB515" i="7"/>
  <c r="AC515" i="7"/>
  <c r="AD515" i="7"/>
  <c r="AE515" i="7"/>
  <c r="AF515" i="7"/>
  <c r="AG515" i="7"/>
  <c r="X511" i="7"/>
  <c r="Y511" i="7"/>
  <c r="Z511" i="7"/>
  <c r="AA511" i="7"/>
  <c r="AB511" i="7"/>
  <c r="AC511" i="7"/>
  <c r="AD511" i="7"/>
  <c r="AE511" i="7"/>
  <c r="AF511" i="7"/>
  <c r="AG511" i="7"/>
  <c r="AH511" i="7"/>
  <c r="AI511" i="7"/>
  <c r="AN511" i="7"/>
  <c r="AO511" i="7"/>
  <c r="AN507" i="7"/>
  <c r="AO507" i="7"/>
  <c r="AP507" i="7"/>
  <c r="X507" i="7"/>
  <c r="Y507" i="7"/>
  <c r="Z507" i="7"/>
  <c r="AA507" i="7"/>
  <c r="AB507" i="7"/>
  <c r="AC507" i="7"/>
  <c r="AD507" i="7"/>
  <c r="AE507" i="7"/>
  <c r="AF507" i="7"/>
  <c r="AG507" i="7"/>
  <c r="X502" i="7"/>
  <c r="Y502" i="7"/>
  <c r="Z502" i="7"/>
  <c r="AA502" i="7"/>
  <c r="AB502" i="7"/>
  <c r="AC502" i="7"/>
  <c r="AD502" i="7"/>
  <c r="AE502" i="7"/>
  <c r="AF502" i="7"/>
  <c r="AG502" i="7"/>
  <c r="AN502" i="7"/>
  <c r="AO502" i="7"/>
  <c r="AP502" i="7"/>
  <c r="AN495" i="7"/>
  <c r="AO495" i="7"/>
  <c r="AG495" i="7"/>
  <c r="AH495" i="7"/>
  <c r="AI495" i="7"/>
  <c r="AJ495" i="7"/>
  <c r="AK495" i="7"/>
  <c r="AL495" i="7"/>
  <c r="X495" i="7"/>
  <c r="Y495" i="7"/>
  <c r="Z495" i="7"/>
  <c r="AA495" i="7"/>
  <c r="AB495" i="7"/>
  <c r="AC495" i="7"/>
  <c r="X491" i="7"/>
  <c r="Y491" i="7"/>
  <c r="Z491" i="7"/>
  <c r="AA491" i="7"/>
  <c r="AB491" i="7"/>
  <c r="AG491" i="7"/>
  <c r="AN491" i="7"/>
  <c r="AO491" i="7"/>
  <c r="Y485" i="7"/>
  <c r="Z485" i="7"/>
  <c r="AA485" i="7"/>
  <c r="AB485" i="7"/>
  <c r="AC485" i="7"/>
  <c r="AD485" i="7"/>
  <c r="AE485" i="7"/>
  <c r="AF485" i="7"/>
  <c r="AG485" i="7"/>
  <c r="AH485" i="7"/>
  <c r="AI485" i="7"/>
  <c r="AJ485" i="7"/>
  <c r="AK485" i="7"/>
  <c r="AL485" i="7"/>
  <c r="AN485" i="7"/>
  <c r="AO485" i="7"/>
  <c r="AP485" i="7"/>
  <c r="X485" i="7"/>
  <c r="X479" i="7"/>
  <c r="Y479" i="7"/>
  <c r="Z479" i="7"/>
  <c r="AA479" i="7"/>
  <c r="AB479" i="7"/>
  <c r="AC479" i="7"/>
  <c r="AD479" i="7"/>
  <c r="AG479" i="7"/>
  <c r="AN479" i="7"/>
  <c r="AN473" i="7"/>
  <c r="AN474" i="7" s="1"/>
  <c r="AO473" i="7"/>
  <c r="AO474" i="7" s="1"/>
  <c r="AG473" i="7"/>
  <c r="AG474" i="7" s="1"/>
  <c r="AH473" i="7"/>
  <c r="AH474" i="7" s="1"/>
  <c r="AB474" i="7"/>
  <c r="X462" i="7"/>
  <c r="Y462" i="7"/>
  <c r="Z462" i="7"/>
  <c r="AA462" i="7"/>
  <c r="AB462" i="7"/>
  <c r="AB463" i="7" s="1"/>
  <c r="AN456" i="7"/>
  <c r="AG456" i="7"/>
  <c r="AB456" i="7"/>
  <c r="AC456" i="7"/>
  <c r="X451" i="7"/>
  <c r="Y451" i="7"/>
  <c r="Z451" i="7"/>
  <c r="AA451" i="7"/>
  <c r="AB451" i="7"/>
  <c r="AC451" i="7"/>
  <c r="AD451" i="7"/>
  <c r="AE451" i="7"/>
  <c r="AF451" i="7"/>
  <c r="AG451" i="7"/>
  <c r="AH451" i="7"/>
  <c r="AI451" i="7"/>
  <c r="AJ451" i="7"/>
  <c r="AK451" i="7"/>
  <c r="AL451" i="7"/>
  <c r="AM451" i="7"/>
  <c r="AN451" i="7"/>
  <c r="AN457" i="7" s="1"/>
  <c r="AO451" i="7"/>
  <c r="AP451" i="7"/>
  <c r="AG520" i="7" l="1"/>
  <c r="AC520" i="7"/>
  <c r="Y520" i="7"/>
  <c r="AN496" i="7"/>
  <c r="Z496" i="7"/>
  <c r="AD520" i="7"/>
  <c r="Z520" i="7"/>
  <c r="AF520" i="7"/>
  <c r="AB520" i="7"/>
  <c r="X520" i="7"/>
  <c r="AG457" i="7"/>
  <c r="AA496" i="7"/>
  <c r="AE520" i="7"/>
  <c r="AA520" i="7"/>
  <c r="AB457" i="7"/>
  <c r="AB464" i="7" s="1"/>
  <c r="AB465" i="7" s="1"/>
  <c r="Y496" i="7"/>
  <c r="AO520" i="7"/>
  <c r="AB496" i="7"/>
  <c r="AB530" i="7" s="1"/>
  <c r="AB531" i="7" s="1"/>
  <c r="X496" i="7"/>
  <c r="AG496" i="7"/>
  <c r="AG530" i="7" s="1"/>
  <c r="AG531" i="7" s="1"/>
  <c r="AN520" i="7"/>
  <c r="AG418" i="7"/>
  <c r="AG419" i="7" s="1"/>
  <c r="AF418" i="7"/>
  <c r="AL462" i="7"/>
  <c r="AL463" i="7" s="1"/>
  <c r="AM462" i="7"/>
  <c r="AN462" i="7"/>
  <c r="AN463" i="7" s="1"/>
  <c r="AO462" i="7"/>
  <c r="AO463" i="7" s="1"/>
  <c r="AP462" i="7"/>
  <c r="AP463" i="7" s="1"/>
  <c r="AM463" i="7"/>
  <c r="AJ462" i="7"/>
  <c r="AJ463" i="7" s="1"/>
  <c r="AK462" i="7"/>
  <c r="AK463" i="7" s="1"/>
  <c r="AH462" i="7"/>
  <c r="AI462" i="7"/>
  <c r="AI463" i="7" s="1"/>
  <c r="AH463" i="7"/>
  <c r="AG462" i="7"/>
  <c r="AG463" i="7" s="1"/>
  <c r="AF456" i="7"/>
  <c r="AF462" i="7"/>
  <c r="AF463" i="7" s="1"/>
  <c r="AD618" i="7"/>
  <c r="AD612" i="7"/>
  <c r="AD632" i="7"/>
  <c r="AF668" i="7"/>
  <c r="AF669" i="7" s="1"/>
  <c r="AG668" i="7"/>
  <c r="AG669" i="7" s="1"/>
  <c r="AH668" i="7"/>
  <c r="AH669" i="7" s="1"/>
  <c r="AI668" i="7"/>
  <c r="AI669" i="7" s="1"/>
  <c r="AJ668" i="7"/>
  <c r="AJ669" i="7" s="1"/>
  <c r="AK668" i="7"/>
  <c r="AK669" i="7" s="1"/>
  <c r="AL668" i="7"/>
  <c r="AL669" i="7" s="1"/>
  <c r="AM668" i="7"/>
  <c r="AM669" i="7" s="1"/>
  <c r="AN668" i="7"/>
  <c r="AN669" i="7" s="1"/>
  <c r="AO668" i="7"/>
  <c r="AO669" i="7" s="1"/>
  <c r="AP668" i="7"/>
  <c r="AP669" i="7" s="1"/>
  <c r="AE668" i="7"/>
  <c r="AE669" i="7" s="1"/>
  <c r="R600" i="7"/>
  <c r="S600" i="7"/>
  <c r="T600" i="7"/>
  <c r="U600" i="7"/>
  <c r="V600" i="7"/>
  <c r="W600" i="7"/>
  <c r="X600" i="7"/>
  <c r="Y600" i="7"/>
  <c r="Z600" i="7"/>
  <c r="AA600" i="7"/>
  <c r="AB600" i="7"/>
  <c r="AD600" i="7"/>
  <c r="AE600" i="7"/>
  <c r="AF600" i="7"/>
  <c r="AG600" i="7"/>
  <c r="AH600" i="7"/>
  <c r="AI600" i="7"/>
  <c r="AJ600" i="7"/>
  <c r="AK600" i="7"/>
  <c r="AL600" i="7"/>
  <c r="AM600" i="7"/>
  <c r="AN600" i="7"/>
  <c r="AO600" i="7"/>
  <c r="AP600" i="7"/>
  <c r="Q600" i="7"/>
  <c r="V668" i="7"/>
  <c r="V669" i="7" s="1"/>
  <c r="T668" i="7"/>
  <c r="T669" i="7" s="1"/>
  <c r="U668" i="7"/>
  <c r="U669" i="7"/>
  <c r="R668" i="7"/>
  <c r="R669" i="7" s="1"/>
  <c r="AP742" i="7"/>
  <c r="AP743" i="7" s="1"/>
  <c r="AP744" i="7" s="1"/>
  <c r="AP745" i="7" s="1"/>
  <c r="AN713" i="7"/>
  <c r="AN714" i="7" s="1"/>
  <c r="AN707" i="7"/>
  <c r="AO707" i="7"/>
  <c r="AN703" i="7"/>
  <c r="AO703" i="7"/>
  <c r="AN685" i="7"/>
  <c r="AO685" i="7"/>
  <c r="AN689" i="7"/>
  <c r="AO689" i="7"/>
  <c r="AN607" i="7"/>
  <c r="AO607" i="7"/>
  <c r="AP607" i="7"/>
  <c r="X640" i="7"/>
  <c r="Y640" i="7"/>
  <c r="Z640" i="7"/>
  <c r="AA640" i="7"/>
  <c r="AB640" i="7"/>
  <c r="AC640" i="7"/>
  <c r="AD640" i="7"/>
  <c r="AE640" i="7"/>
  <c r="AF640" i="7"/>
  <c r="AG640" i="7"/>
  <c r="AH640" i="7"/>
  <c r="AI640" i="7"/>
  <c r="AJ640" i="7"/>
  <c r="AK640" i="7"/>
  <c r="AL640" i="7"/>
  <c r="AM640" i="7"/>
  <c r="AN640" i="7"/>
  <c r="AO640" i="7"/>
  <c r="AP640" i="7"/>
  <c r="AB668" i="7"/>
  <c r="AB669" i="7" s="1"/>
  <c r="AC668" i="7"/>
  <c r="AC669" i="7" s="1"/>
  <c r="AD668" i="7"/>
  <c r="AD669" i="7" s="1"/>
  <c r="X668" i="7"/>
  <c r="X669" i="7" s="1"/>
  <c r="AO708" i="7" l="1"/>
  <c r="AN530" i="7"/>
  <c r="AN531" i="7" s="1"/>
  <c r="AN708" i="7"/>
  <c r="X407" i="7"/>
  <c r="AB650" i="7" l="1"/>
  <c r="AM348" i="7" l="1"/>
  <c r="AR348" i="7" s="1"/>
  <c r="E62" i="8" s="1"/>
  <c r="AM349" i="7"/>
  <c r="AR349" i="7" s="1"/>
  <c r="E63" i="8" s="1"/>
  <c r="AB679" i="7"/>
  <c r="AB678" i="7" s="1"/>
  <c r="AR405" i="7"/>
  <c r="V87" i="7"/>
  <c r="AR87" i="7" s="1"/>
  <c r="V89" i="7"/>
  <c r="AM89" i="7"/>
  <c r="AM19" i="7"/>
  <c r="AR19" i="7" s="1"/>
  <c r="AM18" i="7"/>
  <c r="AR18" i="7" s="1"/>
  <c r="AO739" i="7"/>
  <c r="AO729" i="7"/>
  <c r="AO728" i="7"/>
  <c r="AO727" i="7"/>
  <c r="AO726" i="7"/>
  <c r="AO722" i="7"/>
  <c r="S729" i="7"/>
  <c r="S728" i="7"/>
  <c r="AR728" i="7" s="1"/>
  <c r="S727" i="7"/>
  <c r="S726" i="7"/>
  <c r="AO712" i="7"/>
  <c r="AR712" i="7" s="1"/>
  <c r="E120" i="8" s="1"/>
  <c r="AM694" i="7"/>
  <c r="AR694" i="7" s="1"/>
  <c r="AM693" i="7"/>
  <c r="AM688" i="7"/>
  <c r="AR688" i="7" s="1"/>
  <c r="E116" i="8" s="1"/>
  <c r="W402" i="7"/>
  <c r="AR402" i="7" s="1"/>
  <c r="AM742" i="7"/>
  <c r="AM743" i="7" s="1"/>
  <c r="AM744" i="7" s="1"/>
  <c r="AM745" i="7" s="1"/>
  <c r="AL742" i="7"/>
  <c r="AL743" i="7" s="1"/>
  <c r="AL744" i="7" s="1"/>
  <c r="AL745" i="7" s="1"/>
  <c r="AK742" i="7"/>
  <c r="AK743" i="7" s="1"/>
  <c r="AK744" i="7" s="1"/>
  <c r="AK745" i="7" s="1"/>
  <c r="AJ742" i="7"/>
  <c r="AJ743" i="7" s="1"/>
  <c r="AJ744" i="7" s="1"/>
  <c r="AJ745" i="7" s="1"/>
  <c r="AI742" i="7"/>
  <c r="AI743" i="7" s="1"/>
  <c r="AI744" i="7" s="1"/>
  <c r="AI745" i="7" s="1"/>
  <c r="AH742" i="7"/>
  <c r="AH743" i="7" s="1"/>
  <c r="AH744" i="7" s="1"/>
  <c r="AH745" i="7" s="1"/>
  <c r="AF742" i="7"/>
  <c r="AF743" i="7" s="1"/>
  <c r="AF744" i="7" s="1"/>
  <c r="AF745" i="7" s="1"/>
  <c r="AE742" i="7"/>
  <c r="AE743" i="7" s="1"/>
  <c r="AE744" i="7" s="1"/>
  <c r="AE745" i="7" s="1"/>
  <c r="AD742" i="7"/>
  <c r="AD743" i="7" s="1"/>
  <c r="AD744" i="7" s="1"/>
  <c r="AD745" i="7" s="1"/>
  <c r="AC742" i="7"/>
  <c r="AC743" i="7" s="1"/>
  <c r="AC744" i="7" s="1"/>
  <c r="AC745" i="7" s="1"/>
  <c r="AA742" i="7"/>
  <c r="AA743" i="7" s="1"/>
  <c r="AA744" i="7" s="1"/>
  <c r="AA745" i="7" s="1"/>
  <c r="W742" i="7"/>
  <c r="W743" i="7" s="1"/>
  <c r="W744" i="7" s="1"/>
  <c r="W745" i="7" s="1"/>
  <c r="V742" i="7"/>
  <c r="V743" i="7" s="1"/>
  <c r="V744" i="7" s="1"/>
  <c r="V745" i="7" s="1"/>
  <c r="U742" i="7"/>
  <c r="U743" i="7" s="1"/>
  <c r="U744" i="7" s="1"/>
  <c r="U745" i="7" s="1"/>
  <c r="T742" i="7"/>
  <c r="T743" i="7" s="1"/>
  <c r="T744" i="7" s="1"/>
  <c r="T745" i="7" s="1"/>
  <c r="S742" i="7"/>
  <c r="S743" i="7" s="1"/>
  <c r="S744" i="7" s="1"/>
  <c r="S745" i="7" s="1"/>
  <c r="R742" i="7"/>
  <c r="R743" i="7" s="1"/>
  <c r="R744" i="7" s="1"/>
  <c r="R745" i="7" s="1"/>
  <c r="Q742" i="7"/>
  <c r="AP730" i="7"/>
  <c r="AP731" i="7" s="1"/>
  <c r="AP732" i="7" s="1"/>
  <c r="AP733" i="7" s="1"/>
  <c r="AM730" i="7"/>
  <c r="AM731" i="7" s="1"/>
  <c r="AM732" i="7" s="1"/>
  <c r="AM733" i="7" s="1"/>
  <c r="AL730" i="7"/>
  <c r="AL731" i="7" s="1"/>
  <c r="AL732" i="7" s="1"/>
  <c r="AL733" i="7" s="1"/>
  <c r="AK730" i="7"/>
  <c r="AK731" i="7" s="1"/>
  <c r="AK732" i="7" s="1"/>
  <c r="AK733" i="7" s="1"/>
  <c r="AJ730" i="7"/>
  <c r="AJ731" i="7" s="1"/>
  <c r="AJ732" i="7" s="1"/>
  <c r="AJ733" i="7" s="1"/>
  <c r="AF730" i="7"/>
  <c r="AF731" i="7" s="1"/>
  <c r="AF732" i="7" s="1"/>
  <c r="AF733" i="7" s="1"/>
  <c r="AE730" i="7"/>
  <c r="AE731" i="7" s="1"/>
  <c r="AE732" i="7" s="1"/>
  <c r="AE733" i="7" s="1"/>
  <c r="AD730" i="7"/>
  <c r="AD731" i="7" s="1"/>
  <c r="AD732" i="7" s="1"/>
  <c r="AD733" i="7" s="1"/>
  <c r="AC730" i="7"/>
  <c r="AC731" i="7" s="1"/>
  <c r="AC732" i="7" s="1"/>
  <c r="AC733" i="7" s="1"/>
  <c r="AB730" i="7"/>
  <c r="AB731" i="7" s="1"/>
  <c r="AA730" i="7"/>
  <c r="AA731" i="7" s="1"/>
  <c r="AA732" i="7" s="1"/>
  <c r="AA733" i="7" s="1"/>
  <c r="Z730" i="7"/>
  <c r="Z731" i="7" s="1"/>
  <c r="Y730" i="7"/>
  <c r="Y731" i="7" s="1"/>
  <c r="X730" i="7"/>
  <c r="X731" i="7" s="1"/>
  <c r="W730" i="7"/>
  <c r="W731" i="7" s="1"/>
  <c r="W732" i="7" s="1"/>
  <c r="W733" i="7" s="1"/>
  <c r="V730" i="7"/>
  <c r="V731" i="7" s="1"/>
  <c r="V732" i="7" s="1"/>
  <c r="V733" i="7" s="1"/>
  <c r="U730" i="7"/>
  <c r="U731" i="7" s="1"/>
  <c r="U732" i="7" s="1"/>
  <c r="U733" i="7" s="1"/>
  <c r="T730" i="7"/>
  <c r="T731" i="7" s="1"/>
  <c r="T732" i="7" s="1"/>
  <c r="T733" i="7" s="1"/>
  <c r="R730" i="7"/>
  <c r="R731" i="7" s="1"/>
  <c r="R732" i="7" s="1"/>
  <c r="R733" i="7" s="1"/>
  <c r="Q730" i="7"/>
  <c r="AP725" i="7"/>
  <c r="AM725" i="7"/>
  <c r="AL725" i="7"/>
  <c r="AK725" i="7"/>
  <c r="AJ725" i="7"/>
  <c r="AI725" i="7"/>
  <c r="AH725" i="7"/>
  <c r="AF725" i="7"/>
  <c r="AE725" i="7"/>
  <c r="AD725" i="7"/>
  <c r="AC725" i="7"/>
  <c r="AB725" i="7"/>
  <c r="AA725" i="7"/>
  <c r="Z725" i="7"/>
  <c r="Y725" i="7"/>
  <c r="X725" i="7"/>
  <c r="W725" i="7"/>
  <c r="V725" i="7"/>
  <c r="U725" i="7"/>
  <c r="T725" i="7"/>
  <c r="S725" i="7"/>
  <c r="R725" i="7"/>
  <c r="Q725" i="7"/>
  <c r="AB714" i="7"/>
  <c r="AP713" i="7"/>
  <c r="AP714" i="7" s="1"/>
  <c r="AM713" i="7"/>
  <c r="AM714" i="7" s="1"/>
  <c r="AL713" i="7"/>
  <c r="AL714" i="7" s="1"/>
  <c r="AK713" i="7"/>
  <c r="AK714" i="7" s="1"/>
  <c r="AJ713" i="7"/>
  <c r="AJ714" i="7" s="1"/>
  <c r="AI713" i="7"/>
  <c r="AI714" i="7" s="1"/>
  <c r="AH713" i="7"/>
  <c r="AH714" i="7" s="1"/>
  <c r="AF713" i="7"/>
  <c r="AF714" i="7" s="1"/>
  <c r="AE713" i="7"/>
  <c r="AE714" i="7" s="1"/>
  <c r="AD713" i="7"/>
  <c r="AD714" i="7" s="1"/>
  <c r="AC713" i="7"/>
  <c r="AC714" i="7" s="1"/>
  <c r="AA713" i="7"/>
  <c r="AA714" i="7" s="1"/>
  <c r="W713" i="7"/>
  <c r="W714" i="7" s="1"/>
  <c r="V713" i="7"/>
  <c r="V714" i="7" s="1"/>
  <c r="U713" i="7"/>
  <c r="U714" i="7" s="1"/>
  <c r="T713" i="7"/>
  <c r="T714" i="7" s="1"/>
  <c r="S713" i="7"/>
  <c r="S714" i="7" s="1"/>
  <c r="R713" i="7"/>
  <c r="R714" i="7" s="1"/>
  <c r="Q713" i="7"/>
  <c r="AP707" i="7"/>
  <c r="AM707" i="7"/>
  <c r="AL707" i="7"/>
  <c r="AK707" i="7"/>
  <c r="AJ707" i="7"/>
  <c r="AI707" i="7"/>
  <c r="AH707" i="7"/>
  <c r="AF707" i="7"/>
  <c r="AE707" i="7"/>
  <c r="AD707" i="7"/>
  <c r="AC707" i="7"/>
  <c r="AB707" i="7"/>
  <c r="AA707" i="7"/>
  <c r="W707" i="7"/>
  <c r="V707" i="7"/>
  <c r="U707" i="7"/>
  <c r="T707" i="7"/>
  <c r="S707" i="7"/>
  <c r="R707" i="7"/>
  <c r="Q707" i="7"/>
  <c r="AP703" i="7"/>
  <c r="AL703" i="7"/>
  <c r="AK703" i="7"/>
  <c r="AJ703" i="7"/>
  <c r="AI703" i="7"/>
  <c r="AH703" i="7"/>
  <c r="AF703" i="7"/>
  <c r="AE703" i="7"/>
  <c r="AD703" i="7"/>
  <c r="AC703" i="7"/>
  <c r="AB703" i="7"/>
  <c r="AA703" i="7"/>
  <c r="W703" i="7"/>
  <c r="V703" i="7"/>
  <c r="U703" i="7"/>
  <c r="T703" i="7"/>
  <c r="S703" i="7"/>
  <c r="R703" i="7"/>
  <c r="Q703" i="7"/>
  <c r="AM702" i="7"/>
  <c r="AR702" i="7" s="1"/>
  <c r="AM700" i="7"/>
  <c r="AR700" i="7" s="1"/>
  <c r="E118" i="8" s="1"/>
  <c r="AP695" i="7"/>
  <c r="AO695" i="7"/>
  <c r="AL695" i="7"/>
  <c r="AK695" i="7"/>
  <c r="AJ695" i="7"/>
  <c r="AI695" i="7"/>
  <c r="AH695" i="7"/>
  <c r="AF695" i="7"/>
  <c r="AE695" i="7"/>
  <c r="AD695" i="7"/>
  <c r="AC695" i="7"/>
  <c r="AB695" i="7"/>
  <c r="AA695" i="7"/>
  <c r="W695" i="7"/>
  <c r="V695" i="7"/>
  <c r="U695" i="7"/>
  <c r="T695" i="7"/>
  <c r="S695" i="7"/>
  <c r="R695" i="7"/>
  <c r="Q695" i="7"/>
  <c r="AN693" i="7"/>
  <c r="AN695" i="7" s="1"/>
  <c r="AN696" i="7" s="1"/>
  <c r="AN715" i="7" s="1"/>
  <c r="AN716" i="7" s="1"/>
  <c r="AP689" i="7"/>
  <c r="AL689" i="7"/>
  <c r="AK689" i="7"/>
  <c r="AJ689" i="7"/>
  <c r="AI689" i="7"/>
  <c r="AH689" i="7"/>
  <c r="AF689" i="7"/>
  <c r="AE689" i="7"/>
  <c r="AD689" i="7"/>
  <c r="AC689" i="7"/>
  <c r="AB689" i="7"/>
  <c r="AA689" i="7"/>
  <c r="W689" i="7"/>
  <c r="V689" i="7"/>
  <c r="U689" i="7"/>
  <c r="T689" i="7"/>
  <c r="S689" i="7"/>
  <c r="R689" i="7"/>
  <c r="Q689" i="7"/>
  <c r="AP685" i="7"/>
  <c r="AM685" i="7"/>
  <c r="AL685" i="7"/>
  <c r="AK685" i="7"/>
  <c r="AJ685" i="7"/>
  <c r="AI685" i="7"/>
  <c r="AH685" i="7"/>
  <c r="AF685" i="7"/>
  <c r="AE685" i="7"/>
  <c r="AD685" i="7"/>
  <c r="AC685" i="7"/>
  <c r="AB685" i="7"/>
  <c r="AA685" i="7"/>
  <c r="W685" i="7"/>
  <c r="V685" i="7"/>
  <c r="U685" i="7"/>
  <c r="T685" i="7"/>
  <c r="S685" i="7"/>
  <c r="R685" i="7"/>
  <c r="Q685" i="7"/>
  <c r="AP681" i="7"/>
  <c r="AO681" i="7"/>
  <c r="AL681" i="7"/>
  <c r="AK681" i="7"/>
  <c r="AD681" i="7"/>
  <c r="AC681" i="7"/>
  <c r="AA681" i="7"/>
  <c r="W681" i="7"/>
  <c r="V681" i="7"/>
  <c r="U681" i="7"/>
  <c r="T681" i="7"/>
  <c r="S681" i="7"/>
  <c r="R681" i="7"/>
  <c r="Q681" i="7"/>
  <c r="P681" i="7"/>
  <c r="AM680" i="7"/>
  <c r="AR680" i="7" s="1"/>
  <c r="AA668" i="7"/>
  <c r="AA669" i="7" s="1"/>
  <c r="Z668" i="7"/>
  <c r="Z669" i="7" s="1"/>
  <c r="Y668" i="7"/>
  <c r="Y669" i="7" s="1"/>
  <c r="W668" i="7"/>
  <c r="W669" i="7" s="1"/>
  <c r="S668" i="7"/>
  <c r="S669" i="7" s="1"/>
  <c r="Q668" i="7"/>
  <c r="AP660" i="7"/>
  <c r="AO660" i="7"/>
  <c r="AN660" i="7"/>
  <c r="AN661" i="7" s="1"/>
  <c r="AM660" i="7"/>
  <c r="AL660" i="7"/>
  <c r="AK660" i="7"/>
  <c r="AJ660" i="7"/>
  <c r="AI660" i="7"/>
  <c r="AH660" i="7"/>
  <c r="AG660" i="7"/>
  <c r="AG661" i="7" s="1"/>
  <c r="AF660" i="7"/>
  <c r="AE660" i="7"/>
  <c r="AD660" i="7"/>
  <c r="AC660" i="7"/>
  <c r="AB660" i="7"/>
  <c r="AB661" i="7" s="1"/>
  <c r="AB670" i="7" s="1"/>
  <c r="AB671" i="7" s="1"/>
  <c r="AA660" i="7"/>
  <c r="Z660" i="7"/>
  <c r="Z661" i="7" s="1"/>
  <c r="Y660" i="7"/>
  <c r="Y661" i="7" s="1"/>
  <c r="X660" i="7"/>
  <c r="W660" i="7"/>
  <c r="V660" i="7"/>
  <c r="U660" i="7"/>
  <c r="T660" i="7"/>
  <c r="S660" i="7"/>
  <c r="R660" i="7"/>
  <c r="Q660" i="7"/>
  <c r="AP655" i="7"/>
  <c r="AM655" i="7"/>
  <c r="AL655" i="7"/>
  <c r="AK655" i="7"/>
  <c r="AJ655" i="7"/>
  <c r="AI655" i="7"/>
  <c r="AH655" i="7"/>
  <c r="AF655" i="7"/>
  <c r="AE655" i="7"/>
  <c r="AD655" i="7"/>
  <c r="AC655" i="7"/>
  <c r="AA655" i="7"/>
  <c r="X655" i="7"/>
  <c r="W655" i="7"/>
  <c r="V655" i="7"/>
  <c r="U655" i="7"/>
  <c r="T655" i="7"/>
  <c r="S655" i="7"/>
  <c r="R655" i="7"/>
  <c r="Q655" i="7"/>
  <c r="AP650" i="7"/>
  <c r="AL650" i="7"/>
  <c r="AK650" i="7"/>
  <c r="AJ650" i="7"/>
  <c r="AF650" i="7"/>
  <c r="AE650" i="7"/>
  <c r="AD650" i="7"/>
  <c r="AC650" i="7"/>
  <c r="AA650" i="7"/>
  <c r="X650" i="7"/>
  <c r="W650" i="7"/>
  <c r="V650" i="7"/>
  <c r="U650" i="7"/>
  <c r="T650" i="7"/>
  <c r="S650" i="7"/>
  <c r="R650" i="7"/>
  <c r="Q650" i="7"/>
  <c r="AM649" i="7"/>
  <c r="AR649" i="7" s="1"/>
  <c r="E111" i="8" s="1"/>
  <c r="AP644" i="7"/>
  <c r="AO644" i="7"/>
  <c r="AM644" i="7"/>
  <c r="AL644" i="7"/>
  <c r="AK644" i="7"/>
  <c r="AJ644" i="7"/>
  <c r="AI644" i="7"/>
  <c r="AH644" i="7"/>
  <c r="AF644" i="7"/>
  <c r="AE644" i="7"/>
  <c r="AD644" i="7"/>
  <c r="AC644" i="7"/>
  <c r="AA644" i="7"/>
  <c r="X644" i="7"/>
  <c r="W644" i="7"/>
  <c r="V644" i="7"/>
  <c r="U644" i="7"/>
  <c r="T644" i="7"/>
  <c r="S644" i="7"/>
  <c r="R644" i="7"/>
  <c r="Q644" i="7"/>
  <c r="V640" i="7"/>
  <c r="U640" i="7"/>
  <c r="T640" i="7"/>
  <c r="S640" i="7"/>
  <c r="R640" i="7"/>
  <c r="Q640" i="7"/>
  <c r="W640" i="7"/>
  <c r="AP632" i="7"/>
  <c r="AM632" i="7"/>
  <c r="AL632" i="7"/>
  <c r="AK632" i="7"/>
  <c r="AJ632" i="7"/>
  <c r="AI632" i="7"/>
  <c r="AF632" i="7"/>
  <c r="AE632" i="7"/>
  <c r="AC632" i="7"/>
  <c r="AA632" i="7"/>
  <c r="X632" i="7"/>
  <c r="W632" i="7"/>
  <c r="V632" i="7"/>
  <c r="U632" i="7"/>
  <c r="T632" i="7"/>
  <c r="S632" i="7"/>
  <c r="R632" i="7"/>
  <c r="Q632" i="7"/>
  <c r="AP628" i="7"/>
  <c r="AM628" i="7"/>
  <c r="AL628" i="7"/>
  <c r="AK628" i="7"/>
  <c r="AJ628" i="7"/>
  <c r="AI628" i="7"/>
  <c r="AF628" i="7"/>
  <c r="AE628" i="7"/>
  <c r="AD628" i="7"/>
  <c r="AC628" i="7"/>
  <c r="AA628" i="7"/>
  <c r="X628" i="7"/>
  <c r="W628" i="7"/>
  <c r="V628" i="7"/>
  <c r="U628" i="7"/>
  <c r="T628" i="7"/>
  <c r="S628" i="7"/>
  <c r="R628" i="7"/>
  <c r="Q628" i="7"/>
  <c r="AP624" i="7"/>
  <c r="AO624" i="7"/>
  <c r="AO633" i="7" s="1"/>
  <c r="AM624" i="7"/>
  <c r="AL624" i="7"/>
  <c r="AK624" i="7"/>
  <c r="AJ624" i="7"/>
  <c r="AI624" i="7"/>
  <c r="AH624" i="7"/>
  <c r="AH633" i="7" s="1"/>
  <c r="AF624" i="7"/>
  <c r="AE624" i="7"/>
  <c r="AD624" i="7"/>
  <c r="AC624" i="7"/>
  <c r="AA624" i="7"/>
  <c r="X624" i="7"/>
  <c r="W624" i="7"/>
  <c r="V624" i="7"/>
  <c r="U624" i="7"/>
  <c r="T624" i="7"/>
  <c r="S624" i="7"/>
  <c r="R624" i="7"/>
  <c r="Q624" i="7"/>
  <c r="AP618" i="7"/>
  <c r="AF618" i="7"/>
  <c r="AE618" i="7"/>
  <c r="AC618" i="7"/>
  <c r="AA618" i="7"/>
  <c r="W618" i="7"/>
  <c r="V618" i="7"/>
  <c r="U618" i="7"/>
  <c r="T618" i="7"/>
  <c r="S618" i="7"/>
  <c r="R618" i="7"/>
  <c r="Q618" i="7"/>
  <c r="AP612" i="7"/>
  <c r="AM612" i="7"/>
  <c r="AL612" i="7"/>
  <c r="AK612" i="7"/>
  <c r="AJ612" i="7"/>
  <c r="AI612" i="7"/>
  <c r="AF612" i="7"/>
  <c r="AE612" i="7"/>
  <c r="AC612" i="7"/>
  <c r="AA612" i="7"/>
  <c r="W612" i="7"/>
  <c r="V612" i="7"/>
  <c r="U612" i="7"/>
  <c r="T612" i="7"/>
  <c r="S612" i="7"/>
  <c r="R612" i="7"/>
  <c r="Q612" i="7"/>
  <c r="X612" i="7"/>
  <c r="AM607" i="7"/>
  <c r="AL607" i="7"/>
  <c r="AK607" i="7"/>
  <c r="AJ607" i="7"/>
  <c r="AI607" i="7"/>
  <c r="AH607" i="7"/>
  <c r="AF607" i="7"/>
  <c r="AE607" i="7"/>
  <c r="AD607" i="7"/>
  <c r="AC607" i="7"/>
  <c r="AA607" i="7"/>
  <c r="W607" i="7"/>
  <c r="V607" i="7"/>
  <c r="U607" i="7"/>
  <c r="T607" i="7"/>
  <c r="S607" i="7"/>
  <c r="R607" i="7"/>
  <c r="Q607" i="7"/>
  <c r="X607" i="7"/>
  <c r="AC597" i="7"/>
  <c r="AP594" i="7"/>
  <c r="AO594" i="7"/>
  <c r="AM594" i="7"/>
  <c r="AL594" i="7"/>
  <c r="AK594" i="7"/>
  <c r="AJ594" i="7"/>
  <c r="AI594" i="7"/>
  <c r="AH594" i="7"/>
  <c r="AF594" i="7"/>
  <c r="AE594" i="7"/>
  <c r="AD594" i="7"/>
  <c r="AC594" i="7"/>
  <c r="AA594" i="7"/>
  <c r="X594" i="7"/>
  <c r="W594" i="7"/>
  <c r="V594" i="7"/>
  <c r="U594" i="7"/>
  <c r="T594" i="7"/>
  <c r="S594" i="7"/>
  <c r="R594" i="7"/>
  <c r="Q594" i="7"/>
  <c r="AP589" i="7"/>
  <c r="AM589" i="7"/>
  <c r="AL589" i="7"/>
  <c r="AK589" i="7"/>
  <c r="AJ589" i="7"/>
  <c r="AI589" i="7"/>
  <c r="AF589" i="7"/>
  <c r="AE589" i="7"/>
  <c r="AD589" i="7"/>
  <c r="AC589" i="7"/>
  <c r="AA589" i="7"/>
  <c r="X589" i="7"/>
  <c r="W589" i="7"/>
  <c r="V589" i="7"/>
  <c r="U589" i="7"/>
  <c r="T589" i="7"/>
  <c r="S589" i="7"/>
  <c r="R589" i="7"/>
  <c r="Q589" i="7"/>
  <c r="AO584" i="7"/>
  <c r="AN584" i="7"/>
  <c r="AN619" i="7" s="1"/>
  <c r="AM584" i="7"/>
  <c r="AL584" i="7"/>
  <c r="AK584" i="7"/>
  <c r="AJ584" i="7"/>
  <c r="AI584" i="7"/>
  <c r="AH584" i="7"/>
  <c r="AG584" i="7"/>
  <c r="AG619" i="7" s="1"/>
  <c r="AF584" i="7"/>
  <c r="AE584" i="7"/>
  <c r="AC584" i="7"/>
  <c r="AA584" i="7"/>
  <c r="W584" i="7"/>
  <c r="V584" i="7"/>
  <c r="U584" i="7"/>
  <c r="T584" i="7"/>
  <c r="S584" i="7"/>
  <c r="R584" i="7"/>
  <c r="Q584" i="7"/>
  <c r="AP581" i="7"/>
  <c r="AR581" i="7" s="1"/>
  <c r="E98" i="8" s="1"/>
  <c r="AP576" i="7"/>
  <c r="AO576" i="7"/>
  <c r="AM576" i="7"/>
  <c r="AL576" i="7"/>
  <c r="AK576" i="7"/>
  <c r="AJ576" i="7"/>
  <c r="AI576" i="7"/>
  <c r="AH576" i="7"/>
  <c r="AF576" i="7"/>
  <c r="AE576" i="7"/>
  <c r="AD576" i="7"/>
  <c r="AC576" i="7"/>
  <c r="AA576" i="7"/>
  <c r="X576" i="7"/>
  <c r="W576" i="7"/>
  <c r="V576" i="7"/>
  <c r="U576" i="7"/>
  <c r="T576" i="7"/>
  <c r="S576" i="7"/>
  <c r="R576" i="7"/>
  <c r="Q576" i="7"/>
  <c r="AP570" i="7"/>
  <c r="AO570" i="7"/>
  <c r="AM570" i="7"/>
  <c r="AL570" i="7"/>
  <c r="AK570" i="7"/>
  <c r="AJ570" i="7"/>
  <c r="AI570" i="7"/>
  <c r="AH570" i="7"/>
  <c r="AF570" i="7"/>
  <c r="AE570" i="7"/>
  <c r="AD570" i="7"/>
  <c r="AC570" i="7"/>
  <c r="AA570" i="7"/>
  <c r="W570" i="7"/>
  <c r="V570" i="7"/>
  <c r="U570" i="7"/>
  <c r="T570" i="7"/>
  <c r="S570" i="7"/>
  <c r="R570" i="7"/>
  <c r="Q570" i="7"/>
  <c r="X570" i="7"/>
  <c r="AP564" i="7"/>
  <c r="AO564" i="7"/>
  <c r="AM564" i="7"/>
  <c r="AL564" i="7"/>
  <c r="AK564" i="7"/>
  <c r="AJ564" i="7"/>
  <c r="AI564" i="7"/>
  <c r="AH564" i="7"/>
  <c r="AF564" i="7"/>
  <c r="AE564" i="7"/>
  <c r="AD564" i="7"/>
  <c r="AC564" i="7"/>
  <c r="AA564" i="7"/>
  <c r="Z564" i="7"/>
  <c r="Y564" i="7"/>
  <c r="X564" i="7"/>
  <c r="W564" i="7"/>
  <c r="V564" i="7"/>
  <c r="U564" i="7"/>
  <c r="T564" i="7"/>
  <c r="S564" i="7"/>
  <c r="R564" i="7"/>
  <c r="Q564" i="7"/>
  <c r="AM557" i="7"/>
  <c r="AL557" i="7"/>
  <c r="AK557" i="7"/>
  <c r="AF557" i="7"/>
  <c r="AE557" i="7"/>
  <c r="AD557" i="7"/>
  <c r="AC557" i="7"/>
  <c r="AA557" i="7"/>
  <c r="X557" i="7"/>
  <c r="W557" i="7"/>
  <c r="V557" i="7"/>
  <c r="U557" i="7"/>
  <c r="T557" i="7"/>
  <c r="S557" i="7"/>
  <c r="R557" i="7"/>
  <c r="Q557" i="7"/>
  <c r="AP550" i="7"/>
  <c r="AP551" i="7" s="1"/>
  <c r="AO550" i="7"/>
  <c r="AO551" i="7" s="1"/>
  <c r="AM550" i="7"/>
  <c r="AM551" i="7" s="1"/>
  <c r="AL550" i="7"/>
  <c r="AL551" i="7" s="1"/>
  <c r="AK550" i="7"/>
  <c r="AK551" i="7" s="1"/>
  <c r="AJ550" i="7"/>
  <c r="AJ551" i="7" s="1"/>
  <c r="AI550" i="7"/>
  <c r="AI551" i="7" s="1"/>
  <c r="AH550" i="7"/>
  <c r="AH551" i="7" s="1"/>
  <c r="AF550" i="7"/>
  <c r="AF551" i="7" s="1"/>
  <c r="AE550" i="7"/>
  <c r="AE551" i="7" s="1"/>
  <c r="AD550" i="7"/>
  <c r="AD551" i="7" s="1"/>
  <c r="AC550" i="7"/>
  <c r="AC551" i="7" s="1"/>
  <c r="AA550" i="7"/>
  <c r="AA551" i="7" s="1"/>
  <c r="W550" i="7"/>
  <c r="W551" i="7" s="1"/>
  <c r="V550" i="7"/>
  <c r="V551" i="7" s="1"/>
  <c r="U550" i="7"/>
  <c r="U551" i="7" s="1"/>
  <c r="T550" i="7"/>
  <c r="T551" i="7" s="1"/>
  <c r="S550" i="7"/>
  <c r="S551" i="7" s="1"/>
  <c r="R550" i="7"/>
  <c r="R551" i="7" s="1"/>
  <c r="Q550" i="7"/>
  <c r="AM538" i="7"/>
  <c r="AM539" i="7" s="1"/>
  <c r="AM540" i="7" s="1"/>
  <c r="AM541" i="7" s="1"/>
  <c r="AL538" i="7"/>
  <c r="AL539" i="7" s="1"/>
  <c r="AL540" i="7" s="1"/>
  <c r="AL541" i="7" s="1"/>
  <c r="AF538" i="7"/>
  <c r="AF539" i="7" s="1"/>
  <c r="AF540" i="7" s="1"/>
  <c r="AF541" i="7" s="1"/>
  <c r="AE538" i="7"/>
  <c r="AE539" i="7" s="1"/>
  <c r="AE540" i="7" s="1"/>
  <c r="AE541" i="7" s="1"/>
  <c r="AD538" i="7"/>
  <c r="AD539" i="7" s="1"/>
  <c r="AD540" i="7" s="1"/>
  <c r="AD541" i="7" s="1"/>
  <c r="W538" i="7"/>
  <c r="W539" i="7" s="1"/>
  <c r="W540" i="7" s="1"/>
  <c r="W541" i="7" s="1"/>
  <c r="V538" i="7"/>
  <c r="V539" i="7" s="1"/>
  <c r="V540" i="7" s="1"/>
  <c r="V541" i="7" s="1"/>
  <c r="U538" i="7"/>
  <c r="U539" i="7" s="1"/>
  <c r="U540" i="7" s="1"/>
  <c r="U541" i="7" s="1"/>
  <c r="T538" i="7"/>
  <c r="T539" i="7" s="1"/>
  <c r="T540" i="7" s="1"/>
  <c r="T541" i="7" s="1"/>
  <c r="S538" i="7"/>
  <c r="S539" i="7" s="1"/>
  <c r="S540" i="7" s="1"/>
  <c r="S541" i="7" s="1"/>
  <c r="R538" i="7"/>
  <c r="R539" i="7" s="1"/>
  <c r="R540" i="7" s="1"/>
  <c r="R541" i="7" s="1"/>
  <c r="Q538" i="7"/>
  <c r="AL528" i="7"/>
  <c r="AL529" i="7" s="1"/>
  <c r="AK528" i="7"/>
  <c r="AK529" i="7" s="1"/>
  <c r="AJ528" i="7"/>
  <c r="AJ529" i="7" s="1"/>
  <c r="AI528" i="7"/>
  <c r="AI529" i="7" s="1"/>
  <c r="AH528" i="7"/>
  <c r="AH529" i="7" s="1"/>
  <c r="AF528" i="7"/>
  <c r="AF529" i="7" s="1"/>
  <c r="AE528" i="7"/>
  <c r="AE529" i="7" s="1"/>
  <c r="W528" i="7"/>
  <c r="W529" i="7" s="1"/>
  <c r="V528" i="7"/>
  <c r="V529" i="7" s="1"/>
  <c r="U528" i="7"/>
  <c r="U529" i="7" s="1"/>
  <c r="T528" i="7"/>
  <c r="T529" i="7" s="1"/>
  <c r="S528" i="7"/>
  <c r="S529" i="7" s="1"/>
  <c r="Q528" i="7"/>
  <c r="AM524" i="7"/>
  <c r="AR524" i="7" s="1"/>
  <c r="E90" i="8" s="1"/>
  <c r="AL519" i="7"/>
  <c r="AK519" i="7"/>
  <c r="AJ519" i="7"/>
  <c r="W519" i="7"/>
  <c r="V519" i="7"/>
  <c r="U519" i="7"/>
  <c r="T519" i="7"/>
  <c r="S519" i="7"/>
  <c r="R519" i="7"/>
  <c r="Q519" i="7"/>
  <c r="AM518" i="7"/>
  <c r="AR518" i="7" s="1"/>
  <c r="E89" i="8" s="1"/>
  <c r="AL515" i="7"/>
  <c r="AK515" i="7"/>
  <c r="AJ515" i="7"/>
  <c r="AI515" i="7"/>
  <c r="AH515" i="7"/>
  <c r="W515" i="7"/>
  <c r="V515" i="7"/>
  <c r="U515" i="7"/>
  <c r="T515" i="7"/>
  <c r="S515" i="7"/>
  <c r="R515" i="7"/>
  <c r="Q515" i="7"/>
  <c r="AM514" i="7"/>
  <c r="AR514" i="7" s="1"/>
  <c r="E88" i="8" s="1"/>
  <c r="AP511" i="7"/>
  <c r="AP520" i="7" s="1"/>
  <c r="AL511" i="7"/>
  <c r="AK511" i="7"/>
  <c r="AJ511" i="7"/>
  <c r="W511" i="7"/>
  <c r="V511" i="7"/>
  <c r="U511" i="7"/>
  <c r="T511" i="7"/>
  <c r="S511" i="7"/>
  <c r="R511" i="7"/>
  <c r="Q511" i="7"/>
  <c r="AM510" i="7"/>
  <c r="AL507" i="7"/>
  <c r="AK507" i="7"/>
  <c r="AJ507" i="7"/>
  <c r="AI507" i="7"/>
  <c r="AH507" i="7"/>
  <c r="W507" i="7"/>
  <c r="V507" i="7"/>
  <c r="U507" i="7"/>
  <c r="T507" i="7"/>
  <c r="S507" i="7"/>
  <c r="R507" i="7"/>
  <c r="Q507" i="7"/>
  <c r="AM506" i="7"/>
  <c r="AL502" i="7"/>
  <c r="AK502" i="7"/>
  <c r="AJ502" i="7"/>
  <c r="AI502" i="7"/>
  <c r="AH502" i="7"/>
  <c r="W502" i="7"/>
  <c r="V502" i="7"/>
  <c r="U502" i="7"/>
  <c r="T502" i="7"/>
  <c r="S502" i="7"/>
  <c r="R502" i="7"/>
  <c r="Q502" i="7"/>
  <c r="AM501" i="7"/>
  <c r="AR501" i="7" s="1"/>
  <c r="E84" i="8" s="1"/>
  <c r="AM500" i="7"/>
  <c r="AR500" i="7" s="1"/>
  <c r="E83" i="8" s="1"/>
  <c r="AP495" i="7"/>
  <c r="AM495" i="7"/>
  <c r="AF495" i="7"/>
  <c r="AE495" i="7"/>
  <c r="AD495" i="7"/>
  <c r="W495" i="7"/>
  <c r="V495" i="7"/>
  <c r="U495" i="7"/>
  <c r="T495" i="7"/>
  <c r="S495" i="7"/>
  <c r="R495" i="7"/>
  <c r="Q495" i="7"/>
  <c r="AP491" i="7"/>
  <c r="AL491" i="7"/>
  <c r="AK491" i="7"/>
  <c r="AJ491" i="7"/>
  <c r="AI491" i="7"/>
  <c r="AH491" i="7"/>
  <c r="AF491" i="7"/>
  <c r="AE491" i="7"/>
  <c r="AD491" i="7"/>
  <c r="AC491" i="7"/>
  <c r="AC496" i="7" s="1"/>
  <c r="W491" i="7"/>
  <c r="V491" i="7"/>
  <c r="U491" i="7"/>
  <c r="T491" i="7"/>
  <c r="S491" i="7"/>
  <c r="R491" i="7"/>
  <c r="Q491" i="7"/>
  <c r="AM490" i="7"/>
  <c r="AR490" i="7" s="1"/>
  <c r="AM488" i="7"/>
  <c r="AR488" i="7" s="1"/>
  <c r="W485" i="7"/>
  <c r="V485" i="7"/>
  <c r="U485" i="7"/>
  <c r="T485" i="7"/>
  <c r="S485" i="7"/>
  <c r="R485" i="7"/>
  <c r="Q485" i="7"/>
  <c r="AM482" i="7"/>
  <c r="AP479" i="7"/>
  <c r="AO479" i="7"/>
  <c r="AO496" i="7" s="1"/>
  <c r="AO530" i="7" s="1"/>
  <c r="AO531" i="7" s="1"/>
  <c r="AL479" i="7"/>
  <c r="AK479" i="7"/>
  <c r="AJ479" i="7"/>
  <c r="AI479" i="7"/>
  <c r="AH479" i="7"/>
  <c r="AF479" i="7"/>
  <c r="AE479" i="7"/>
  <c r="W479" i="7"/>
  <c r="V479" i="7"/>
  <c r="U479" i="7"/>
  <c r="T479" i="7"/>
  <c r="S479" i="7"/>
  <c r="R479" i="7"/>
  <c r="Q479" i="7"/>
  <c r="AM478" i="7"/>
  <c r="AR478" i="7" s="1"/>
  <c r="E79" i="8" s="1"/>
  <c r="AP473" i="7"/>
  <c r="AP474" i="7" s="1"/>
  <c r="AL473" i="7"/>
  <c r="AL474" i="7" s="1"/>
  <c r="AK473" i="7"/>
  <c r="AK474" i="7" s="1"/>
  <c r="AJ473" i="7"/>
  <c r="AJ474" i="7" s="1"/>
  <c r="AI473" i="7"/>
  <c r="AI474" i="7" s="1"/>
  <c r="AF473" i="7"/>
  <c r="AF474" i="7" s="1"/>
  <c r="AE473" i="7"/>
  <c r="AE474" i="7" s="1"/>
  <c r="AD473" i="7"/>
  <c r="AD474" i="7" s="1"/>
  <c r="AC473" i="7"/>
  <c r="AC474" i="7" s="1"/>
  <c r="AA473" i="7"/>
  <c r="AA474" i="7" s="1"/>
  <c r="AA530" i="7" s="1"/>
  <c r="AA531" i="7" s="1"/>
  <c r="Z473" i="7"/>
  <c r="Z474" i="7" s="1"/>
  <c r="Z530" i="7" s="1"/>
  <c r="Z531" i="7" s="1"/>
  <c r="Y473" i="7"/>
  <c r="Y474" i="7" s="1"/>
  <c r="Y530" i="7" s="1"/>
  <c r="Y531" i="7" s="1"/>
  <c r="X473" i="7"/>
  <c r="X474" i="7" s="1"/>
  <c r="X530" i="7" s="1"/>
  <c r="X531" i="7" s="1"/>
  <c r="W473" i="7"/>
  <c r="W474" i="7" s="1"/>
  <c r="V473" i="7"/>
  <c r="V474" i="7" s="1"/>
  <c r="U473" i="7"/>
  <c r="U474" i="7" s="1"/>
  <c r="T473" i="7"/>
  <c r="T474" i="7" s="1"/>
  <c r="S473" i="7"/>
  <c r="S474" i="7" s="1"/>
  <c r="R473" i="7"/>
  <c r="R474" i="7" s="1"/>
  <c r="Q473" i="7"/>
  <c r="AM471" i="7"/>
  <c r="AR471" i="7" s="1"/>
  <c r="E78" i="8" s="1"/>
  <c r="Z463" i="7"/>
  <c r="Y463" i="7"/>
  <c r="X463" i="7"/>
  <c r="AE462" i="7"/>
  <c r="AE463" i="7" s="1"/>
  <c r="AD462" i="7"/>
  <c r="AD463" i="7" s="1"/>
  <c r="AC462" i="7"/>
  <c r="AC463" i="7" s="1"/>
  <c r="AA463" i="7"/>
  <c r="W462" i="7"/>
  <c r="W463" i="7" s="1"/>
  <c r="V462" i="7"/>
  <c r="V463" i="7" s="1"/>
  <c r="U462" i="7"/>
  <c r="U463" i="7" s="1"/>
  <c r="T462" i="7"/>
  <c r="T463" i="7" s="1"/>
  <c r="S462" i="7"/>
  <c r="S463" i="7" s="1"/>
  <c r="R462" i="7"/>
  <c r="R463" i="7" s="1"/>
  <c r="Q462" i="7"/>
  <c r="AP456" i="7"/>
  <c r="AO456" i="7"/>
  <c r="AM456" i="7"/>
  <c r="AL456" i="7"/>
  <c r="AK456" i="7"/>
  <c r="AJ456" i="7"/>
  <c r="AI456" i="7"/>
  <c r="AH456" i="7"/>
  <c r="AE456" i="7"/>
  <c r="AD456" i="7"/>
  <c r="AA456" i="7"/>
  <c r="Z456" i="7"/>
  <c r="Y456" i="7"/>
  <c r="X456" i="7"/>
  <c r="W456" i="7"/>
  <c r="V456" i="7"/>
  <c r="U456" i="7"/>
  <c r="T456" i="7"/>
  <c r="S456" i="7"/>
  <c r="R456" i="7"/>
  <c r="Q456" i="7"/>
  <c r="W451" i="7"/>
  <c r="V451" i="7"/>
  <c r="U451" i="7"/>
  <c r="T451" i="7"/>
  <c r="S451" i="7"/>
  <c r="R451" i="7"/>
  <c r="Q451" i="7"/>
  <c r="AP447" i="7"/>
  <c r="AO447" i="7"/>
  <c r="AM447" i="7"/>
  <c r="AL447" i="7"/>
  <c r="AK447" i="7"/>
  <c r="AJ447" i="7"/>
  <c r="AI447" i="7"/>
  <c r="AH447" i="7"/>
  <c r="AF447" i="7"/>
  <c r="AE447" i="7"/>
  <c r="AD447" i="7"/>
  <c r="AC447" i="7"/>
  <c r="AA447" i="7"/>
  <c r="Z447" i="7"/>
  <c r="Y447" i="7"/>
  <c r="X447" i="7"/>
  <c r="W447" i="7"/>
  <c r="V447" i="7"/>
  <c r="U447" i="7"/>
  <c r="T447" i="7"/>
  <c r="S447" i="7"/>
  <c r="R447" i="7"/>
  <c r="Q447" i="7"/>
  <c r="AP443" i="7"/>
  <c r="AO443" i="7"/>
  <c r="AM443" i="7"/>
  <c r="AL443" i="7"/>
  <c r="AK443" i="7"/>
  <c r="AJ443" i="7"/>
  <c r="AI443" i="7"/>
  <c r="AH443" i="7"/>
  <c r="AF443" i="7"/>
  <c r="AE443" i="7"/>
  <c r="AD443" i="7"/>
  <c r="AC443" i="7"/>
  <c r="AA443" i="7"/>
  <c r="Z443" i="7"/>
  <c r="Y443" i="7"/>
  <c r="X443" i="7"/>
  <c r="W443" i="7"/>
  <c r="V443" i="7"/>
  <c r="U443" i="7"/>
  <c r="T443" i="7"/>
  <c r="S443" i="7"/>
  <c r="R443" i="7"/>
  <c r="Q443" i="7"/>
  <c r="AP436" i="7"/>
  <c r="AO436" i="7"/>
  <c r="AM436" i="7"/>
  <c r="AL436" i="7"/>
  <c r="AK436" i="7"/>
  <c r="AJ436" i="7"/>
  <c r="AI436" i="7"/>
  <c r="AH436" i="7"/>
  <c r="AF436" i="7"/>
  <c r="AE436" i="7"/>
  <c r="AD436" i="7"/>
  <c r="AC436" i="7"/>
  <c r="AA436" i="7"/>
  <c r="Z436" i="7"/>
  <c r="Z437" i="7" s="1"/>
  <c r="Y436" i="7"/>
  <c r="Y437" i="7" s="1"/>
  <c r="X436" i="7"/>
  <c r="X437" i="7" s="1"/>
  <c r="W436" i="7"/>
  <c r="V436" i="7"/>
  <c r="U436" i="7"/>
  <c r="T436" i="7"/>
  <c r="S436" i="7"/>
  <c r="R436" i="7"/>
  <c r="Q436" i="7"/>
  <c r="AP428" i="7"/>
  <c r="AO428" i="7"/>
  <c r="AM428" i="7"/>
  <c r="AL428" i="7"/>
  <c r="AK428" i="7"/>
  <c r="AJ428" i="7"/>
  <c r="AI428" i="7"/>
  <c r="AH428" i="7"/>
  <c r="AF428" i="7"/>
  <c r="AE428" i="7"/>
  <c r="AD428" i="7"/>
  <c r="AC428" i="7"/>
  <c r="AA428" i="7"/>
  <c r="W428" i="7"/>
  <c r="V428" i="7"/>
  <c r="U428" i="7"/>
  <c r="T428" i="7"/>
  <c r="S428" i="7"/>
  <c r="R428" i="7"/>
  <c r="Q428" i="7"/>
  <c r="AP418" i="7"/>
  <c r="AO418" i="7"/>
  <c r="AM418" i="7"/>
  <c r="AL418" i="7"/>
  <c r="AK418" i="7"/>
  <c r="AJ418" i="7"/>
  <c r="AI418" i="7"/>
  <c r="AH418" i="7"/>
  <c r="AE418" i="7"/>
  <c r="AD418" i="7"/>
  <c r="AC418" i="7"/>
  <c r="AA418" i="7"/>
  <c r="Z418" i="7"/>
  <c r="Y418" i="7"/>
  <c r="X418" i="7"/>
  <c r="W418" i="7"/>
  <c r="V418" i="7"/>
  <c r="U418" i="7"/>
  <c r="T418" i="7"/>
  <c r="S418" i="7"/>
  <c r="R418" i="7"/>
  <c r="Q418" i="7"/>
  <c r="AP414" i="7"/>
  <c r="AO414" i="7"/>
  <c r="AL414" i="7"/>
  <c r="AK414" i="7"/>
  <c r="AJ414" i="7"/>
  <c r="AI414" i="7"/>
  <c r="AH414" i="7"/>
  <c r="AF414" i="7"/>
  <c r="AE414" i="7"/>
  <c r="AD414" i="7"/>
  <c r="AC414" i="7"/>
  <c r="AA414" i="7"/>
  <c r="Z414" i="7"/>
  <c r="Y414" i="7"/>
  <c r="X414" i="7"/>
  <c r="W414" i="7"/>
  <c r="V414" i="7"/>
  <c r="U414" i="7"/>
  <c r="T414" i="7"/>
  <c r="S414" i="7"/>
  <c r="R414" i="7"/>
  <c r="Q414" i="7"/>
  <c r="AR412" i="7"/>
  <c r="E69" i="8" s="1"/>
  <c r="AP407" i="7"/>
  <c r="AO407" i="7"/>
  <c r="AM407" i="7"/>
  <c r="AL407" i="7"/>
  <c r="AK407" i="7"/>
  <c r="AJ407" i="7"/>
  <c r="AI407" i="7"/>
  <c r="AH407" i="7"/>
  <c r="AF407" i="7"/>
  <c r="AE407" i="7"/>
  <c r="AD407" i="7"/>
  <c r="AC407" i="7"/>
  <c r="AA407" i="7"/>
  <c r="Z407" i="7"/>
  <c r="Y407" i="7"/>
  <c r="V407" i="7"/>
  <c r="U407" i="7"/>
  <c r="T407" i="7"/>
  <c r="S407" i="7"/>
  <c r="R407" i="7"/>
  <c r="Q407" i="7"/>
  <c r="AP394" i="7"/>
  <c r="AO394" i="7"/>
  <c r="AM394" i="7"/>
  <c r="AL394" i="7"/>
  <c r="AK394" i="7"/>
  <c r="AJ394" i="7"/>
  <c r="AI394" i="7"/>
  <c r="AH394" i="7"/>
  <c r="AF394" i="7"/>
  <c r="AE394" i="7"/>
  <c r="AD394" i="7"/>
  <c r="AC394" i="7"/>
  <c r="AA394" i="7"/>
  <c r="Z394" i="7"/>
  <c r="Y394" i="7"/>
  <c r="X394" i="7"/>
  <c r="V394" i="7"/>
  <c r="U394" i="7"/>
  <c r="T394" i="7"/>
  <c r="S394" i="7"/>
  <c r="R394" i="7"/>
  <c r="Q394" i="7"/>
  <c r="AP381" i="7"/>
  <c r="AO381" i="7"/>
  <c r="AN381" i="7"/>
  <c r="AN382" i="7" s="1"/>
  <c r="AN464" i="7" s="1"/>
  <c r="AN465" i="7" s="1"/>
  <c r="AM381" i="7"/>
  <c r="AL381" i="7"/>
  <c r="AK381" i="7"/>
  <c r="AJ381" i="7"/>
  <c r="AI381" i="7"/>
  <c r="AH381" i="7"/>
  <c r="AG381" i="7"/>
  <c r="AG382" i="7" s="1"/>
  <c r="AG464" i="7" s="1"/>
  <c r="AG465" i="7" s="1"/>
  <c r="AF381" i="7"/>
  <c r="AD381" i="7"/>
  <c r="AC381" i="7"/>
  <c r="AA381" i="7"/>
  <c r="Z381" i="7"/>
  <c r="Y381" i="7"/>
  <c r="X381" i="7"/>
  <c r="W381" i="7"/>
  <c r="V381" i="7"/>
  <c r="U381" i="7"/>
  <c r="T381" i="7"/>
  <c r="S381" i="7"/>
  <c r="R381" i="7"/>
  <c r="Q381" i="7"/>
  <c r="AE381" i="7"/>
  <c r="AP377" i="7"/>
  <c r="AO377" i="7"/>
  <c r="AM377" i="7"/>
  <c r="AL377" i="7"/>
  <c r="AK377" i="7"/>
  <c r="AJ377" i="7"/>
  <c r="AI377" i="7"/>
  <c r="AH377" i="7"/>
  <c r="AF377" i="7"/>
  <c r="AE377" i="7"/>
  <c r="AD377" i="7"/>
  <c r="AC377" i="7"/>
  <c r="AA377" i="7"/>
  <c r="Z377" i="7"/>
  <c r="Y377" i="7"/>
  <c r="X377" i="7"/>
  <c r="W377" i="7"/>
  <c r="V377" i="7"/>
  <c r="U377" i="7"/>
  <c r="T377" i="7"/>
  <c r="S377" i="7"/>
  <c r="R377" i="7"/>
  <c r="Q377" i="7"/>
  <c r="AP368" i="7"/>
  <c r="AO368" i="7"/>
  <c r="AL368" i="7"/>
  <c r="AJ368" i="7"/>
  <c r="AI368" i="7"/>
  <c r="AF368" i="7"/>
  <c r="AE368" i="7"/>
  <c r="AD368" i="7"/>
  <c r="AD382" i="7" s="1"/>
  <c r="AC368" i="7"/>
  <c r="AA368" i="7"/>
  <c r="Z368" i="7"/>
  <c r="Y368" i="7"/>
  <c r="X368" i="7"/>
  <c r="V368" i="7"/>
  <c r="U368" i="7"/>
  <c r="T368" i="7"/>
  <c r="S368" i="7"/>
  <c r="R368" i="7"/>
  <c r="Q368" i="7"/>
  <c r="AK368" i="7"/>
  <c r="AM368" i="7"/>
  <c r="Z357" i="7"/>
  <c r="Z358" i="7" s="1"/>
  <c r="Z359" i="7" s="1"/>
  <c r="Y357" i="7"/>
  <c r="Y358" i="7" s="1"/>
  <c r="Y359" i="7" s="1"/>
  <c r="X357" i="7"/>
  <c r="X358" i="7" s="1"/>
  <c r="X359" i="7" s="1"/>
  <c r="AP356" i="7"/>
  <c r="AP357" i="7" s="1"/>
  <c r="AO356" i="7"/>
  <c r="AO357" i="7" s="1"/>
  <c r="AN356" i="7"/>
  <c r="AN357" i="7" s="1"/>
  <c r="AN358" i="7" s="1"/>
  <c r="AN359" i="7" s="1"/>
  <c r="AL356" i="7"/>
  <c r="AL357" i="7" s="1"/>
  <c r="AK356" i="7"/>
  <c r="AK357" i="7" s="1"/>
  <c r="AJ356" i="7"/>
  <c r="AJ357" i="7" s="1"/>
  <c r="AI356" i="7"/>
  <c r="AI357" i="7" s="1"/>
  <c r="AH356" i="7"/>
  <c r="AH357" i="7" s="1"/>
  <c r="AF356" i="7"/>
  <c r="AF357" i="7" s="1"/>
  <c r="AE356" i="7"/>
  <c r="AE357" i="7" s="1"/>
  <c r="AD356" i="7"/>
  <c r="AD357" i="7" s="1"/>
  <c r="AC356" i="7"/>
  <c r="AC357" i="7" s="1"/>
  <c r="AA356" i="7"/>
  <c r="AA357" i="7" s="1"/>
  <c r="W356" i="7"/>
  <c r="W357" i="7" s="1"/>
  <c r="V356" i="7"/>
  <c r="V357" i="7" s="1"/>
  <c r="U356" i="7"/>
  <c r="U357" i="7" s="1"/>
  <c r="T356" i="7"/>
  <c r="T357" i="7" s="1"/>
  <c r="S356" i="7"/>
  <c r="S357" i="7" s="1"/>
  <c r="R356" i="7"/>
  <c r="R357" i="7" s="1"/>
  <c r="Q356" i="7"/>
  <c r="AM355" i="7"/>
  <c r="AR355" i="7" s="1"/>
  <c r="E61" i="8" s="1"/>
  <c r="AP350" i="7"/>
  <c r="AP351" i="7" s="1"/>
  <c r="AO350" i="7"/>
  <c r="AO351" i="7" s="1"/>
  <c r="AL350" i="7"/>
  <c r="AL351" i="7" s="1"/>
  <c r="AK350" i="7"/>
  <c r="AK351" i="7" s="1"/>
  <c r="AJ350" i="7"/>
  <c r="AJ351" i="7" s="1"/>
  <c r="AI350" i="7"/>
  <c r="AI351" i="7" s="1"/>
  <c r="AH350" i="7"/>
  <c r="AH351" i="7" s="1"/>
  <c r="AF350" i="7"/>
  <c r="AF351" i="7" s="1"/>
  <c r="AE350" i="7"/>
  <c r="AE351" i="7" s="1"/>
  <c r="AD350" i="7"/>
  <c r="AD351" i="7" s="1"/>
  <c r="AC350" i="7"/>
  <c r="AC351" i="7" s="1"/>
  <c r="AA350" i="7"/>
  <c r="AA351" i="7" s="1"/>
  <c r="W350" i="7"/>
  <c r="W351" i="7" s="1"/>
  <c r="V350" i="7"/>
  <c r="V351" i="7" s="1"/>
  <c r="U350" i="7"/>
  <c r="U351" i="7" s="1"/>
  <c r="T350" i="7"/>
  <c r="T351" i="7" s="1"/>
  <c r="S350" i="7"/>
  <c r="S351" i="7" s="1"/>
  <c r="R350" i="7"/>
  <c r="R351" i="7" s="1"/>
  <c r="Q350" i="7"/>
  <c r="AP339" i="7"/>
  <c r="AP340" i="7" s="1"/>
  <c r="AP341" i="7" s="1"/>
  <c r="AO339" i="7"/>
  <c r="AO340" i="7" s="1"/>
  <c r="AO341" i="7" s="1"/>
  <c r="AN339" i="7"/>
  <c r="AN340" i="7" s="1"/>
  <c r="AN341" i="7" s="1"/>
  <c r="AL339" i="7"/>
  <c r="AL340" i="7" s="1"/>
  <c r="AL341" i="7" s="1"/>
  <c r="AK339" i="7"/>
  <c r="AK340" i="7" s="1"/>
  <c r="AK341" i="7" s="1"/>
  <c r="AJ339" i="7"/>
  <c r="AJ340" i="7" s="1"/>
  <c r="AJ341" i="7" s="1"/>
  <c r="AI339" i="7"/>
  <c r="AI340" i="7" s="1"/>
  <c r="AI341" i="7" s="1"/>
  <c r="AH339" i="7"/>
  <c r="AH340" i="7" s="1"/>
  <c r="AH341" i="7" s="1"/>
  <c r="AG339" i="7"/>
  <c r="AG340" i="7" s="1"/>
  <c r="AG341" i="7" s="1"/>
  <c r="AF339" i="7"/>
  <c r="AF340" i="7" s="1"/>
  <c r="AF341" i="7" s="1"/>
  <c r="AE339" i="7"/>
  <c r="AE340" i="7" s="1"/>
  <c r="AE341" i="7" s="1"/>
  <c r="AD339" i="7"/>
  <c r="AD340" i="7" s="1"/>
  <c r="AD341" i="7" s="1"/>
  <c r="AC339" i="7"/>
  <c r="AC340" i="7" s="1"/>
  <c r="AC341" i="7" s="1"/>
  <c r="AB339" i="7"/>
  <c r="AB340" i="7" s="1"/>
  <c r="AB341" i="7" s="1"/>
  <c r="AA339" i="7"/>
  <c r="AA340" i="7" s="1"/>
  <c r="AA341" i="7" s="1"/>
  <c r="Z339" i="7"/>
  <c r="Z340" i="7" s="1"/>
  <c r="Z341" i="7" s="1"/>
  <c r="Y339" i="7"/>
  <c r="Y340" i="7" s="1"/>
  <c r="Y341" i="7" s="1"/>
  <c r="X339" i="7"/>
  <c r="X340" i="7" s="1"/>
  <c r="X341" i="7" s="1"/>
  <c r="W339" i="7"/>
  <c r="W340" i="7" s="1"/>
  <c r="W341" i="7" s="1"/>
  <c r="V339" i="7"/>
  <c r="V340" i="7" s="1"/>
  <c r="V341" i="7" s="1"/>
  <c r="U339" i="7"/>
  <c r="U340" i="7" s="1"/>
  <c r="U341" i="7" s="1"/>
  <c r="T339" i="7"/>
  <c r="T340" i="7" s="1"/>
  <c r="T341" i="7" s="1"/>
  <c r="S339" i="7"/>
  <c r="S340" i="7" s="1"/>
  <c r="S341" i="7" s="1"/>
  <c r="R339" i="7"/>
  <c r="R340" i="7" s="1"/>
  <c r="R341" i="7" s="1"/>
  <c r="Q339" i="7"/>
  <c r="AP327" i="7"/>
  <c r="AO327" i="7"/>
  <c r="AN327" i="7"/>
  <c r="AL327" i="7"/>
  <c r="AK327" i="7"/>
  <c r="AJ327" i="7"/>
  <c r="AI327" i="7"/>
  <c r="AH327" i="7"/>
  <c r="AG327" i="7"/>
  <c r="AF327" i="7"/>
  <c r="AE327" i="7"/>
  <c r="AD327" i="7"/>
  <c r="AC327" i="7"/>
  <c r="AB327" i="7"/>
  <c r="AA327" i="7"/>
  <c r="Z327" i="7"/>
  <c r="Y327" i="7"/>
  <c r="X327" i="7"/>
  <c r="W327" i="7"/>
  <c r="V327" i="7"/>
  <c r="U327" i="7"/>
  <c r="T327" i="7"/>
  <c r="S327" i="7"/>
  <c r="R327" i="7"/>
  <c r="Q327" i="7"/>
  <c r="AM326" i="7"/>
  <c r="AR326" i="7" s="1"/>
  <c r="AM325" i="7"/>
  <c r="AR325" i="7" s="1"/>
  <c r="AM324" i="7"/>
  <c r="AR324" i="7" s="1"/>
  <c r="AP321" i="7"/>
  <c r="AO321" i="7"/>
  <c r="AN321" i="7"/>
  <c r="AL321" i="7"/>
  <c r="AK321" i="7"/>
  <c r="AJ321" i="7"/>
  <c r="AI321" i="7"/>
  <c r="AH321" i="7"/>
  <c r="AG321" i="7"/>
  <c r="AF321" i="7"/>
  <c r="AE321" i="7"/>
  <c r="AD321" i="7"/>
  <c r="AC321" i="7"/>
  <c r="AB321" i="7"/>
  <c r="AA321" i="7"/>
  <c r="Z321" i="7"/>
  <c r="Y321" i="7"/>
  <c r="X321" i="7"/>
  <c r="W321" i="7"/>
  <c r="V321" i="7"/>
  <c r="U321" i="7"/>
  <c r="T321" i="7"/>
  <c r="S321" i="7"/>
  <c r="R321" i="7"/>
  <c r="Q321" i="7"/>
  <c r="AM320" i="7"/>
  <c r="AR320" i="7" s="1"/>
  <c r="AM319" i="7"/>
  <c r="AR319" i="7" s="1"/>
  <c r="AM318" i="7"/>
  <c r="AR318" i="7" s="1"/>
  <c r="AM317" i="7"/>
  <c r="AR317" i="7" s="1"/>
  <c r="AP314" i="7"/>
  <c r="AO314" i="7"/>
  <c r="AN314" i="7"/>
  <c r="AL314" i="7"/>
  <c r="AK314" i="7"/>
  <c r="AJ314" i="7"/>
  <c r="AI314" i="7"/>
  <c r="AH314" i="7"/>
  <c r="AG314" i="7"/>
  <c r="AF314" i="7"/>
  <c r="AE314" i="7"/>
  <c r="AD314" i="7"/>
  <c r="AC314" i="7"/>
  <c r="AB314" i="7"/>
  <c r="AA314" i="7"/>
  <c r="Z314" i="7"/>
  <c r="Y314" i="7"/>
  <c r="X314" i="7"/>
  <c r="W314" i="7"/>
  <c r="V314" i="7"/>
  <c r="U314" i="7"/>
  <c r="T314" i="7"/>
  <c r="S314" i="7"/>
  <c r="R314" i="7"/>
  <c r="Q314" i="7"/>
  <c r="AM313" i="7"/>
  <c r="AR313" i="7" s="1"/>
  <c r="E123" i="8" s="1"/>
  <c r="AM308" i="7"/>
  <c r="AR308" i="7" s="1"/>
  <c r="E124" i="8" s="1"/>
  <c r="AP307" i="7"/>
  <c r="AO307" i="7"/>
  <c r="AP305" i="7"/>
  <c r="AO305" i="7"/>
  <c r="AN305" i="7"/>
  <c r="AM305" i="7"/>
  <c r="AL305" i="7"/>
  <c r="AK305" i="7"/>
  <c r="AJ305" i="7"/>
  <c r="AI305" i="7"/>
  <c r="AH305" i="7"/>
  <c r="AG305" i="7"/>
  <c r="AF305" i="7"/>
  <c r="AE305" i="7"/>
  <c r="AD305" i="7"/>
  <c r="AC305" i="7"/>
  <c r="AB305" i="7"/>
  <c r="AA305" i="7"/>
  <c r="Z305" i="7"/>
  <c r="Y305" i="7"/>
  <c r="X305" i="7"/>
  <c r="W305" i="7"/>
  <c r="V305" i="7"/>
  <c r="U305" i="7"/>
  <c r="T305" i="7"/>
  <c r="S305" i="7"/>
  <c r="R305" i="7"/>
  <c r="Q305" i="7"/>
  <c r="AP294" i="7"/>
  <c r="AO294" i="7"/>
  <c r="AN294" i="7"/>
  <c r="AL294" i="7"/>
  <c r="AK294" i="7"/>
  <c r="AJ294" i="7"/>
  <c r="AI294" i="7"/>
  <c r="AH294" i="7"/>
  <c r="AG294" i="7"/>
  <c r="AF294" i="7"/>
  <c r="AE294" i="7"/>
  <c r="AD294" i="7"/>
  <c r="AC294" i="7"/>
  <c r="AB294" i="7"/>
  <c r="AA294" i="7"/>
  <c r="Z294" i="7"/>
  <c r="Y294" i="7"/>
  <c r="X294" i="7"/>
  <c r="W294" i="7"/>
  <c r="V294" i="7"/>
  <c r="U294" i="7"/>
  <c r="T294" i="7"/>
  <c r="S294" i="7"/>
  <c r="R294" i="7"/>
  <c r="Q294" i="7"/>
  <c r="AM289" i="7"/>
  <c r="AR289" i="7" s="1"/>
  <c r="E56" i="8" s="1"/>
  <c r="AM288" i="7"/>
  <c r="AR288" i="7" s="1"/>
  <c r="E55" i="8" s="1"/>
  <c r="AP285" i="7"/>
  <c r="AO285" i="7"/>
  <c r="AN285" i="7"/>
  <c r="AL285" i="7"/>
  <c r="AK285" i="7"/>
  <c r="AJ285" i="7"/>
  <c r="AI285" i="7"/>
  <c r="AH285" i="7"/>
  <c r="AG285" i="7"/>
  <c r="AF285" i="7"/>
  <c r="AE285" i="7"/>
  <c r="AD285" i="7"/>
  <c r="AC285" i="7"/>
  <c r="AB285" i="7"/>
  <c r="AA285" i="7"/>
  <c r="Z285" i="7"/>
  <c r="Y285" i="7"/>
  <c r="X285" i="7"/>
  <c r="W285" i="7"/>
  <c r="V285" i="7"/>
  <c r="U285" i="7"/>
  <c r="T285" i="7"/>
  <c r="S285" i="7"/>
  <c r="R285" i="7"/>
  <c r="Q285" i="7"/>
  <c r="AM284" i="7"/>
  <c r="AR284" i="7" s="1"/>
  <c r="AM283" i="7"/>
  <c r="AR283" i="7" s="1"/>
  <c r="AP280" i="7"/>
  <c r="AO280" i="7"/>
  <c r="AN280" i="7"/>
  <c r="AL280" i="7"/>
  <c r="AK280" i="7"/>
  <c r="AJ280" i="7"/>
  <c r="AI280" i="7"/>
  <c r="AH280" i="7"/>
  <c r="AG280" i="7"/>
  <c r="AF280" i="7"/>
  <c r="AE280" i="7"/>
  <c r="AD280" i="7"/>
  <c r="AC280" i="7"/>
  <c r="AB280" i="7"/>
  <c r="AA280" i="7"/>
  <c r="Z280" i="7"/>
  <c r="Y280" i="7"/>
  <c r="X280" i="7"/>
  <c r="W280" i="7"/>
  <c r="V280" i="7"/>
  <c r="U280" i="7"/>
  <c r="T280" i="7"/>
  <c r="S280" i="7"/>
  <c r="R280" i="7"/>
  <c r="Q280" i="7"/>
  <c r="AM279" i="7"/>
  <c r="AR279" i="7" s="1"/>
  <c r="AM278" i="7"/>
  <c r="AR278" i="7" s="1"/>
  <c r="AM276" i="7"/>
  <c r="AR276" i="7" s="1"/>
  <c r="AM275" i="7"/>
  <c r="AR275" i="7" s="1"/>
  <c r="AM274" i="7"/>
  <c r="AR274" i="7" s="1"/>
  <c r="AP265" i="7"/>
  <c r="AN265" i="7"/>
  <c r="AL265" i="7"/>
  <c r="AK265" i="7"/>
  <c r="AJ265" i="7"/>
  <c r="AI265" i="7"/>
  <c r="AH265" i="7"/>
  <c r="AG265" i="7"/>
  <c r="AF265" i="7"/>
  <c r="AE265" i="7"/>
  <c r="AD265" i="7"/>
  <c r="AC265" i="7"/>
  <c r="AB265" i="7"/>
  <c r="AA265" i="7"/>
  <c r="Z265" i="7"/>
  <c r="Y265" i="7"/>
  <c r="X265" i="7"/>
  <c r="W265" i="7"/>
  <c r="V265" i="7"/>
  <c r="U265" i="7"/>
  <c r="T265" i="7"/>
  <c r="S265" i="7"/>
  <c r="R265" i="7"/>
  <c r="Q265" i="7"/>
  <c r="AO264" i="7"/>
  <c r="AM265" i="7"/>
  <c r="AP261" i="7"/>
  <c r="AO261" i="7"/>
  <c r="AN261" i="7"/>
  <c r="AL261" i="7"/>
  <c r="AK261" i="7"/>
  <c r="AJ261" i="7"/>
  <c r="AI261" i="7"/>
  <c r="AH261" i="7"/>
  <c r="AG261" i="7"/>
  <c r="AF261" i="7"/>
  <c r="AE261" i="7"/>
  <c r="AD261" i="7"/>
  <c r="AC261" i="7"/>
  <c r="AB261" i="7"/>
  <c r="AA261" i="7"/>
  <c r="Z261" i="7"/>
  <c r="Y261" i="7"/>
  <c r="X261" i="7"/>
  <c r="W261" i="7"/>
  <c r="V261" i="7"/>
  <c r="U261" i="7"/>
  <c r="T261" i="7"/>
  <c r="S261" i="7"/>
  <c r="R261" i="7"/>
  <c r="Q261" i="7"/>
  <c r="AM260" i="7"/>
  <c r="AR260" i="7" s="1"/>
  <c r="E51" i="8" s="1"/>
  <c r="AR256" i="7"/>
  <c r="AP250" i="7"/>
  <c r="AO250" i="7"/>
  <c r="AN250" i="7"/>
  <c r="AL250" i="7"/>
  <c r="AK250" i="7"/>
  <c r="AJ250" i="7"/>
  <c r="AI250" i="7"/>
  <c r="AH250" i="7"/>
  <c r="AG250" i="7"/>
  <c r="AF250" i="7"/>
  <c r="AE250" i="7"/>
  <c r="AD250" i="7"/>
  <c r="AC250" i="7"/>
  <c r="AB250" i="7"/>
  <c r="AA250" i="7"/>
  <c r="Z250" i="7"/>
  <c r="Y250" i="7"/>
  <c r="X250" i="7"/>
  <c r="W250" i="7"/>
  <c r="V250" i="7"/>
  <c r="U250" i="7"/>
  <c r="T250" i="7"/>
  <c r="S250" i="7"/>
  <c r="R250" i="7"/>
  <c r="Q250" i="7"/>
  <c r="AR249" i="7"/>
  <c r="AM248" i="7"/>
  <c r="AR248" i="7" s="1"/>
  <c r="AR247" i="7"/>
  <c r="AP244" i="7"/>
  <c r="AO244" i="7"/>
  <c r="AN244" i="7"/>
  <c r="AL244" i="7"/>
  <c r="AK244" i="7"/>
  <c r="AJ244" i="7"/>
  <c r="AI244" i="7"/>
  <c r="AH244" i="7"/>
  <c r="AG244" i="7"/>
  <c r="AF244" i="7"/>
  <c r="AE244" i="7"/>
  <c r="AD244" i="7"/>
  <c r="AC244" i="7"/>
  <c r="AB244" i="7"/>
  <c r="AA244" i="7"/>
  <c r="Z244" i="7"/>
  <c r="Y244" i="7"/>
  <c r="X244" i="7"/>
  <c r="W244" i="7"/>
  <c r="V244" i="7"/>
  <c r="U244" i="7"/>
  <c r="T244" i="7"/>
  <c r="S244" i="7"/>
  <c r="R244" i="7"/>
  <c r="Q244" i="7"/>
  <c r="AM243" i="7"/>
  <c r="AR243" i="7" s="1"/>
  <c r="AM242" i="7"/>
  <c r="AR242" i="7" s="1"/>
  <c r="AM241" i="7"/>
  <c r="AR241" i="7" s="1"/>
  <c r="AM240" i="7"/>
  <c r="AR240" i="7" s="1"/>
  <c r="AP237" i="7"/>
  <c r="AO237" i="7"/>
  <c r="AN237" i="7"/>
  <c r="AL237" i="7"/>
  <c r="AK237" i="7"/>
  <c r="AJ237" i="7"/>
  <c r="AI237" i="7"/>
  <c r="AH237" i="7"/>
  <c r="AG237" i="7"/>
  <c r="AF237" i="7"/>
  <c r="AE237" i="7"/>
  <c r="AD237" i="7"/>
  <c r="AC237" i="7"/>
  <c r="AB237" i="7"/>
  <c r="AA237" i="7"/>
  <c r="Z237" i="7"/>
  <c r="Y237" i="7"/>
  <c r="X237" i="7"/>
  <c r="W237" i="7"/>
  <c r="V237" i="7"/>
  <c r="U237" i="7"/>
  <c r="T237" i="7"/>
  <c r="S237" i="7"/>
  <c r="R237" i="7"/>
  <c r="Q237" i="7"/>
  <c r="AM236" i="7"/>
  <c r="AR236" i="7" s="1"/>
  <c r="AM235" i="7"/>
  <c r="AR235" i="7" s="1"/>
  <c r="AM234" i="7"/>
  <c r="AR234" i="7" s="1"/>
  <c r="AM233" i="7"/>
  <c r="AR233" i="7" s="1"/>
  <c r="AM232" i="7"/>
  <c r="AR232" i="7" s="1"/>
  <c r="AP223" i="7"/>
  <c r="AO223" i="7"/>
  <c r="AN223" i="7"/>
  <c r="AL223" i="7"/>
  <c r="AK223" i="7"/>
  <c r="AJ223" i="7"/>
  <c r="AI223" i="7"/>
  <c r="AH223" i="7"/>
  <c r="AG223" i="7"/>
  <c r="AF223" i="7"/>
  <c r="AE223" i="7"/>
  <c r="AD223" i="7"/>
  <c r="AC223" i="7"/>
  <c r="AB223" i="7"/>
  <c r="AA223" i="7"/>
  <c r="Z223" i="7"/>
  <c r="Y223" i="7"/>
  <c r="X223" i="7"/>
  <c r="W223" i="7"/>
  <c r="V223" i="7"/>
  <c r="U223" i="7"/>
  <c r="T223" i="7"/>
  <c r="S223" i="7"/>
  <c r="R223" i="7"/>
  <c r="Q223" i="7"/>
  <c r="AP218" i="7"/>
  <c r="AN218" i="7"/>
  <c r="AM218" i="7"/>
  <c r="AL218" i="7"/>
  <c r="AK218" i="7"/>
  <c r="AJ218" i="7"/>
  <c r="AI218" i="7"/>
  <c r="AH218" i="7"/>
  <c r="AG218" i="7"/>
  <c r="AF218" i="7"/>
  <c r="AE218" i="7"/>
  <c r="AD218" i="7"/>
  <c r="AC218" i="7"/>
  <c r="AB218" i="7"/>
  <c r="AA218" i="7"/>
  <c r="Z218" i="7"/>
  <c r="Y218" i="7"/>
  <c r="X218" i="7"/>
  <c r="W218" i="7"/>
  <c r="V218" i="7"/>
  <c r="U218" i="7"/>
  <c r="T218" i="7"/>
  <c r="S218" i="7"/>
  <c r="R218" i="7"/>
  <c r="Q218" i="7"/>
  <c r="AO217" i="7"/>
  <c r="AR217" i="7" s="1"/>
  <c r="E44" i="8" s="1"/>
  <c r="AP212" i="7"/>
  <c r="AO212" i="7"/>
  <c r="AN212" i="7"/>
  <c r="AM212" i="7"/>
  <c r="AL212" i="7"/>
  <c r="AK212" i="7"/>
  <c r="AJ212" i="7"/>
  <c r="AI212" i="7"/>
  <c r="AH212" i="7"/>
  <c r="AG212" i="7"/>
  <c r="AF212" i="7"/>
  <c r="AE212" i="7"/>
  <c r="AD212" i="7"/>
  <c r="AC212" i="7"/>
  <c r="AB212" i="7"/>
  <c r="AA212" i="7"/>
  <c r="Z212" i="7"/>
  <c r="Y212" i="7"/>
  <c r="X212" i="7"/>
  <c r="W212" i="7"/>
  <c r="V212" i="7"/>
  <c r="U212" i="7"/>
  <c r="T212" i="7"/>
  <c r="S212" i="7"/>
  <c r="R212" i="7"/>
  <c r="AP208" i="7"/>
  <c r="AO208" i="7"/>
  <c r="AN208" i="7"/>
  <c r="AL208" i="7"/>
  <c r="AK208" i="7"/>
  <c r="AJ208" i="7"/>
  <c r="AI208" i="7"/>
  <c r="AH208" i="7"/>
  <c r="AG208" i="7"/>
  <c r="AF208" i="7"/>
  <c r="AE208" i="7"/>
  <c r="AD208" i="7"/>
  <c r="AC208" i="7"/>
  <c r="AB208" i="7"/>
  <c r="AA208" i="7"/>
  <c r="Z208" i="7"/>
  <c r="Y208" i="7"/>
  <c r="X208" i="7"/>
  <c r="W208" i="7"/>
  <c r="V208" i="7"/>
  <c r="U208" i="7"/>
  <c r="T208" i="7"/>
  <c r="S208" i="7"/>
  <c r="R208" i="7"/>
  <c r="Q208" i="7"/>
  <c r="AM207" i="7"/>
  <c r="AP204" i="7"/>
  <c r="AO204" i="7"/>
  <c r="AN204" i="7"/>
  <c r="AL204" i="7"/>
  <c r="AK204" i="7"/>
  <c r="AJ204" i="7"/>
  <c r="AI204" i="7"/>
  <c r="AH204" i="7"/>
  <c r="AG204" i="7"/>
  <c r="AF204" i="7"/>
  <c r="AE204" i="7"/>
  <c r="AD204" i="7"/>
  <c r="AC204" i="7"/>
  <c r="AB204" i="7"/>
  <c r="AA204" i="7"/>
  <c r="Z204" i="7"/>
  <c r="Y204" i="7"/>
  <c r="X204" i="7"/>
  <c r="W204" i="7"/>
  <c r="V204" i="7"/>
  <c r="U204" i="7"/>
  <c r="T204" i="7"/>
  <c r="S204" i="7"/>
  <c r="R204" i="7"/>
  <c r="AM203" i="7"/>
  <c r="AR203" i="7" s="1"/>
  <c r="AM202" i="7"/>
  <c r="AR202" i="7" s="1"/>
  <c r="AM201" i="7"/>
  <c r="AR201" i="7" s="1"/>
  <c r="AP191" i="7"/>
  <c r="AO191" i="7"/>
  <c r="AN191" i="7"/>
  <c r="AL191" i="7"/>
  <c r="AK191" i="7"/>
  <c r="AJ191" i="7"/>
  <c r="AI191" i="7"/>
  <c r="AH191" i="7"/>
  <c r="AG191" i="7"/>
  <c r="AF191" i="7"/>
  <c r="AE191" i="7"/>
  <c r="AD191" i="7"/>
  <c r="AC191" i="7"/>
  <c r="AB191" i="7"/>
  <c r="AA191" i="7"/>
  <c r="Z191" i="7"/>
  <c r="Y191" i="7"/>
  <c r="X191" i="7"/>
  <c r="W191" i="7"/>
  <c r="V191" i="7"/>
  <c r="U191" i="7"/>
  <c r="T191" i="7"/>
  <c r="S191" i="7"/>
  <c r="R191" i="7"/>
  <c r="Q191" i="7"/>
  <c r="AM190" i="7"/>
  <c r="AR190" i="7" s="1"/>
  <c r="E38" i="8" s="1"/>
  <c r="AP187" i="7"/>
  <c r="AO187" i="7"/>
  <c r="AN187" i="7"/>
  <c r="AL187" i="7"/>
  <c r="AK187" i="7"/>
  <c r="AJ187" i="7"/>
  <c r="AI187" i="7"/>
  <c r="AH187" i="7"/>
  <c r="AG187" i="7"/>
  <c r="AF187" i="7"/>
  <c r="AE187" i="7"/>
  <c r="AD187" i="7"/>
  <c r="AC187" i="7"/>
  <c r="AB187" i="7"/>
  <c r="AA187" i="7"/>
  <c r="Z187" i="7"/>
  <c r="Z192" i="7" s="1"/>
  <c r="Y187" i="7"/>
  <c r="X187" i="7"/>
  <c r="W187" i="7"/>
  <c r="V187" i="7"/>
  <c r="U187" i="7"/>
  <c r="T187" i="7"/>
  <c r="S187" i="7"/>
  <c r="R187" i="7"/>
  <c r="R192" i="7" s="1"/>
  <c r="Q187" i="7"/>
  <c r="AM185" i="7"/>
  <c r="AR185" i="7" s="1"/>
  <c r="AM184" i="7"/>
  <c r="AR184" i="7" s="1"/>
  <c r="AP179" i="7"/>
  <c r="AP180" i="7" s="1"/>
  <c r="AO179" i="7"/>
  <c r="AO180" i="7" s="1"/>
  <c r="AN179" i="7"/>
  <c r="AN180" i="7" s="1"/>
  <c r="AM179" i="7"/>
  <c r="AM180" i="7" s="1"/>
  <c r="AL179" i="7"/>
  <c r="AL180" i="7" s="1"/>
  <c r="AK179" i="7"/>
  <c r="AK180" i="7" s="1"/>
  <c r="AJ179" i="7"/>
  <c r="AJ180" i="7" s="1"/>
  <c r="AI179" i="7"/>
  <c r="AI180" i="7" s="1"/>
  <c r="AH179" i="7"/>
  <c r="AH180" i="7" s="1"/>
  <c r="AG179" i="7"/>
  <c r="AG180" i="7" s="1"/>
  <c r="AF179" i="7"/>
  <c r="AF180" i="7" s="1"/>
  <c r="AE179" i="7"/>
  <c r="AE180" i="7" s="1"/>
  <c r="AD179" i="7"/>
  <c r="AD180" i="7" s="1"/>
  <c r="AC179" i="7"/>
  <c r="AC180" i="7" s="1"/>
  <c r="AB179" i="7"/>
  <c r="AB180" i="7" s="1"/>
  <c r="AA179" i="7"/>
  <c r="AA180" i="7" s="1"/>
  <c r="Z179" i="7"/>
  <c r="Z180" i="7" s="1"/>
  <c r="Y179" i="7"/>
  <c r="Y180" i="7" s="1"/>
  <c r="X179" i="7"/>
  <c r="X180" i="7" s="1"/>
  <c r="W179" i="7"/>
  <c r="W180" i="7" s="1"/>
  <c r="V179" i="7"/>
  <c r="V180" i="7" s="1"/>
  <c r="U179" i="7"/>
  <c r="U180" i="7" s="1"/>
  <c r="T179" i="7"/>
  <c r="T180" i="7" s="1"/>
  <c r="S179" i="7"/>
  <c r="S180" i="7" s="1"/>
  <c r="R179" i="7"/>
  <c r="R180" i="7" s="1"/>
  <c r="Q179" i="7"/>
  <c r="A178" i="7"/>
  <c r="AP171" i="7"/>
  <c r="AO171" i="7"/>
  <c r="AN171" i="7"/>
  <c r="AM171" i="7"/>
  <c r="AL171" i="7"/>
  <c r="AK171" i="7"/>
  <c r="AJ171" i="7"/>
  <c r="AI171" i="7"/>
  <c r="AH171" i="7"/>
  <c r="AG171" i="7"/>
  <c r="AF171" i="7"/>
  <c r="AE171" i="7"/>
  <c r="AD171" i="7"/>
  <c r="AC171" i="7"/>
  <c r="AB171" i="7"/>
  <c r="AA171" i="7"/>
  <c r="Z171" i="7"/>
  <c r="Y171" i="7"/>
  <c r="X171" i="7"/>
  <c r="W171" i="7"/>
  <c r="V171" i="7"/>
  <c r="U171" i="7"/>
  <c r="T171" i="7"/>
  <c r="S171" i="7"/>
  <c r="R171" i="7"/>
  <c r="Q171" i="7"/>
  <c r="AP166" i="7"/>
  <c r="AO166" i="7"/>
  <c r="AN166" i="7"/>
  <c r="AL166" i="7"/>
  <c r="AK166" i="7"/>
  <c r="AJ166" i="7"/>
  <c r="AI166" i="7"/>
  <c r="AH166" i="7"/>
  <c r="AG166" i="7"/>
  <c r="AF166" i="7"/>
  <c r="AE166" i="7"/>
  <c r="AD166" i="7"/>
  <c r="AC166" i="7"/>
  <c r="AB166" i="7"/>
  <c r="AA166" i="7"/>
  <c r="Z166" i="7"/>
  <c r="Y166" i="7"/>
  <c r="X166" i="7"/>
  <c r="W166" i="7"/>
  <c r="V166" i="7"/>
  <c r="U166" i="7"/>
  <c r="T166" i="7"/>
  <c r="S166" i="7"/>
  <c r="R166" i="7"/>
  <c r="Q166" i="7"/>
  <c r="AM165" i="7"/>
  <c r="AR165" i="7" s="1"/>
  <c r="E35" i="8" s="1"/>
  <c r="AP156" i="7"/>
  <c r="AO156" i="7"/>
  <c r="AN156" i="7"/>
  <c r="AM156" i="7"/>
  <c r="AL156" i="7"/>
  <c r="AK156" i="7"/>
  <c r="AJ156" i="7"/>
  <c r="AI156" i="7"/>
  <c r="AH156" i="7"/>
  <c r="AG156" i="7"/>
  <c r="AF156" i="7"/>
  <c r="AE156" i="7"/>
  <c r="AD156" i="7"/>
  <c r="AC156" i="7"/>
  <c r="AB156" i="7"/>
  <c r="AA156" i="7"/>
  <c r="Z156" i="7"/>
  <c r="Y156" i="7"/>
  <c r="X156" i="7"/>
  <c r="W156" i="7"/>
  <c r="V156" i="7"/>
  <c r="U156" i="7"/>
  <c r="T156" i="7"/>
  <c r="S156" i="7"/>
  <c r="R156" i="7"/>
  <c r="Q156" i="7"/>
  <c r="AP151" i="7"/>
  <c r="AO151" i="7"/>
  <c r="AN151" i="7"/>
  <c r="AM151" i="7"/>
  <c r="AL151" i="7"/>
  <c r="AK151" i="7"/>
  <c r="AJ151" i="7"/>
  <c r="AI151" i="7"/>
  <c r="AH151" i="7"/>
  <c r="AG151" i="7"/>
  <c r="AF151" i="7"/>
  <c r="AE151" i="7"/>
  <c r="AD151" i="7"/>
  <c r="AC151" i="7"/>
  <c r="AB151" i="7"/>
  <c r="AA151" i="7"/>
  <c r="Z151" i="7"/>
  <c r="Y151" i="7"/>
  <c r="X151" i="7"/>
  <c r="W151" i="7"/>
  <c r="V151" i="7"/>
  <c r="U151" i="7"/>
  <c r="T151" i="7"/>
  <c r="S151" i="7"/>
  <c r="R151" i="7"/>
  <c r="Q151" i="7"/>
  <c r="AP145" i="7"/>
  <c r="AO145" i="7"/>
  <c r="AN145" i="7"/>
  <c r="AL145" i="7"/>
  <c r="AK145" i="7"/>
  <c r="AJ145" i="7"/>
  <c r="AI145" i="7"/>
  <c r="AH145" i="7"/>
  <c r="AG145" i="7"/>
  <c r="AF145" i="7"/>
  <c r="AE145" i="7"/>
  <c r="AD145" i="7"/>
  <c r="AC145" i="7"/>
  <c r="AB145" i="7"/>
  <c r="AA145" i="7"/>
  <c r="Z145" i="7"/>
  <c r="Y145" i="7"/>
  <c r="X145" i="7"/>
  <c r="W145" i="7"/>
  <c r="V145" i="7"/>
  <c r="U145" i="7"/>
  <c r="T145" i="7"/>
  <c r="S145" i="7"/>
  <c r="R145" i="7"/>
  <c r="Q145" i="7"/>
  <c r="AM144" i="7"/>
  <c r="AR144" i="7" s="1"/>
  <c r="AM141" i="7"/>
  <c r="AR141" i="7" s="1"/>
  <c r="AM140" i="7"/>
  <c r="AR140" i="7" s="1"/>
  <c r="AP135" i="7"/>
  <c r="AO135" i="7"/>
  <c r="AN135" i="7"/>
  <c r="AM135" i="7"/>
  <c r="AL135" i="7"/>
  <c r="AK135" i="7"/>
  <c r="AJ135" i="7"/>
  <c r="AI135" i="7"/>
  <c r="AH135" i="7"/>
  <c r="AG135" i="7"/>
  <c r="AF135" i="7"/>
  <c r="AE135" i="7"/>
  <c r="AD135" i="7"/>
  <c r="AC135" i="7"/>
  <c r="AB135" i="7"/>
  <c r="AA135" i="7"/>
  <c r="Z135" i="7"/>
  <c r="Y135" i="7"/>
  <c r="X135" i="7"/>
  <c r="W135" i="7"/>
  <c r="V135" i="7"/>
  <c r="U135" i="7"/>
  <c r="S135" i="7"/>
  <c r="R135" i="7"/>
  <c r="Q135" i="7"/>
  <c r="T133" i="7"/>
  <c r="AR133" i="7" s="1"/>
  <c r="E31" i="8" s="1"/>
  <c r="AP128" i="7"/>
  <c r="AO128" i="7"/>
  <c r="AN128" i="7"/>
  <c r="AM128" i="7"/>
  <c r="AL128" i="7"/>
  <c r="AK128" i="7"/>
  <c r="AJ128" i="7"/>
  <c r="AI128" i="7"/>
  <c r="AH128" i="7"/>
  <c r="AG128" i="7"/>
  <c r="AF128" i="7"/>
  <c r="AE128" i="7"/>
  <c r="AD128" i="7"/>
  <c r="AC128" i="7"/>
  <c r="AB128" i="7"/>
  <c r="AA128" i="7"/>
  <c r="Z128" i="7"/>
  <c r="Y128" i="7"/>
  <c r="X128" i="7"/>
  <c r="W128" i="7"/>
  <c r="V128" i="7"/>
  <c r="U128" i="7"/>
  <c r="S128" i="7"/>
  <c r="R128" i="7"/>
  <c r="Q128" i="7"/>
  <c r="T127" i="7"/>
  <c r="AR127" i="7" s="1"/>
  <c r="T126" i="7"/>
  <c r="AR126" i="7" s="1"/>
  <c r="T125" i="7"/>
  <c r="AR125" i="7" s="1"/>
  <c r="T124" i="7"/>
  <c r="AR124" i="7" s="1"/>
  <c r="AP114" i="7"/>
  <c r="AP115" i="7" s="1"/>
  <c r="AP116" i="7" s="1"/>
  <c r="AO114" i="7"/>
  <c r="AO115" i="7" s="1"/>
  <c r="AO116" i="7" s="1"/>
  <c r="AN114" i="7"/>
  <c r="AN115" i="7" s="1"/>
  <c r="AN116" i="7" s="1"/>
  <c r="AM114" i="7"/>
  <c r="AM115" i="7" s="1"/>
  <c r="AM116" i="7" s="1"/>
  <c r="AK114" i="7"/>
  <c r="AK115" i="7" s="1"/>
  <c r="AK116" i="7" s="1"/>
  <c r="AJ114" i="7"/>
  <c r="AJ115" i="7" s="1"/>
  <c r="AJ116" i="7" s="1"/>
  <c r="AI114" i="7"/>
  <c r="AI115" i="7" s="1"/>
  <c r="AI116" i="7" s="1"/>
  <c r="AH114" i="7"/>
  <c r="AH115" i="7" s="1"/>
  <c r="AH116" i="7" s="1"/>
  <c r="AG114" i="7"/>
  <c r="AG115" i="7" s="1"/>
  <c r="AG116" i="7" s="1"/>
  <c r="AF114" i="7"/>
  <c r="AF115" i="7" s="1"/>
  <c r="AF116" i="7" s="1"/>
  <c r="AE114" i="7"/>
  <c r="AE115" i="7" s="1"/>
  <c r="AE116" i="7" s="1"/>
  <c r="AD114" i="7"/>
  <c r="AD115" i="7" s="1"/>
  <c r="AD116" i="7" s="1"/>
  <c r="AC114" i="7"/>
  <c r="AC115" i="7" s="1"/>
  <c r="AC116" i="7" s="1"/>
  <c r="AB114" i="7"/>
  <c r="AB115" i="7" s="1"/>
  <c r="AB116" i="7" s="1"/>
  <c r="AA114" i="7"/>
  <c r="AA115" i="7" s="1"/>
  <c r="AA116" i="7" s="1"/>
  <c r="Z114" i="7"/>
  <c r="Z115" i="7" s="1"/>
  <c r="Z116" i="7" s="1"/>
  <c r="Y114" i="7"/>
  <c r="Y115" i="7" s="1"/>
  <c r="Y116" i="7" s="1"/>
  <c r="X114" i="7"/>
  <c r="X115" i="7" s="1"/>
  <c r="X116" i="7" s="1"/>
  <c r="W114" i="7"/>
  <c r="W115" i="7" s="1"/>
  <c r="W116" i="7" s="1"/>
  <c r="V114" i="7"/>
  <c r="V115" i="7" s="1"/>
  <c r="V116" i="7" s="1"/>
  <c r="U114" i="7"/>
  <c r="U115" i="7" s="1"/>
  <c r="U116" i="7" s="1"/>
  <c r="T114" i="7"/>
  <c r="T115" i="7" s="1"/>
  <c r="T116" i="7" s="1"/>
  <c r="R114" i="7"/>
  <c r="R115" i="7" s="1"/>
  <c r="R116" i="7" s="1"/>
  <c r="Q114" i="7"/>
  <c r="AL110" i="7"/>
  <c r="AR110" i="7" s="1"/>
  <c r="E26" i="8" s="1"/>
  <c r="S109" i="7"/>
  <c r="AR109" i="7" s="1"/>
  <c r="E25" i="8" s="1"/>
  <c r="S108" i="7"/>
  <c r="AR108" i="7" s="1"/>
  <c r="E24" i="8" s="1"/>
  <c r="AP101" i="7"/>
  <c r="AO101" i="7"/>
  <c r="AN101" i="7"/>
  <c r="AL101" i="7"/>
  <c r="AK101" i="7"/>
  <c r="AJ101" i="7"/>
  <c r="AI101" i="7"/>
  <c r="AH101" i="7"/>
  <c r="AG101" i="7"/>
  <c r="AF101" i="7"/>
  <c r="AE101" i="7"/>
  <c r="AD101" i="7"/>
  <c r="AC101" i="7"/>
  <c r="AB101" i="7"/>
  <c r="AA101" i="7"/>
  <c r="Z101" i="7"/>
  <c r="Y101" i="7"/>
  <c r="X101" i="7"/>
  <c r="W101" i="7"/>
  <c r="V101" i="7"/>
  <c r="U101" i="7"/>
  <c r="T101" i="7"/>
  <c r="R101" i="7"/>
  <c r="Q101" i="7"/>
  <c r="AR98" i="7"/>
  <c r="AM97" i="7"/>
  <c r="AR97" i="7" s="1"/>
  <c r="AP90" i="7"/>
  <c r="AO90" i="7"/>
  <c r="AN90" i="7"/>
  <c r="AN102" i="7" s="1"/>
  <c r="AN103" i="7" s="1"/>
  <c r="AL90" i="7"/>
  <c r="AK90" i="7"/>
  <c r="AJ90" i="7"/>
  <c r="AJ102" i="7" s="1"/>
  <c r="AJ103" i="7" s="1"/>
  <c r="AI90" i="7"/>
  <c r="AH90" i="7"/>
  <c r="AG90" i="7"/>
  <c r="AF90" i="7"/>
  <c r="AF102" i="7" s="1"/>
  <c r="AF103" i="7" s="1"/>
  <c r="AE90" i="7"/>
  <c r="AD90" i="7"/>
  <c r="AC90" i="7"/>
  <c r="AB90" i="7"/>
  <c r="AB102" i="7" s="1"/>
  <c r="AB103" i="7" s="1"/>
  <c r="AA90" i="7"/>
  <c r="Z90" i="7"/>
  <c r="Y90" i="7"/>
  <c r="X90" i="7"/>
  <c r="X102" i="7" s="1"/>
  <c r="X103" i="7" s="1"/>
  <c r="W90" i="7"/>
  <c r="U90" i="7"/>
  <c r="T90" i="7"/>
  <c r="S90" i="7"/>
  <c r="R90" i="7"/>
  <c r="Q90" i="7"/>
  <c r="AO78" i="7"/>
  <c r="AO79" i="7" s="1"/>
  <c r="AO80" i="7" s="1"/>
  <c r="AO81" i="7" s="1"/>
  <c r="AL78" i="7"/>
  <c r="AL79" i="7" s="1"/>
  <c r="AL80" i="7" s="1"/>
  <c r="AL81" i="7" s="1"/>
  <c r="AK78" i="7"/>
  <c r="AK79" i="7" s="1"/>
  <c r="AK80" i="7" s="1"/>
  <c r="AK81" i="7" s="1"/>
  <c r="AJ78" i="7"/>
  <c r="AJ79" i="7" s="1"/>
  <c r="AJ80" i="7" s="1"/>
  <c r="AJ81" i="7" s="1"/>
  <c r="AI78" i="7"/>
  <c r="AI79" i="7" s="1"/>
  <c r="AI80" i="7" s="1"/>
  <c r="AI81" i="7" s="1"/>
  <c r="AH78" i="7"/>
  <c r="AH79" i="7" s="1"/>
  <c r="AH80" i="7" s="1"/>
  <c r="AH81" i="7" s="1"/>
  <c r="AF78" i="7"/>
  <c r="AF79" i="7" s="1"/>
  <c r="AF80" i="7" s="1"/>
  <c r="AF81" i="7" s="1"/>
  <c r="AE78" i="7"/>
  <c r="AE79" i="7" s="1"/>
  <c r="AE80" i="7" s="1"/>
  <c r="AE81" i="7" s="1"/>
  <c r="AD78" i="7"/>
  <c r="AD79" i="7" s="1"/>
  <c r="AD80" i="7" s="1"/>
  <c r="AD81" i="7" s="1"/>
  <c r="AC78" i="7"/>
  <c r="AC79" i="7" s="1"/>
  <c r="AC80" i="7" s="1"/>
  <c r="AC81" i="7" s="1"/>
  <c r="AA78" i="7"/>
  <c r="AA79" i="7" s="1"/>
  <c r="AA80" i="7" s="1"/>
  <c r="AA81" i="7" s="1"/>
  <c r="Z78" i="7"/>
  <c r="Z79" i="7" s="1"/>
  <c r="Z80" i="7" s="1"/>
  <c r="Z81" i="7" s="1"/>
  <c r="Y78" i="7"/>
  <c r="Y79" i="7" s="1"/>
  <c r="Y80" i="7" s="1"/>
  <c r="Y81" i="7" s="1"/>
  <c r="X78" i="7"/>
  <c r="X79" i="7" s="1"/>
  <c r="X80" i="7" s="1"/>
  <c r="X81" i="7" s="1"/>
  <c r="W78" i="7"/>
  <c r="W79" i="7" s="1"/>
  <c r="W80" i="7" s="1"/>
  <c r="W81" i="7" s="1"/>
  <c r="V78" i="7"/>
  <c r="V79" i="7" s="1"/>
  <c r="V80" i="7" s="1"/>
  <c r="V81" i="7" s="1"/>
  <c r="T78" i="7"/>
  <c r="T79" i="7" s="1"/>
  <c r="T80" i="7" s="1"/>
  <c r="T81" i="7" s="1"/>
  <c r="S78" i="7"/>
  <c r="S79" i="7" s="1"/>
  <c r="S80" i="7" s="1"/>
  <c r="S81" i="7" s="1"/>
  <c r="R78" i="7"/>
  <c r="R79" i="7" s="1"/>
  <c r="R80" i="7" s="1"/>
  <c r="R81" i="7" s="1"/>
  <c r="Q78" i="7"/>
  <c r="AM77" i="7"/>
  <c r="AR77" i="7" s="1"/>
  <c r="AM76" i="7"/>
  <c r="AR76" i="7" s="1"/>
  <c r="E21" i="8" s="1"/>
  <c r="AP78" i="7"/>
  <c r="AP79" i="7" s="1"/>
  <c r="AP80" i="7" s="1"/>
  <c r="AP81" i="7" s="1"/>
  <c r="U74" i="7"/>
  <c r="AM73" i="7"/>
  <c r="AR73" i="7" s="1"/>
  <c r="AP64" i="7"/>
  <c r="AP65" i="7" s="1"/>
  <c r="AO64" i="7"/>
  <c r="AO65" i="7" s="1"/>
  <c r="AN64" i="7"/>
  <c r="AN65" i="7" s="1"/>
  <c r="AL64" i="7"/>
  <c r="AL65" i="7" s="1"/>
  <c r="AK64" i="7"/>
  <c r="AK65" i="7" s="1"/>
  <c r="AJ64" i="7"/>
  <c r="AJ65" i="7" s="1"/>
  <c r="AI64" i="7"/>
  <c r="AI65" i="7" s="1"/>
  <c r="AH64" i="7"/>
  <c r="AH65" i="7" s="1"/>
  <c r="AG64" i="7"/>
  <c r="AG65" i="7" s="1"/>
  <c r="AF64" i="7"/>
  <c r="AF65" i="7" s="1"/>
  <c r="AE64" i="7"/>
  <c r="AE65" i="7" s="1"/>
  <c r="AD64" i="7"/>
  <c r="AD65" i="7" s="1"/>
  <c r="AC64" i="7"/>
  <c r="AC65" i="7" s="1"/>
  <c r="AB64" i="7"/>
  <c r="AB65" i="7" s="1"/>
  <c r="AA64" i="7"/>
  <c r="AA65" i="7" s="1"/>
  <c r="Z64" i="7"/>
  <c r="Z65" i="7" s="1"/>
  <c r="Y64" i="7"/>
  <c r="Y65" i="7" s="1"/>
  <c r="X64" i="7"/>
  <c r="X65" i="7" s="1"/>
  <c r="W64" i="7"/>
  <c r="W65" i="7" s="1"/>
  <c r="V64" i="7"/>
  <c r="V65" i="7" s="1"/>
  <c r="U64" i="7"/>
  <c r="U65" i="7" s="1"/>
  <c r="T64" i="7"/>
  <c r="T65" i="7" s="1"/>
  <c r="S64" i="7"/>
  <c r="S65" i="7" s="1"/>
  <c r="R64" i="7"/>
  <c r="R65" i="7" s="1"/>
  <c r="Q64" i="7"/>
  <c r="AM60" i="7"/>
  <c r="AR60" i="7" s="1"/>
  <c r="AR59" i="7"/>
  <c r="AR57" i="7"/>
  <c r="AM54" i="7"/>
  <c r="AR54" i="7" s="1"/>
  <c r="E17" i="8" s="1"/>
  <c r="AM53" i="7"/>
  <c r="AR53" i="7" s="1"/>
  <c r="E16" i="8" s="1"/>
  <c r="AM52" i="7"/>
  <c r="AR52" i="7" s="1"/>
  <c r="E15" i="8" s="1"/>
  <c r="AM49" i="7"/>
  <c r="AR49" i="7" s="1"/>
  <c r="AM46" i="7"/>
  <c r="AR46" i="7" s="1"/>
  <c r="E13" i="8" s="1"/>
  <c r="AP41" i="7"/>
  <c r="AP42" i="7" s="1"/>
  <c r="AO41" i="7"/>
  <c r="AO42" i="7" s="1"/>
  <c r="AN41" i="7"/>
  <c r="AN42" i="7" s="1"/>
  <c r="AL41" i="7"/>
  <c r="AL42" i="7" s="1"/>
  <c r="AK41" i="7"/>
  <c r="AK42" i="7" s="1"/>
  <c r="AJ41" i="7"/>
  <c r="AJ42" i="7" s="1"/>
  <c r="AI41" i="7"/>
  <c r="AI42" i="7" s="1"/>
  <c r="AH41" i="7"/>
  <c r="AH42" i="7" s="1"/>
  <c r="AG41" i="7"/>
  <c r="AG42" i="7" s="1"/>
  <c r="AF41" i="7"/>
  <c r="AF42" i="7" s="1"/>
  <c r="AE41" i="7"/>
  <c r="AE42" i="7" s="1"/>
  <c r="AD41" i="7"/>
  <c r="AD42" i="7" s="1"/>
  <c r="AC41" i="7"/>
  <c r="AC42" i="7" s="1"/>
  <c r="AB41" i="7"/>
  <c r="AB42" i="7" s="1"/>
  <c r="AA41" i="7"/>
  <c r="AA42" i="7" s="1"/>
  <c r="Z41" i="7"/>
  <c r="Z42" i="7" s="1"/>
  <c r="Y41" i="7"/>
  <c r="Y42" i="7" s="1"/>
  <c r="X41" i="7"/>
  <c r="X42" i="7" s="1"/>
  <c r="W41" i="7"/>
  <c r="W42" i="7" s="1"/>
  <c r="V41" i="7"/>
  <c r="V42" i="7" s="1"/>
  <c r="U41" i="7"/>
  <c r="U42" i="7" s="1"/>
  <c r="T41" i="7"/>
  <c r="T42" i="7" s="1"/>
  <c r="S41" i="7"/>
  <c r="S42" i="7" s="1"/>
  <c r="R41" i="7"/>
  <c r="R42" i="7" s="1"/>
  <c r="Q41" i="7"/>
  <c r="AM40" i="7"/>
  <c r="AR40" i="7" s="1"/>
  <c r="E12" i="8" s="1"/>
  <c r="AP35" i="7"/>
  <c r="AO35" i="7"/>
  <c r="AN35" i="7"/>
  <c r="AM35" i="7"/>
  <c r="AL35" i="7"/>
  <c r="AK35" i="7"/>
  <c r="AJ35" i="7"/>
  <c r="AI35" i="7"/>
  <c r="AH35" i="7"/>
  <c r="AG35" i="7"/>
  <c r="AF35" i="7"/>
  <c r="AE35" i="7"/>
  <c r="AD35" i="7"/>
  <c r="AC35" i="7"/>
  <c r="AB35" i="7"/>
  <c r="AA35" i="7"/>
  <c r="Z35" i="7"/>
  <c r="Y35" i="7"/>
  <c r="X35" i="7"/>
  <c r="W35" i="7"/>
  <c r="V35" i="7"/>
  <c r="U35" i="7"/>
  <c r="T35" i="7"/>
  <c r="S35" i="7"/>
  <c r="R35" i="7"/>
  <c r="Q35" i="7"/>
  <c r="AP31" i="7"/>
  <c r="AO31" i="7"/>
  <c r="AN31" i="7"/>
  <c r="AM31" i="7"/>
  <c r="AL31" i="7"/>
  <c r="AK31" i="7"/>
  <c r="AJ31" i="7"/>
  <c r="AI31" i="7"/>
  <c r="AH31" i="7"/>
  <c r="AG31" i="7"/>
  <c r="AF31" i="7"/>
  <c r="AE31" i="7"/>
  <c r="AD31" i="7"/>
  <c r="AC31" i="7"/>
  <c r="AB31" i="7"/>
  <c r="AA31" i="7"/>
  <c r="Z31" i="7"/>
  <c r="Y31" i="7"/>
  <c r="X31" i="7"/>
  <c r="W31" i="7"/>
  <c r="V31" i="7"/>
  <c r="U31" i="7"/>
  <c r="T31" i="7"/>
  <c r="S31" i="7"/>
  <c r="R31" i="7"/>
  <c r="Q31" i="7"/>
  <c r="AP21" i="7"/>
  <c r="AP22" i="7" s="1"/>
  <c r="AP23" i="7" s="1"/>
  <c r="AP24" i="7" s="1"/>
  <c r="AO21" i="7"/>
  <c r="AO22" i="7" s="1"/>
  <c r="AO23" i="7" s="1"/>
  <c r="AO24" i="7" s="1"/>
  <c r="AN21" i="7"/>
  <c r="AN22" i="7" s="1"/>
  <c r="AN23" i="7" s="1"/>
  <c r="AN24" i="7" s="1"/>
  <c r="AL21" i="7"/>
  <c r="AL22" i="7" s="1"/>
  <c r="AL23" i="7" s="1"/>
  <c r="AL24" i="7" s="1"/>
  <c r="AK21" i="7"/>
  <c r="AK22" i="7" s="1"/>
  <c r="AK23" i="7" s="1"/>
  <c r="AK24" i="7" s="1"/>
  <c r="AJ21" i="7"/>
  <c r="AJ22" i="7" s="1"/>
  <c r="AJ23" i="7" s="1"/>
  <c r="AJ24" i="7" s="1"/>
  <c r="AI21" i="7"/>
  <c r="AI22" i="7" s="1"/>
  <c r="AI23" i="7" s="1"/>
  <c r="AI24" i="7" s="1"/>
  <c r="AH21" i="7"/>
  <c r="AH22" i="7" s="1"/>
  <c r="AH23" i="7" s="1"/>
  <c r="AH24" i="7" s="1"/>
  <c r="AG21" i="7"/>
  <c r="AG22" i="7" s="1"/>
  <c r="AG23" i="7" s="1"/>
  <c r="AG24" i="7" s="1"/>
  <c r="AF21" i="7"/>
  <c r="AF22" i="7" s="1"/>
  <c r="AF23" i="7" s="1"/>
  <c r="AF24" i="7" s="1"/>
  <c r="AE21" i="7"/>
  <c r="AE22" i="7" s="1"/>
  <c r="AE23" i="7" s="1"/>
  <c r="AE24" i="7" s="1"/>
  <c r="AD21" i="7"/>
  <c r="AD22" i="7" s="1"/>
  <c r="AD23" i="7" s="1"/>
  <c r="AD24" i="7" s="1"/>
  <c r="AC21" i="7"/>
  <c r="AC22" i="7" s="1"/>
  <c r="AC23" i="7" s="1"/>
  <c r="AC24" i="7" s="1"/>
  <c r="AB21" i="7"/>
  <c r="AB22" i="7" s="1"/>
  <c r="AB23" i="7" s="1"/>
  <c r="AB24" i="7" s="1"/>
  <c r="AA21" i="7"/>
  <c r="AA22" i="7" s="1"/>
  <c r="AA23" i="7" s="1"/>
  <c r="AA24" i="7" s="1"/>
  <c r="Z21" i="7"/>
  <c r="Z22" i="7" s="1"/>
  <c r="Z23" i="7" s="1"/>
  <c r="Z24" i="7" s="1"/>
  <c r="Y21" i="7"/>
  <c r="Y22" i="7" s="1"/>
  <c r="Y23" i="7" s="1"/>
  <c r="Y24" i="7" s="1"/>
  <c r="X21" i="7"/>
  <c r="X22" i="7" s="1"/>
  <c r="X23" i="7" s="1"/>
  <c r="X24" i="7" s="1"/>
  <c r="W21" i="7"/>
  <c r="W22" i="7" s="1"/>
  <c r="W23" i="7" s="1"/>
  <c r="W24" i="7" s="1"/>
  <c r="V21" i="7"/>
  <c r="V22" i="7" s="1"/>
  <c r="V23" i="7" s="1"/>
  <c r="V24" i="7" s="1"/>
  <c r="U21" i="7"/>
  <c r="U22" i="7" s="1"/>
  <c r="U23" i="7" s="1"/>
  <c r="U24" i="7" s="1"/>
  <c r="T21" i="7"/>
  <c r="T22" i="7" s="1"/>
  <c r="T23" i="7" s="1"/>
  <c r="T24" i="7" s="1"/>
  <c r="S21" i="7"/>
  <c r="S22" i="7" s="1"/>
  <c r="S23" i="7" s="1"/>
  <c r="S24" i="7" s="1"/>
  <c r="R21" i="7"/>
  <c r="R22" i="7" s="1"/>
  <c r="R23" i="7" s="1"/>
  <c r="R24" i="7" s="1"/>
  <c r="Q21" i="7"/>
  <c r="AM17" i="7"/>
  <c r="AR17" i="7" s="1"/>
  <c r="AM16" i="7"/>
  <c r="AR16" i="7" s="1"/>
  <c r="AM15" i="7"/>
  <c r="AR15" i="7" s="1"/>
  <c r="Q204" i="7"/>
  <c r="W394" i="7"/>
  <c r="X618" i="7"/>
  <c r="W368" i="7"/>
  <c r="X584" i="7"/>
  <c r="X550" i="7"/>
  <c r="X551" i="7" s="1"/>
  <c r="AM703" i="7"/>
  <c r="AD584" i="7"/>
  <c r="E30" i="8" l="1"/>
  <c r="E46" i="8"/>
  <c r="E59" i="8"/>
  <c r="Z102" i="7"/>
  <c r="Z103" i="7" s="1"/>
  <c r="AH102" i="7"/>
  <c r="AH103" i="7" s="1"/>
  <c r="E58" i="8"/>
  <c r="E68" i="8"/>
  <c r="F63" i="8"/>
  <c r="E23" i="8"/>
  <c r="E32" i="8"/>
  <c r="AO172" i="7"/>
  <c r="T192" i="7"/>
  <c r="E41" i="8"/>
  <c r="E49" i="8"/>
  <c r="E54" i="8"/>
  <c r="AM437" i="7"/>
  <c r="AC457" i="7"/>
  <c r="E81" i="8"/>
  <c r="Y670" i="7"/>
  <c r="Y671" i="7" s="1"/>
  <c r="AR726" i="7"/>
  <c r="E53" i="8"/>
  <c r="E37" i="8"/>
  <c r="F39" i="8" s="1"/>
  <c r="E47" i="8"/>
  <c r="E48" i="8"/>
  <c r="AR451" i="7"/>
  <c r="AR557" i="7"/>
  <c r="AR564" i="7"/>
  <c r="AR570" i="7"/>
  <c r="AR576" i="7"/>
  <c r="AO619" i="7"/>
  <c r="AR607" i="7"/>
  <c r="AR618" i="7"/>
  <c r="AR624" i="7"/>
  <c r="AR632" i="7"/>
  <c r="AR655" i="7"/>
  <c r="AR660" i="7"/>
  <c r="AG670" i="7"/>
  <c r="AG671" i="7" s="1"/>
  <c r="E10" i="8"/>
  <c r="E18" i="8"/>
  <c r="F19" i="8" s="1"/>
  <c r="AH457" i="7"/>
  <c r="AK496" i="7"/>
  <c r="AH619" i="7"/>
  <c r="AK619" i="7"/>
  <c r="AR35" i="7"/>
  <c r="Q65" i="7"/>
  <c r="T157" i="7"/>
  <c r="AB157" i="7"/>
  <c r="AJ157" i="7"/>
  <c r="AR156" i="7"/>
  <c r="AR171" i="7"/>
  <c r="AR305" i="7"/>
  <c r="Q340" i="7"/>
  <c r="AH368" i="7"/>
  <c r="AH382" i="7" s="1"/>
  <c r="AR365" i="7"/>
  <c r="E64" i="8" s="1"/>
  <c r="AR418" i="7"/>
  <c r="AJ437" i="7"/>
  <c r="AR447" i="7"/>
  <c r="AC530" i="7"/>
  <c r="AC531" i="7" s="1"/>
  <c r="AH496" i="7"/>
  <c r="AL496" i="7"/>
  <c r="AM507" i="7"/>
  <c r="AR507" i="7" s="1"/>
  <c r="AR506" i="7"/>
  <c r="E86" i="8" s="1"/>
  <c r="AR594" i="7"/>
  <c r="AL619" i="7"/>
  <c r="AR628" i="7"/>
  <c r="AR644" i="7"/>
  <c r="AR685" i="7"/>
  <c r="AD708" i="7"/>
  <c r="Q731" i="7"/>
  <c r="Q743" i="7"/>
  <c r="AR742" i="7"/>
  <c r="AR693" i="7"/>
  <c r="E117" i="8" s="1"/>
  <c r="AR727" i="7"/>
  <c r="AO742" i="7"/>
  <c r="AO743" i="7" s="1"/>
  <c r="AO744" i="7" s="1"/>
  <c r="AO745" i="7" s="1"/>
  <c r="AR739" i="7"/>
  <c r="E122" i="8" s="1"/>
  <c r="F122" i="8" s="1"/>
  <c r="AR89" i="7"/>
  <c r="E22" i="8" s="1"/>
  <c r="AB681" i="7"/>
  <c r="AB696" i="7" s="1"/>
  <c r="AR679" i="7"/>
  <c r="E115" i="8" s="1"/>
  <c r="Q42" i="7"/>
  <c r="Q180" i="7"/>
  <c r="AR180" i="7" s="1"/>
  <c r="AR179" i="7"/>
  <c r="Q463" i="7"/>
  <c r="AR463" i="7" s="1"/>
  <c r="AR462" i="7"/>
  <c r="AR482" i="7"/>
  <c r="E80" i="8" s="1"/>
  <c r="AM485" i="7"/>
  <c r="AR485" i="7" s="1"/>
  <c r="Q539" i="7"/>
  <c r="AR538" i="7"/>
  <c r="AO723" i="7"/>
  <c r="AR723" i="7" s="1"/>
  <c r="AR722" i="7"/>
  <c r="AM208" i="7"/>
  <c r="AR208" i="7" s="1"/>
  <c r="AR207" i="7"/>
  <c r="E42" i="8" s="1"/>
  <c r="Q351" i="7"/>
  <c r="Q357" i="7"/>
  <c r="AR443" i="7"/>
  <c r="AI496" i="7"/>
  <c r="AM511" i="7"/>
  <c r="AR511" i="7" s="1"/>
  <c r="AR510" i="7"/>
  <c r="E87" i="8" s="1"/>
  <c r="AH520" i="7"/>
  <c r="AR589" i="7"/>
  <c r="AC600" i="7"/>
  <c r="AR600" i="7" s="1"/>
  <c r="AR597" i="7"/>
  <c r="E102" i="8" s="1"/>
  <c r="F114" i="8" s="1"/>
  <c r="AI619" i="7"/>
  <c r="AM619" i="7"/>
  <c r="Q669" i="7"/>
  <c r="AR669" i="7" s="1"/>
  <c r="AR668" i="7"/>
  <c r="AR707" i="7"/>
  <c r="Q714" i="7"/>
  <c r="AR725" i="7"/>
  <c r="Q115" i="7"/>
  <c r="AO265" i="7"/>
  <c r="AR265" i="7" s="1"/>
  <c r="AR264" i="7"/>
  <c r="E52" i="8" s="1"/>
  <c r="Q551" i="7"/>
  <c r="AR551" i="7" s="1"/>
  <c r="AR550" i="7"/>
  <c r="Q22" i="7"/>
  <c r="AR31" i="7"/>
  <c r="U78" i="7"/>
  <c r="U79" i="7" s="1"/>
  <c r="U80" i="7" s="1"/>
  <c r="U81" i="7" s="1"/>
  <c r="AR74" i="7"/>
  <c r="E20" i="8" s="1"/>
  <c r="Q79" i="7"/>
  <c r="AR151" i="7"/>
  <c r="AR255" i="7"/>
  <c r="E50" i="8" s="1"/>
  <c r="AM257" i="7"/>
  <c r="AR257" i="7" s="1"/>
  <c r="AR377" i="7"/>
  <c r="AR381" i="7"/>
  <c r="AR394" i="7"/>
  <c r="AR428" i="7"/>
  <c r="AR436" i="7"/>
  <c r="AR456" i="7"/>
  <c r="Q474" i="7"/>
  <c r="AJ496" i="7"/>
  <c r="AR495" i="7"/>
  <c r="AI520" i="7"/>
  <c r="Q529" i="7"/>
  <c r="AR612" i="7"/>
  <c r="AJ619" i="7"/>
  <c r="AR640" i="7"/>
  <c r="AR703" i="7"/>
  <c r="AR729" i="7"/>
  <c r="AN192" i="7"/>
  <c r="AK437" i="7"/>
  <c r="R633" i="7"/>
  <c r="V708" i="7"/>
  <c r="AE708" i="7"/>
  <c r="AP708" i="7"/>
  <c r="AK708" i="7"/>
  <c r="AN224" i="7"/>
  <c r="AK457" i="7"/>
  <c r="AM519" i="7"/>
  <c r="AR519" i="7" s="1"/>
  <c r="U633" i="7"/>
  <c r="AF661" i="7"/>
  <c r="W382" i="7"/>
  <c r="AM356" i="7"/>
  <c r="AM357" i="7" s="1"/>
  <c r="AD192" i="7"/>
  <c r="AD193" i="7" s="1"/>
  <c r="AO213" i="7"/>
  <c r="R358" i="7"/>
  <c r="R359" i="7" s="1"/>
  <c r="AF358" i="7"/>
  <c r="AF359" i="7" s="1"/>
  <c r="AH358" i="7"/>
  <c r="AH359" i="7" s="1"/>
  <c r="T437" i="7"/>
  <c r="Q437" i="7"/>
  <c r="U619" i="7"/>
  <c r="Y136" i="7"/>
  <c r="AI157" i="7"/>
  <c r="V192" i="7"/>
  <c r="AL192" i="7"/>
  <c r="AL193" i="7" s="1"/>
  <c r="AN266" i="7"/>
  <c r="AD437" i="7"/>
  <c r="S496" i="7"/>
  <c r="W157" i="7"/>
  <c r="AC157" i="7"/>
  <c r="AA437" i="7"/>
  <c r="AP437" i="7"/>
  <c r="AL457" i="7"/>
  <c r="W520" i="7"/>
  <c r="Q708" i="7"/>
  <c r="AG136" i="7"/>
  <c r="U157" i="7"/>
  <c r="AA157" i="7"/>
  <c r="AK157" i="7"/>
  <c r="AH192" i="7"/>
  <c r="AH193" i="7" s="1"/>
  <c r="AO192" i="7"/>
  <c r="AO193" i="7" s="1"/>
  <c r="AD251" i="7"/>
  <c r="U328" i="7"/>
  <c r="U329" i="7" s="1"/>
  <c r="AL419" i="7"/>
  <c r="AF437" i="7"/>
  <c r="AI437" i="7"/>
  <c r="U457" i="7"/>
  <c r="W496" i="7"/>
  <c r="AP496" i="7"/>
  <c r="AP530" i="7" s="1"/>
  <c r="AP531" i="7" s="1"/>
  <c r="AD661" i="7"/>
  <c r="W696" i="7"/>
  <c r="AM708" i="7"/>
  <c r="AO218" i="7"/>
  <c r="AO224" i="7" s="1"/>
  <c r="AD157" i="7"/>
  <c r="Y172" i="7"/>
  <c r="AA172" i="7"/>
  <c r="AC172" i="7"/>
  <c r="AG172" i="7"/>
  <c r="AK172" i="7"/>
  <c r="R172" i="7"/>
  <c r="V172" i="7"/>
  <c r="AD172" i="7"/>
  <c r="AK213" i="7"/>
  <c r="R213" i="7"/>
  <c r="V213" i="7"/>
  <c r="AD213" i="7"/>
  <c r="AL213" i="7"/>
  <c r="U224" i="7"/>
  <c r="AC224" i="7"/>
  <c r="AK224" i="7"/>
  <c r="Z224" i="7"/>
  <c r="AF224" i="7"/>
  <c r="AF251" i="7"/>
  <c r="AH251" i="7"/>
  <c r="AE266" i="7"/>
  <c r="AN328" i="7"/>
  <c r="AN329" i="7" s="1"/>
  <c r="AM339" i="7"/>
  <c r="AM340" i="7" s="1"/>
  <c r="AM341" i="7" s="1"/>
  <c r="S358" i="7"/>
  <c r="S359" i="7" s="1"/>
  <c r="V358" i="7"/>
  <c r="V359" i="7" s="1"/>
  <c r="Y382" i="7"/>
  <c r="X457" i="7"/>
  <c r="Q496" i="7"/>
  <c r="U496" i="7"/>
  <c r="AM502" i="7"/>
  <c r="AR502" i="7" s="1"/>
  <c r="AI661" i="7"/>
  <c r="T696" i="7"/>
  <c r="AC696" i="7"/>
  <c r="AD696" i="7"/>
  <c r="AI696" i="7"/>
  <c r="AK696" i="7"/>
  <c r="AH708" i="7"/>
  <c r="Y419" i="7"/>
  <c r="AO437" i="7"/>
  <c r="R496" i="7"/>
  <c r="V520" i="7"/>
  <c r="AK520" i="7"/>
  <c r="AJ520" i="7"/>
  <c r="V619" i="7"/>
  <c r="AJ696" i="7"/>
  <c r="S696" i="7"/>
  <c r="R708" i="7"/>
  <c r="T708" i="7"/>
  <c r="AC708" i="7"/>
  <c r="AL708" i="7"/>
  <c r="AM681" i="7"/>
  <c r="AM491" i="7"/>
  <c r="AR491" i="7" s="1"/>
  <c r="AM650" i="7"/>
  <c r="AM661" i="7" s="1"/>
  <c r="S382" i="7"/>
  <c r="U382" i="7"/>
  <c r="AD102" i="7"/>
  <c r="AD103" i="7" s="1"/>
  <c r="AD117" i="7" s="1"/>
  <c r="Q192" i="7"/>
  <c r="AI192" i="7"/>
  <c r="AI193" i="7" s="1"/>
  <c r="AK295" i="7"/>
  <c r="AK296" i="7" s="1"/>
  <c r="AM327" i="7"/>
  <c r="AR327" i="7" s="1"/>
  <c r="AK328" i="7"/>
  <c r="AK329" i="7" s="1"/>
  <c r="AC419" i="7"/>
  <c r="AI419" i="7"/>
  <c r="AH437" i="7"/>
  <c r="AD457" i="7"/>
  <c r="AP457" i="7"/>
  <c r="T496" i="7"/>
  <c r="V496" i="7"/>
  <c r="AD496" i="7"/>
  <c r="AD530" i="7" s="1"/>
  <c r="AD531" i="7" s="1"/>
  <c r="AF496" i="7"/>
  <c r="AF530" i="7" s="1"/>
  <c r="AF531" i="7" s="1"/>
  <c r="T520" i="7"/>
  <c r="T530" i="7" s="1"/>
  <c r="T531" i="7" s="1"/>
  <c r="Q520" i="7"/>
  <c r="S520" i="7"/>
  <c r="S530" i="7" s="1"/>
  <c r="S531" i="7" s="1"/>
  <c r="AL520" i="7"/>
  <c r="AL530" i="7" s="1"/>
  <c r="AL531" i="7" s="1"/>
  <c r="R619" i="7"/>
  <c r="T619" i="7"/>
  <c r="AA619" i="7"/>
  <c r="Q619" i="7"/>
  <c r="AE619" i="7"/>
  <c r="T633" i="7"/>
  <c r="AC633" i="7"/>
  <c r="R661" i="7"/>
  <c r="T661" i="7"/>
  <c r="S661" i="7"/>
  <c r="AC661" i="7"/>
  <c r="AE661" i="7"/>
  <c r="AL696" i="7"/>
  <c r="U696" i="7"/>
  <c r="AA708" i="7"/>
  <c r="AJ708" i="7"/>
  <c r="AM350" i="7"/>
  <c r="AM351" i="7" s="1"/>
  <c r="AM414" i="7"/>
  <c r="AM419" i="7" s="1"/>
  <c r="R528" i="7"/>
  <c r="R529" i="7" s="1"/>
  <c r="AF457" i="7"/>
  <c r="V193" i="7"/>
  <c r="V90" i="7"/>
  <c r="V102" i="7" s="1"/>
  <c r="V103" i="7" s="1"/>
  <c r="V117" i="7" s="1"/>
  <c r="AL157" i="7"/>
  <c r="U213" i="7"/>
  <c r="W266" i="7"/>
  <c r="AA266" i="7"/>
  <c r="AI266" i="7"/>
  <c r="R295" i="7"/>
  <c r="R296" i="7" s="1"/>
  <c r="X295" i="7"/>
  <c r="X296" i="7" s="1"/>
  <c r="Z295" i="7"/>
  <c r="Z296" i="7" s="1"/>
  <c r="AF295" i="7"/>
  <c r="AF296" i="7" s="1"/>
  <c r="AH295" i="7"/>
  <c r="AH296" i="7" s="1"/>
  <c r="R328" i="7"/>
  <c r="R329" i="7" s="1"/>
  <c r="AC328" i="7"/>
  <c r="AC329" i="7" s="1"/>
  <c r="AE328" i="7"/>
  <c r="AE329" i="7" s="1"/>
  <c r="W358" i="7"/>
  <c r="W359" i="7" s="1"/>
  <c r="AO358" i="7"/>
  <c r="AO359" i="7" s="1"/>
  <c r="AL382" i="7"/>
  <c r="AL102" i="7"/>
  <c r="AL103" i="7" s="1"/>
  <c r="AN172" i="7"/>
  <c r="AC213" i="7"/>
  <c r="AA251" i="7"/>
  <c r="AC251" i="7"/>
  <c r="X266" i="7"/>
  <c r="U295" i="7"/>
  <c r="U296" i="7" s="1"/>
  <c r="X328" i="7"/>
  <c r="X329" i="7" s="1"/>
  <c r="AM204" i="7"/>
  <c r="AM213" i="7" s="1"/>
  <c r="S101" i="7"/>
  <c r="R157" i="7"/>
  <c r="T135" i="7"/>
  <c r="AR135" i="7" s="1"/>
  <c r="T36" i="7"/>
  <c r="T66" i="7" s="1"/>
  <c r="T67" i="7" s="1"/>
  <c r="V36" i="7"/>
  <c r="V66" i="7" s="1"/>
  <c r="V67" i="7" s="1"/>
  <c r="X36" i="7"/>
  <c r="X66" i="7" s="1"/>
  <c r="X67" i="7" s="1"/>
  <c r="AB36" i="7"/>
  <c r="AB66" i="7" s="1"/>
  <c r="AB67" i="7" s="1"/>
  <c r="AD36" i="7"/>
  <c r="AD66" i="7" s="1"/>
  <c r="AD67" i="7" s="1"/>
  <c r="AF36" i="7"/>
  <c r="AF66" i="7" s="1"/>
  <c r="AF67" i="7" s="1"/>
  <c r="AJ36" i="7"/>
  <c r="AJ66" i="7" s="1"/>
  <c r="AJ67" i="7" s="1"/>
  <c r="AL36" i="7"/>
  <c r="AN36" i="7"/>
  <c r="AN66" i="7" s="1"/>
  <c r="AN67" i="7" s="1"/>
  <c r="Q36" i="7"/>
  <c r="AG36" i="7"/>
  <c r="AG66" i="7" s="1"/>
  <c r="AG67" i="7" s="1"/>
  <c r="AK36" i="7"/>
  <c r="AK66" i="7" s="1"/>
  <c r="AK67" i="7" s="1"/>
  <c r="AO36" i="7"/>
  <c r="AO66" i="7" s="1"/>
  <c r="AO67" i="7" s="1"/>
  <c r="T102" i="7"/>
  <c r="T103" i="7" s="1"/>
  <c r="T117" i="7" s="1"/>
  <c r="AE102" i="7"/>
  <c r="AE103" i="7" s="1"/>
  <c r="U136" i="7"/>
  <c r="W136" i="7"/>
  <c r="AM136" i="7"/>
  <c r="AP157" i="7"/>
  <c r="Q157" i="7"/>
  <c r="S157" i="7"/>
  <c r="Y157" i="7"/>
  <c r="AE157" i="7"/>
  <c r="AG157" i="7"/>
  <c r="R382" i="7"/>
  <c r="AA102" i="7"/>
  <c r="AA103" i="7" s="1"/>
  <c r="AA117" i="7" s="1"/>
  <c r="AM166" i="7"/>
  <c r="AM172" i="7" s="1"/>
  <c r="U172" i="7"/>
  <c r="Q136" i="7"/>
  <c r="AA136" i="7"/>
  <c r="AC136" i="7"/>
  <c r="AE136" i="7"/>
  <c r="AK136" i="7"/>
  <c r="AO136" i="7"/>
  <c r="AO157" i="7"/>
  <c r="AH172" i="7"/>
  <c r="W172" i="7"/>
  <c r="AI172" i="7"/>
  <c r="U36" i="7"/>
  <c r="U66" i="7" s="1"/>
  <c r="U67" i="7" s="1"/>
  <c r="Y36" i="7"/>
  <c r="Y66" i="7" s="1"/>
  <c r="Y67" i="7" s="1"/>
  <c r="AN117" i="7"/>
  <c r="S114" i="7"/>
  <c r="S115" i="7" s="1"/>
  <c r="S116" i="7" s="1"/>
  <c r="X419" i="7"/>
  <c r="AH419" i="7"/>
  <c r="AE633" i="7"/>
  <c r="AJ633" i="7"/>
  <c r="AL633" i="7"/>
  <c r="AE36" i="7"/>
  <c r="AE66" i="7" s="1"/>
  <c r="AE67" i="7" s="1"/>
  <c r="R102" i="7"/>
  <c r="R103" i="7" s="1"/>
  <c r="R117" i="7" s="1"/>
  <c r="W102" i="7"/>
  <c r="W103" i="7" s="1"/>
  <c r="W117" i="7" s="1"/>
  <c r="AI102" i="7"/>
  <c r="AI103" i="7" s="1"/>
  <c r="AI117" i="7" s="1"/>
  <c r="AP102" i="7"/>
  <c r="AP103" i="7" s="1"/>
  <c r="AP117" i="7" s="1"/>
  <c r="AG192" i="7"/>
  <c r="AG193" i="7" s="1"/>
  <c r="AP192" i="7"/>
  <c r="AP193" i="7" s="1"/>
  <c r="Y213" i="7"/>
  <c r="AG213" i="7"/>
  <c r="AM21" i="7"/>
  <c r="AM22" i="7" s="1"/>
  <c r="AM23" i="7" s="1"/>
  <c r="AM24" i="7" s="1"/>
  <c r="Z213" i="7"/>
  <c r="AH213" i="7"/>
  <c r="Q224" i="7"/>
  <c r="W224" i="7"/>
  <c r="Y224" i="7"/>
  <c r="AE224" i="7"/>
  <c r="AG224" i="7"/>
  <c r="AP224" i="7"/>
  <c r="R224" i="7"/>
  <c r="T224" i="7"/>
  <c r="V224" i="7"/>
  <c r="X224" i="7"/>
  <c r="AB224" i="7"/>
  <c r="AD224" i="7"/>
  <c r="AH224" i="7"/>
  <c r="AJ224" i="7"/>
  <c r="AL224" i="7"/>
  <c r="AM237" i="7"/>
  <c r="AR237" i="7" s="1"/>
  <c r="R251" i="7"/>
  <c r="V251" i="7"/>
  <c r="X251" i="7"/>
  <c r="Z251" i="7"/>
  <c r="AL251" i="7"/>
  <c r="AO251" i="7"/>
  <c r="Q251" i="7"/>
  <c r="W251" i="7"/>
  <c r="Y251" i="7"/>
  <c r="AE251" i="7"/>
  <c r="AG251" i="7"/>
  <c r="AP251" i="7"/>
  <c r="U251" i="7"/>
  <c r="AK251" i="7"/>
  <c r="AN251" i="7"/>
  <c r="AN267" i="7" s="1"/>
  <c r="AN268" i="7" s="1"/>
  <c r="AH266" i="7"/>
  <c r="R266" i="7"/>
  <c r="V266" i="7"/>
  <c r="AF266" i="7"/>
  <c r="AF267" i="7" s="1"/>
  <c r="AF268" i="7" s="1"/>
  <c r="AJ266" i="7"/>
  <c r="S266" i="7"/>
  <c r="AM280" i="7"/>
  <c r="AR280" i="7" s="1"/>
  <c r="Q295" i="7"/>
  <c r="S295" i="7"/>
  <c r="S296" i="7" s="1"/>
  <c r="Y295" i="7"/>
  <c r="Y296" i="7" s="1"/>
  <c r="AA295" i="7"/>
  <c r="AA296" i="7" s="1"/>
  <c r="AE295" i="7"/>
  <c r="AE296" i="7" s="1"/>
  <c r="AG295" i="7"/>
  <c r="AG296" i="7" s="1"/>
  <c r="T295" i="7"/>
  <c r="T296" i="7" s="1"/>
  <c r="V295" i="7"/>
  <c r="V296" i="7" s="1"/>
  <c r="AB295" i="7"/>
  <c r="AB296" i="7" s="1"/>
  <c r="AD295" i="7"/>
  <c r="AD296" i="7" s="1"/>
  <c r="AJ295" i="7"/>
  <c r="AJ296" i="7" s="1"/>
  <c r="AL295" i="7"/>
  <c r="AL296" i="7" s="1"/>
  <c r="AO295" i="7"/>
  <c r="AO296" i="7" s="1"/>
  <c r="W295" i="7"/>
  <c r="W296" i="7" s="1"/>
  <c r="AC295" i="7"/>
  <c r="AC296" i="7" s="1"/>
  <c r="AI295" i="7"/>
  <c r="AI296" i="7" s="1"/>
  <c r="AN295" i="7"/>
  <c r="AN296" i="7" s="1"/>
  <c r="AP295" i="7"/>
  <c r="AP296" i="7" s="1"/>
  <c r="V328" i="7"/>
  <c r="V329" i="7" s="1"/>
  <c r="Z328" i="7"/>
  <c r="Z329" i="7" s="1"/>
  <c r="AD328" i="7"/>
  <c r="AD329" i="7" s="1"/>
  <c r="AF328" i="7"/>
  <c r="AF329" i="7" s="1"/>
  <c r="AH328" i="7"/>
  <c r="AH329" i="7" s="1"/>
  <c r="AJ328" i="7"/>
  <c r="AJ329" i="7" s="1"/>
  <c r="AL328" i="7"/>
  <c r="AL329" i="7" s="1"/>
  <c r="AO328" i="7"/>
  <c r="AO329" i="7" s="1"/>
  <c r="Q328" i="7"/>
  <c r="S328" i="7"/>
  <c r="S329" i="7" s="1"/>
  <c r="W328" i="7"/>
  <c r="W329" i="7" s="1"/>
  <c r="Y328" i="7"/>
  <c r="Y329" i="7" s="1"/>
  <c r="AA328" i="7"/>
  <c r="AA329" i="7" s="1"/>
  <c r="AG328" i="7"/>
  <c r="AG329" i="7" s="1"/>
  <c r="AI328" i="7"/>
  <c r="AI329" i="7" s="1"/>
  <c r="AP328" i="7"/>
  <c r="AP329" i="7" s="1"/>
  <c r="AE358" i="7"/>
  <c r="AE359" i="7" s="1"/>
  <c r="AJ358" i="7"/>
  <c r="AJ359" i="7" s="1"/>
  <c r="T358" i="7"/>
  <c r="T359" i="7" s="1"/>
  <c r="AA358" i="7"/>
  <c r="AA359" i="7" s="1"/>
  <c r="AK358" i="7"/>
  <c r="AK359" i="7" s="1"/>
  <c r="AP358" i="7"/>
  <c r="AP359" i="7" s="1"/>
  <c r="Q382" i="7"/>
  <c r="S419" i="7"/>
  <c r="AD419" i="7"/>
  <c r="AI457" i="7"/>
  <c r="AM457" i="7"/>
  <c r="AE496" i="7"/>
  <c r="AD619" i="7"/>
  <c r="AO696" i="7"/>
  <c r="AF419" i="7"/>
  <c r="AK419" i="7"/>
  <c r="U437" i="7"/>
  <c r="R437" i="7"/>
  <c r="AC437" i="7"/>
  <c r="AL437" i="7"/>
  <c r="AO457" i="7"/>
  <c r="Q457" i="7"/>
  <c r="Y457" i="7"/>
  <c r="AA457" i="7"/>
  <c r="V633" i="7"/>
  <c r="AF633" i="7"/>
  <c r="AI633" i="7"/>
  <c r="AK633" i="7"/>
  <c r="AM633" i="7"/>
  <c r="AP633" i="7"/>
  <c r="V661" i="7"/>
  <c r="AL661" i="7"/>
  <c r="U661" i="7"/>
  <c r="W661" i="7"/>
  <c r="AA661" i="7"/>
  <c r="AK661" i="7"/>
  <c r="AO661" i="7"/>
  <c r="AA696" i="7"/>
  <c r="AP696" i="7"/>
  <c r="AP715" i="7" s="1"/>
  <c r="AP716" i="7" s="1"/>
  <c r="AM90" i="7"/>
  <c r="AR90" i="7" s="1"/>
  <c r="W192" i="7"/>
  <c r="W193" i="7" s="1"/>
  <c r="AA192" i="7"/>
  <c r="AA193" i="7" s="1"/>
  <c r="AC192" i="7"/>
  <c r="AC193" i="7" s="1"/>
  <c r="AE192" i="7"/>
  <c r="AE193" i="7" s="1"/>
  <c r="AK192" i="7"/>
  <c r="AK193" i="7" s="1"/>
  <c r="AM223" i="7"/>
  <c r="AM224" i="7" s="1"/>
  <c r="S251" i="7"/>
  <c r="AI251" i="7"/>
  <c r="T266" i="7"/>
  <c r="AB266" i="7"/>
  <c r="T128" i="7"/>
  <c r="AR128" i="7" s="1"/>
  <c r="AL266" i="7"/>
  <c r="AA382" i="7"/>
  <c r="T419" i="7"/>
  <c r="Q419" i="7"/>
  <c r="AH661" i="7"/>
  <c r="AO713" i="7"/>
  <c r="AO714" i="7" s="1"/>
  <c r="AM294" i="7"/>
  <c r="AR294" i="7" s="1"/>
  <c r="AM314" i="7"/>
  <c r="AR314" i="7" s="1"/>
  <c r="AM285" i="7"/>
  <c r="AR285" i="7" s="1"/>
  <c r="AM78" i="7"/>
  <c r="AF117" i="7"/>
  <c r="U102" i="7"/>
  <c r="U103" i="7" s="1"/>
  <c r="U117" i="7" s="1"/>
  <c r="AJ117" i="7"/>
  <c r="R136" i="7"/>
  <c r="AM145" i="7"/>
  <c r="AM157" i="7" s="1"/>
  <c r="Z157" i="7"/>
  <c r="S172" i="7"/>
  <c r="AM473" i="7"/>
  <c r="AM474" i="7" s="1"/>
  <c r="W619" i="7"/>
  <c r="R696" i="7"/>
  <c r="AE696" i="7"/>
  <c r="AE715" i="7" s="1"/>
  <c r="AE716" i="7" s="1"/>
  <c r="Q696" i="7"/>
  <c r="AA36" i="7"/>
  <c r="AA66" i="7" s="1"/>
  <c r="AA67" i="7" s="1"/>
  <c r="AD136" i="7"/>
  <c r="AL136" i="7"/>
  <c r="AP382" i="7"/>
  <c r="AO382" i="7"/>
  <c r="R520" i="7"/>
  <c r="X633" i="7"/>
  <c r="W633" i="7"/>
  <c r="AD633" i="7"/>
  <c r="AN670" i="7"/>
  <c r="AN671" i="7" s="1"/>
  <c r="S730" i="7"/>
  <c r="S731" i="7" s="1"/>
  <c r="S732" i="7" s="1"/>
  <c r="S733" i="7" s="1"/>
  <c r="R193" i="7"/>
  <c r="Z193" i="7"/>
  <c r="Z382" i="7"/>
  <c r="AP584" i="7"/>
  <c r="AP619" i="7" s="1"/>
  <c r="AF619" i="7"/>
  <c r="S619" i="7"/>
  <c r="AC619" i="7"/>
  <c r="Q633" i="7"/>
  <c r="AA633" i="7"/>
  <c r="AM64" i="7"/>
  <c r="AM65" i="7" s="1"/>
  <c r="AM101" i="7"/>
  <c r="V157" i="7"/>
  <c r="AH157" i="7"/>
  <c r="AM244" i="7"/>
  <c r="AR244" i="7" s="1"/>
  <c r="AM321" i="7"/>
  <c r="AR321" i="7" s="1"/>
  <c r="S36" i="7"/>
  <c r="S66" i="7" s="1"/>
  <c r="S67" i="7" s="1"/>
  <c r="W36" i="7"/>
  <c r="W66" i="7" s="1"/>
  <c r="W67" i="7" s="1"/>
  <c r="AC36" i="7"/>
  <c r="AC66" i="7" s="1"/>
  <c r="AC67" i="7" s="1"/>
  <c r="X172" i="7"/>
  <c r="AF172" i="7"/>
  <c r="AF213" i="7"/>
  <c r="AM250" i="7"/>
  <c r="AR250" i="7" s="1"/>
  <c r="AI36" i="7"/>
  <c r="AI66" i="7" s="1"/>
  <c r="AI67" i="7" s="1"/>
  <c r="AL66" i="7"/>
  <c r="AL67" i="7" s="1"/>
  <c r="AM36" i="7"/>
  <c r="Y102" i="7"/>
  <c r="Y103" i="7" s="1"/>
  <c r="Y117" i="7" s="1"/>
  <c r="AC102" i="7"/>
  <c r="AC103" i="7" s="1"/>
  <c r="AC117" i="7" s="1"/>
  <c r="AG102" i="7"/>
  <c r="AG103" i="7" s="1"/>
  <c r="AG117" i="7" s="1"/>
  <c r="AK102" i="7"/>
  <c r="AK103" i="7" s="1"/>
  <c r="AK117" i="7" s="1"/>
  <c r="Q102" i="7"/>
  <c r="Q103" i="7" s="1"/>
  <c r="AI136" i="7"/>
  <c r="X136" i="7"/>
  <c r="AJ136" i="7"/>
  <c r="T172" i="7"/>
  <c r="U192" i="7"/>
  <c r="U193" i="7" s="1"/>
  <c r="Y192" i="7"/>
  <c r="Y193" i="7" s="1"/>
  <c r="AB192" i="7"/>
  <c r="AB193" i="7" s="1"/>
  <c r="AJ213" i="7"/>
  <c r="AP213" i="7"/>
  <c r="T251" i="7"/>
  <c r="Q266" i="7"/>
  <c r="Y266" i="7"/>
  <c r="V419" i="7"/>
  <c r="AP419" i="7"/>
  <c r="AM479" i="7"/>
  <c r="AR479" i="7" s="1"/>
  <c r="AM515" i="7"/>
  <c r="AR515" i="7" s="1"/>
  <c r="AM528" i="7"/>
  <c r="AM529" i="7" s="1"/>
  <c r="AM695" i="7"/>
  <c r="AR695" i="7" s="1"/>
  <c r="W407" i="7"/>
  <c r="W419" i="7" s="1"/>
  <c r="AI382" i="7"/>
  <c r="AK382" i="7"/>
  <c r="S437" i="7"/>
  <c r="W437" i="7"/>
  <c r="AI708" i="7"/>
  <c r="AL715" i="7"/>
  <c r="AL716" i="7" s="1"/>
  <c r="R36" i="7"/>
  <c r="R66" i="7" s="1"/>
  <c r="R67" i="7" s="1"/>
  <c r="Z36" i="7"/>
  <c r="Z66" i="7" s="1"/>
  <c r="Z67" i="7" s="1"/>
  <c r="AH36" i="7"/>
  <c r="AH66" i="7" s="1"/>
  <c r="AH67" i="7" s="1"/>
  <c r="AP36" i="7"/>
  <c r="AP66" i="7" s="1"/>
  <c r="AP67" i="7" s="1"/>
  <c r="AM41" i="7"/>
  <c r="AM42" i="7" s="1"/>
  <c r="AO102" i="7"/>
  <c r="AO103" i="7" s="1"/>
  <c r="AO117" i="7" s="1"/>
  <c r="AL114" i="7"/>
  <c r="AL115" i="7" s="1"/>
  <c r="AL116" i="7" s="1"/>
  <c r="V136" i="7"/>
  <c r="Z136" i="7"/>
  <c r="AH136" i="7"/>
  <c r="AN136" i="7"/>
  <c r="S136" i="7"/>
  <c r="X157" i="7"/>
  <c r="AF157" i="7"/>
  <c r="AB172" i="7"/>
  <c r="AJ172" i="7"/>
  <c r="AM187" i="7"/>
  <c r="AR187" i="7" s="1"/>
  <c r="S192" i="7"/>
  <c r="S193" i="7" s="1"/>
  <c r="AF192" i="7"/>
  <c r="AF193" i="7" s="1"/>
  <c r="T213" i="7"/>
  <c r="AB213" i="7"/>
  <c r="AN213" i="7"/>
  <c r="AA224" i="7"/>
  <c r="AB136" i="7"/>
  <c r="AF136" i="7"/>
  <c r="AP136" i="7"/>
  <c r="AM191" i="7"/>
  <c r="AR191" i="7" s="1"/>
  <c r="Q212" i="7"/>
  <c r="X213" i="7"/>
  <c r="S224" i="7"/>
  <c r="AM261" i="7"/>
  <c r="AR261" i="7" s="1"/>
  <c r="AP266" i="7"/>
  <c r="U358" i="7"/>
  <c r="U359" i="7" s="1"/>
  <c r="T328" i="7"/>
  <c r="T329" i="7" s="1"/>
  <c r="AB328" i="7"/>
  <c r="AB329" i="7" s="1"/>
  <c r="AD358" i="7"/>
  <c r="AD359" i="7" s="1"/>
  <c r="AL358" i="7"/>
  <c r="AL359" i="7" s="1"/>
  <c r="R419" i="7"/>
  <c r="AA419" i="7"/>
  <c r="AE457" i="7"/>
  <c r="R457" i="7"/>
  <c r="V457" i="7"/>
  <c r="Z457" i="7"/>
  <c r="AJ457" i="7"/>
  <c r="U520" i="7"/>
  <c r="AF696" i="7"/>
  <c r="AN157" i="7"/>
  <c r="AE172" i="7"/>
  <c r="Q172" i="7"/>
  <c r="Z172" i="7"/>
  <c r="AL172" i="7"/>
  <c r="AP172" i="7"/>
  <c r="T193" i="7"/>
  <c r="AN193" i="7"/>
  <c r="U266" i="7"/>
  <c r="AG266" i="7"/>
  <c r="AK266" i="7"/>
  <c r="AI358" i="7"/>
  <c r="AI359" i="7" s="1"/>
  <c r="AE382" i="7"/>
  <c r="T382" i="7"/>
  <c r="V382" i="7"/>
  <c r="X382" i="7"/>
  <c r="AC382" i="7"/>
  <c r="AJ382" i="7"/>
  <c r="AJ419" i="7"/>
  <c r="U419" i="7"/>
  <c r="AE419" i="7"/>
  <c r="AO419" i="7"/>
  <c r="Z419" i="7"/>
  <c r="V437" i="7"/>
  <c r="AE437" i="7"/>
  <c r="T457" i="7"/>
  <c r="S457" i="7"/>
  <c r="W457" i="7"/>
  <c r="Q661" i="7"/>
  <c r="AM689" i="7"/>
  <c r="AR689" i="7" s="1"/>
  <c r="Z670" i="7"/>
  <c r="Z671" i="7" s="1"/>
  <c r="AH696" i="7"/>
  <c r="U708" i="7"/>
  <c r="W708" i="7"/>
  <c r="AF382" i="7"/>
  <c r="X661" i="7"/>
  <c r="X117" i="7"/>
  <c r="AE117" i="7"/>
  <c r="AB117" i="7"/>
  <c r="AH117" i="7"/>
  <c r="Z117" i="7"/>
  <c r="W213" i="7"/>
  <c r="AA213" i="7"/>
  <c r="AE213" i="7"/>
  <c r="X192" i="7"/>
  <c r="X193" i="7" s="1"/>
  <c r="AJ192" i="7"/>
  <c r="AJ193" i="7" s="1"/>
  <c r="AI213" i="7"/>
  <c r="AI224" i="7"/>
  <c r="AB251" i="7"/>
  <c r="Z266" i="7"/>
  <c r="Z267" i="7" s="1"/>
  <c r="Z268" i="7" s="1"/>
  <c r="AC266" i="7"/>
  <c r="AC358" i="7"/>
  <c r="AC359" i="7" s="1"/>
  <c r="S213" i="7"/>
  <c r="AJ251" i="7"/>
  <c r="AD266" i="7"/>
  <c r="AM382" i="7"/>
  <c r="AJ661" i="7"/>
  <c r="AO730" i="7"/>
  <c r="AO731" i="7" s="1"/>
  <c r="AO732" i="7" s="1"/>
  <c r="AO733" i="7" s="1"/>
  <c r="S633" i="7"/>
  <c r="AP661" i="7"/>
  <c r="V696" i="7"/>
  <c r="AB708" i="7"/>
  <c r="S708" i="7"/>
  <c r="AF708" i="7"/>
  <c r="X619" i="7"/>
  <c r="F120" i="8" l="1"/>
  <c r="F77" i="8"/>
  <c r="F52" i="8"/>
  <c r="F90" i="8"/>
  <c r="F29" i="8"/>
  <c r="V715" i="7"/>
  <c r="V716" i="7" s="1"/>
  <c r="AM496" i="7"/>
  <c r="AF342" i="7"/>
  <c r="F60" i="8"/>
  <c r="W715" i="7"/>
  <c r="W716" i="7" s="1"/>
  <c r="AC670" i="7"/>
  <c r="AC671" i="7" s="1"/>
  <c r="E121" i="8"/>
  <c r="F121" i="8" s="1"/>
  <c r="F45" i="8"/>
  <c r="AR172" i="7"/>
  <c r="AO266" i="7"/>
  <c r="AJ715" i="7"/>
  <c r="AJ716" i="7" s="1"/>
  <c r="AD715" i="7"/>
  <c r="AD716" i="7" s="1"/>
  <c r="AR204" i="7"/>
  <c r="T715" i="7"/>
  <c r="T716" i="7" s="1"/>
  <c r="AR357" i="7"/>
  <c r="AR339" i="7"/>
  <c r="AH715" i="7"/>
  <c r="AH716" i="7" s="1"/>
  <c r="AO225" i="7"/>
  <c r="AO226" i="7" s="1"/>
  <c r="AR368" i="7"/>
  <c r="AR730" i="7"/>
  <c r="AK530" i="7"/>
  <c r="AK531" i="7" s="1"/>
  <c r="F10" i="8"/>
  <c r="E128" i="8"/>
  <c r="F21" i="8"/>
  <c r="AR419" i="7"/>
  <c r="AR65" i="7"/>
  <c r="S670" i="7"/>
  <c r="S671" i="7" s="1"/>
  <c r="Q213" i="7"/>
  <c r="AR213" i="7" s="1"/>
  <c r="AR212" i="7"/>
  <c r="AR457" i="7"/>
  <c r="AR157" i="7"/>
  <c r="AR681" i="7"/>
  <c r="AR473" i="7"/>
  <c r="AR78" i="7"/>
  <c r="AR166" i="7"/>
  <c r="AR713" i="7"/>
  <c r="AR350" i="7"/>
  <c r="AR41" i="7"/>
  <c r="Q732" i="7"/>
  <c r="AR731" i="7"/>
  <c r="AR407" i="7"/>
  <c r="Q341" i="7"/>
  <c r="AR341" i="7" s="1"/>
  <c r="AR340" i="7"/>
  <c r="Q296" i="7"/>
  <c r="Q66" i="7"/>
  <c r="AR36" i="7"/>
  <c r="AR619" i="7"/>
  <c r="AD267" i="7"/>
  <c r="AD268" i="7" s="1"/>
  <c r="AR633" i="7"/>
  <c r="Q329" i="7"/>
  <c r="AR224" i="7"/>
  <c r="Q193" i="7"/>
  <c r="AR437" i="7"/>
  <c r="AR650" i="7"/>
  <c r="AR528" i="7"/>
  <c r="AR474" i="7"/>
  <c r="AR414" i="7"/>
  <c r="AR223" i="7"/>
  <c r="Q80" i="7"/>
  <c r="AR21" i="7"/>
  <c r="G10" i="8" s="1"/>
  <c r="AR114" i="7"/>
  <c r="AR714" i="7"/>
  <c r="AR351" i="7"/>
  <c r="AR42" i="7"/>
  <c r="AR382" i="7"/>
  <c r="AR496" i="7"/>
  <c r="Q540" i="7"/>
  <c r="AR539" i="7"/>
  <c r="Q358" i="7"/>
  <c r="AR661" i="7"/>
  <c r="AM266" i="7"/>
  <c r="AR266" i="7" s="1"/>
  <c r="AJ670" i="7"/>
  <c r="AJ671" i="7" s="1"/>
  <c r="AI715" i="7"/>
  <c r="AI716" i="7" s="1"/>
  <c r="AD173" i="7"/>
  <c r="AD194" i="7" s="1"/>
  <c r="AL670" i="7"/>
  <c r="AL671" i="7" s="1"/>
  <c r="AO342" i="7"/>
  <c r="U342" i="7"/>
  <c r="AR708" i="7"/>
  <c r="AR529" i="7"/>
  <c r="Q23" i="7"/>
  <c r="AR22" i="7"/>
  <c r="Q116" i="7"/>
  <c r="AR116" i="7" s="1"/>
  <c r="AR115" i="7"/>
  <c r="AR584" i="7"/>
  <c r="AR356" i="7"/>
  <c r="AR218" i="7"/>
  <c r="AR145" i="7"/>
  <c r="Q744" i="7"/>
  <c r="AR743" i="7"/>
  <c r="AR64" i="7"/>
  <c r="S102" i="7"/>
  <c r="AR101" i="7"/>
  <c r="T225" i="7"/>
  <c r="T226" i="7" s="1"/>
  <c r="AL225" i="7"/>
  <c r="AL226" i="7" s="1"/>
  <c r="AN225" i="7"/>
  <c r="AN226" i="7" s="1"/>
  <c r="AA173" i="7"/>
  <c r="AH530" i="7"/>
  <c r="AH531" i="7" s="1"/>
  <c r="AJ530" i="7"/>
  <c r="AJ531" i="7" s="1"/>
  <c r="AK715" i="7"/>
  <c r="AK716" i="7" s="1"/>
  <c r="U715" i="7"/>
  <c r="U716" i="7" s="1"/>
  <c r="Z342" i="7"/>
  <c r="AH267" i="7"/>
  <c r="AH268" i="7" s="1"/>
  <c r="R342" i="7"/>
  <c r="AM358" i="7"/>
  <c r="AM359" i="7" s="1"/>
  <c r="AK342" i="7"/>
  <c r="W530" i="7"/>
  <c r="W531" i="7" s="1"/>
  <c r="Y173" i="7"/>
  <c r="Y194" i="7" s="1"/>
  <c r="AC267" i="7"/>
  <c r="AC268" i="7" s="1"/>
  <c r="AE225" i="7"/>
  <c r="AE226" i="7" s="1"/>
  <c r="AP225" i="7"/>
  <c r="AP226" i="7" s="1"/>
  <c r="U670" i="7"/>
  <c r="U671" i="7" s="1"/>
  <c r="Y464" i="7"/>
  <c r="Y465" i="7" s="1"/>
  <c r="AD464" i="7"/>
  <c r="AD465" i="7" s="1"/>
  <c r="AE267" i="7"/>
  <c r="AE268" i="7" s="1"/>
  <c r="AE670" i="7"/>
  <c r="AE671" i="7" s="1"/>
  <c r="AK173" i="7"/>
  <c r="AK194" i="7" s="1"/>
  <c r="AA267" i="7"/>
  <c r="AA268" i="7" s="1"/>
  <c r="AM79" i="7"/>
  <c r="AM80" i="7" s="1"/>
  <c r="AM81" i="7" s="1"/>
  <c r="AF670" i="7"/>
  <c r="AF671" i="7" s="1"/>
  <c r="AD670" i="7"/>
  <c r="AD671" i="7" s="1"/>
  <c r="AG342" i="7"/>
  <c r="AC715" i="7"/>
  <c r="AC716" i="7" s="1"/>
  <c r="AM696" i="7"/>
  <c r="AM715" i="7" s="1"/>
  <c r="AM716" i="7" s="1"/>
  <c r="S267" i="7"/>
  <c r="S268" i="7" s="1"/>
  <c r="AL464" i="7"/>
  <c r="AL465" i="7" s="1"/>
  <c r="AC342" i="7"/>
  <c r="Q530" i="7"/>
  <c r="AG225" i="7"/>
  <c r="AG226" i="7" s="1"/>
  <c r="X342" i="7"/>
  <c r="AA194" i="7"/>
  <c r="AC225" i="7"/>
  <c r="AC226" i="7" s="1"/>
  <c r="AG173" i="7"/>
  <c r="AG194" i="7" s="1"/>
  <c r="S715" i="7"/>
  <c r="S716" i="7" s="1"/>
  <c r="AB715" i="7"/>
  <c r="AB716" i="7" s="1"/>
  <c r="U530" i="7"/>
  <c r="U531" i="7" s="1"/>
  <c r="AM520" i="7"/>
  <c r="AI173" i="7"/>
  <c r="AF225" i="7"/>
  <c r="AF226" i="7" s="1"/>
  <c r="Q715" i="7"/>
  <c r="AI267" i="7"/>
  <c r="AI268" i="7" s="1"/>
  <c r="AA715" i="7"/>
  <c r="AA716" i="7" s="1"/>
  <c r="AP342" i="7"/>
  <c r="S342" i="7"/>
  <c r="W267" i="7"/>
  <c r="W268" i="7" s="1"/>
  <c r="V225" i="7"/>
  <c r="V226" i="7" s="1"/>
  <c r="Z225" i="7"/>
  <c r="Z226" i="7" s="1"/>
  <c r="W173" i="7"/>
  <c r="W194" i="7" s="1"/>
  <c r="AC173" i="7"/>
  <c r="AC194" i="7" s="1"/>
  <c r="R670" i="7"/>
  <c r="R671" i="7" s="1"/>
  <c r="V530" i="7"/>
  <c r="V531" i="7" s="1"/>
  <c r="AK225" i="7"/>
  <c r="AK226" i="7" s="1"/>
  <c r="U225" i="7"/>
  <c r="U226" i="7" s="1"/>
  <c r="Y267" i="7"/>
  <c r="Y268" i="7" s="1"/>
  <c r="R715" i="7"/>
  <c r="R716" i="7" s="1"/>
  <c r="V670" i="7"/>
  <c r="V671" i="7" s="1"/>
  <c r="AI670" i="7"/>
  <c r="AI671" i="7" s="1"/>
  <c r="AE530" i="7"/>
  <c r="AE531" i="7" s="1"/>
  <c r="Y342" i="7"/>
  <c r="V342" i="7"/>
  <c r="AN342" i="7"/>
  <c r="AE342" i="7"/>
  <c r="X267" i="7"/>
  <c r="X268" i="7" s="1"/>
  <c r="AD225" i="7"/>
  <c r="AD226" i="7" s="1"/>
  <c r="R225" i="7"/>
  <c r="R226" i="7" s="1"/>
  <c r="T670" i="7"/>
  <c r="T671" i="7" s="1"/>
  <c r="U173" i="7"/>
  <c r="U194" i="7" s="1"/>
  <c r="W670" i="7"/>
  <c r="W671" i="7" s="1"/>
  <c r="Q464" i="7"/>
  <c r="AH342" i="7"/>
  <c r="R530" i="7"/>
  <c r="R531" i="7" s="1"/>
  <c r="AB267" i="7"/>
  <c r="AB268" i="7" s="1"/>
  <c r="AF464" i="7"/>
  <c r="AF465" i="7" s="1"/>
  <c r="AM670" i="7"/>
  <c r="AM671" i="7" s="1"/>
  <c r="X464" i="7"/>
  <c r="X465" i="7" s="1"/>
  <c r="AK267" i="7"/>
  <c r="AK268" i="7" s="1"/>
  <c r="U267" i="7"/>
  <c r="U268" i="7" s="1"/>
  <c r="AL173" i="7"/>
  <c r="AL194" i="7" s="1"/>
  <c r="Q173" i="7"/>
  <c r="AE173" i="7"/>
  <c r="AE194" i="7" s="1"/>
  <c r="AL117" i="7"/>
  <c r="AJ225" i="7"/>
  <c r="AJ226" i="7" s="1"/>
  <c r="AM328" i="7"/>
  <c r="AM329" i="7" s="1"/>
  <c r="AM173" i="7"/>
  <c r="R173" i="7"/>
  <c r="R194" i="7" s="1"/>
  <c r="AO715" i="7"/>
  <c r="AO716" i="7" s="1"/>
  <c r="AM225" i="7"/>
  <c r="AM226" i="7" s="1"/>
  <c r="W342" i="7"/>
  <c r="AH464" i="7"/>
  <c r="AH465" i="7" s="1"/>
  <c r="AI342" i="7"/>
  <c r="AO173" i="7"/>
  <c r="AO194" i="7" s="1"/>
  <c r="AO670" i="7"/>
  <c r="AO671" i="7" s="1"/>
  <c r="AO267" i="7"/>
  <c r="AO268" i="7" s="1"/>
  <c r="AF715" i="7"/>
  <c r="AF716" i="7" s="1"/>
  <c r="S173" i="7"/>
  <c r="S194" i="7" s="1"/>
  <c r="AH173" i="7"/>
  <c r="AH194" i="7" s="1"/>
  <c r="AM102" i="7"/>
  <c r="AM103" i="7" s="1"/>
  <c r="AM117" i="7" s="1"/>
  <c r="T136" i="7"/>
  <c r="AR136" i="7" s="1"/>
  <c r="AA342" i="7"/>
  <c r="AB342" i="7"/>
  <c r="AJ267" i="7"/>
  <c r="AJ268" i="7" s="1"/>
  <c r="U464" i="7"/>
  <c r="U465" i="7" s="1"/>
  <c r="AG267" i="7"/>
  <c r="AG268" i="7" s="1"/>
  <c r="AA464" i="7"/>
  <c r="AA465" i="7" s="1"/>
  <c r="T342" i="7"/>
  <c r="AP267" i="7"/>
  <c r="AP268" i="7" s="1"/>
  <c r="X225" i="7"/>
  <c r="X226" i="7" s="1"/>
  <c r="AB225" i="7"/>
  <c r="AB226" i="7" s="1"/>
  <c r="Q267" i="7"/>
  <c r="AL267" i="7"/>
  <c r="AL268" i="7" s="1"/>
  <c r="AI530" i="7"/>
  <c r="AI531" i="7" s="1"/>
  <c r="AK670" i="7"/>
  <c r="AK671" i="7" s="1"/>
  <c r="Y225" i="7"/>
  <c r="Y226" i="7" s="1"/>
  <c r="X173" i="7"/>
  <c r="X194" i="7" s="1"/>
  <c r="AK464" i="7"/>
  <c r="AK465" i="7" s="1"/>
  <c r="AL342" i="7"/>
  <c r="AD342" i="7"/>
  <c r="AJ342" i="7"/>
  <c r="V267" i="7"/>
  <c r="V268" i="7" s="1"/>
  <c r="R267" i="7"/>
  <c r="R268" i="7" s="1"/>
  <c r="AH225" i="7"/>
  <c r="AH226" i="7" s="1"/>
  <c r="AP464" i="7"/>
  <c r="AP465" i="7" s="1"/>
  <c r="AA670" i="7"/>
  <c r="AA671" i="7" s="1"/>
  <c r="AJ464" i="7"/>
  <c r="AJ465" i="7" s="1"/>
  <c r="AO464" i="7"/>
  <c r="AO465" i="7" s="1"/>
  <c r="AP670" i="7"/>
  <c r="AP671" i="7" s="1"/>
  <c r="W225" i="7"/>
  <c r="W226" i="7" s="1"/>
  <c r="S464" i="7"/>
  <c r="S465" i="7" s="1"/>
  <c r="T464" i="7"/>
  <c r="T465" i="7" s="1"/>
  <c r="Z173" i="7"/>
  <c r="Z194" i="7" s="1"/>
  <c r="T267" i="7"/>
  <c r="T268" i="7" s="1"/>
  <c r="AM251" i="7"/>
  <c r="AR251" i="7" s="1"/>
  <c r="AM464" i="7"/>
  <c r="AM465" i="7" s="1"/>
  <c r="AI464" i="7"/>
  <c r="AI465" i="7" s="1"/>
  <c r="AM295" i="7"/>
  <c r="AM296" i="7" s="1"/>
  <c r="AH670" i="7"/>
  <c r="AH671" i="7" s="1"/>
  <c r="AI225" i="7"/>
  <c r="AI226" i="7" s="1"/>
  <c r="AP173" i="7"/>
  <c r="AP194" i="7" s="1"/>
  <c r="AN173" i="7"/>
  <c r="AN194" i="7" s="1"/>
  <c r="AM66" i="7"/>
  <c r="AM67" i="7" s="1"/>
  <c r="W464" i="7"/>
  <c r="W465" i="7" s="1"/>
  <c r="S225" i="7"/>
  <c r="S226" i="7" s="1"/>
  <c r="AA225" i="7"/>
  <c r="AA226" i="7" s="1"/>
  <c r="Q670" i="7"/>
  <c r="AC464" i="7"/>
  <c r="AC465" i="7" s="1"/>
  <c r="AM192" i="7"/>
  <c r="AM193" i="7" s="1"/>
  <c r="AJ173" i="7"/>
  <c r="AJ194" i="7" s="1"/>
  <c r="V173" i="7"/>
  <c r="V194" i="7" s="1"/>
  <c r="AI194" i="7"/>
  <c r="X670" i="7"/>
  <c r="X671" i="7" s="1"/>
  <c r="AE464" i="7"/>
  <c r="AE465" i="7" s="1"/>
  <c r="V464" i="7"/>
  <c r="V465" i="7" s="1"/>
  <c r="AF173" i="7"/>
  <c r="AF194" i="7" s="1"/>
  <c r="Z464" i="7"/>
  <c r="Z465" i="7" s="1"/>
  <c r="R464" i="7"/>
  <c r="R465" i="7" s="1"/>
  <c r="AB173" i="7"/>
  <c r="AB194" i="7" s="1"/>
  <c r="AM530" i="7" l="1"/>
  <c r="AM531" i="7" s="1"/>
  <c r="T173" i="7"/>
  <c r="T194" i="7" s="1"/>
  <c r="F128" i="8"/>
  <c r="Q465" i="7"/>
  <c r="AR465" i="7" s="1"/>
  <c r="G77" i="8" s="1"/>
  <c r="AR464" i="7"/>
  <c r="Q342" i="7"/>
  <c r="Q716" i="7"/>
  <c r="AR716" i="7" s="1"/>
  <c r="G120" i="8" s="1"/>
  <c r="AR715" i="7"/>
  <c r="Q531" i="7"/>
  <c r="AR531" i="7" s="1"/>
  <c r="G90" i="8" s="1"/>
  <c r="AR530" i="7"/>
  <c r="Q225" i="7"/>
  <c r="Q117" i="7"/>
  <c r="AR79" i="7"/>
  <c r="AR192" i="7"/>
  <c r="AR328" i="7"/>
  <c r="AR295" i="7"/>
  <c r="Q194" i="7"/>
  <c r="AR173" i="7"/>
  <c r="Q745" i="7"/>
  <c r="AR745" i="7" s="1"/>
  <c r="G122" i="8" s="1"/>
  <c r="AR744" i="7"/>
  <c r="Q24" i="7"/>
  <c r="AR24" i="7" s="1"/>
  <c r="AR23" i="7"/>
  <c r="Q359" i="7"/>
  <c r="AR359" i="7" s="1"/>
  <c r="G63" i="8" s="1"/>
  <c r="AR358" i="7"/>
  <c r="Q81" i="7"/>
  <c r="AR81" i="7" s="1"/>
  <c r="G21" i="8" s="1"/>
  <c r="AR80" i="7"/>
  <c r="AR193" i="7"/>
  <c r="AR329" i="7"/>
  <c r="AR296" i="7"/>
  <c r="AR696" i="7"/>
  <c r="Q268" i="7"/>
  <c r="Q541" i="7"/>
  <c r="AR541" i="7" s="1"/>
  <c r="G91" i="8" s="1"/>
  <c r="AR540" i="7"/>
  <c r="Q671" i="7"/>
  <c r="AR671" i="7" s="1"/>
  <c r="G114" i="8" s="1"/>
  <c r="AR670" i="7"/>
  <c r="AM267" i="7"/>
  <c r="AM268" i="7" s="1"/>
  <c r="AR520" i="7"/>
  <c r="Q67" i="7"/>
  <c r="AR67" i="7" s="1"/>
  <c r="G19" i="8" s="1"/>
  <c r="AR66" i="7"/>
  <c r="Q733" i="7"/>
  <c r="AR733" i="7" s="1"/>
  <c r="G121" i="8" s="1"/>
  <c r="AR732" i="7"/>
  <c r="S103" i="7"/>
  <c r="AR102" i="7"/>
  <c r="AN673" i="7"/>
  <c r="AN747" i="7" s="1"/>
  <c r="AM342" i="7"/>
  <c r="AD673" i="7"/>
  <c r="AD747" i="7" s="1"/>
  <c r="AF673" i="7"/>
  <c r="AF747" i="7" s="1"/>
  <c r="AE673" i="7"/>
  <c r="AE747" i="7" s="1"/>
  <c r="AM194" i="7"/>
  <c r="U673" i="7"/>
  <c r="U747" i="7" s="1"/>
  <c r="R673" i="7"/>
  <c r="R747" i="7" s="1"/>
  <c r="AL673" i="7"/>
  <c r="AL747" i="7" s="1"/>
  <c r="AG673" i="7"/>
  <c r="AG747" i="7" s="1"/>
  <c r="AC673" i="7"/>
  <c r="AC747" i="7" s="1"/>
  <c r="V673" i="7"/>
  <c r="V747" i="7" s="1"/>
  <c r="AB673" i="7"/>
  <c r="AB747" i="7" s="1"/>
  <c r="Z673" i="7"/>
  <c r="Z747" i="7" s="1"/>
  <c r="Y673" i="7"/>
  <c r="Y747" i="7" s="1"/>
  <c r="AO673" i="7"/>
  <c r="AO747" i="7" s="1"/>
  <c r="AP673" i="7"/>
  <c r="AP747" i="7" s="1"/>
  <c r="AA673" i="7"/>
  <c r="AA747" i="7" s="1"/>
  <c r="AH673" i="7"/>
  <c r="AH747" i="7" s="1"/>
  <c r="AK673" i="7"/>
  <c r="AK747" i="7" s="1"/>
  <c r="X673" i="7"/>
  <c r="X747" i="7" s="1"/>
  <c r="W673" i="7"/>
  <c r="W747" i="7" s="1"/>
  <c r="AI673" i="7"/>
  <c r="AI747" i="7" s="1"/>
  <c r="AJ673" i="7"/>
  <c r="AJ747" i="7" s="1"/>
  <c r="T673" i="7"/>
  <c r="T747" i="7" s="1"/>
  <c r="AR268" i="7" l="1"/>
  <c r="G52" i="8" s="1"/>
  <c r="Q226" i="7"/>
  <c r="AR226" i="7" s="1"/>
  <c r="G45" i="8" s="1"/>
  <c r="AR225" i="7"/>
  <c r="AM673" i="7"/>
  <c r="AM747" i="7" s="1"/>
  <c r="AR342" i="7"/>
  <c r="G60" i="8" s="1"/>
  <c r="AR194" i="7"/>
  <c r="G39" i="8" s="1"/>
  <c r="AR267" i="7"/>
  <c r="AR103" i="7"/>
  <c r="S117" i="7"/>
  <c r="Q673" i="7" l="1"/>
  <c r="Q747" i="7" s="1"/>
  <c r="AR117" i="7"/>
  <c r="G29" i="8" s="1"/>
  <c r="S673" i="7"/>
  <c r="S747" i="7" l="1"/>
  <c r="AR673" i="7"/>
  <c r="AR747" i="7" s="1"/>
  <c r="G128" i="8" s="1"/>
</calcChain>
</file>

<file path=xl/sharedStrings.xml><?xml version="1.0" encoding="utf-8"?>
<sst xmlns="http://schemas.openxmlformats.org/spreadsheetml/2006/main" count="2084" uniqueCount="985">
  <si>
    <t xml:space="preserve"> </t>
  </si>
  <si>
    <t>ESTRATEGIA</t>
  </si>
  <si>
    <t>PROGRAMA</t>
  </si>
  <si>
    <t>META DE RESULTADO</t>
  </si>
  <si>
    <t>LINEA BASE 2015</t>
  </si>
  <si>
    <t>LINEA ESPERADA 2019</t>
  </si>
  <si>
    <t>SUB PROGRAMA</t>
  </si>
  <si>
    <t>META PRODUCTO</t>
  </si>
  <si>
    <t>LINEA ESPERADA 2017</t>
  </si>
  <si>
    <t xml:space="preserve">CÓDIGO SECTOR </t>
  </si>
  <si>
    <t>CÓDIGO</t>
  </si>
  <si>
    <t xml:space="preserve">NOMBRE DEL PROYECTO </t>
  </si>
  <si>
    <t>TIPO DE META</t>
  </si>
  <si>
    <t>ESTAMPILLA PRO - CULTURA</t>
  </si>
  <si>
    <t>ESTAMPILLA PRO - ADULTO MAYOR</t>
  </si>
  <si>
    <t>ESTAMPILLA PRO - DESARROLLO</t>
  </si>
  <si>
    <t xml:space="preserve">CONTRIBUCION ESPECIAL           (FONDO DE SEGURIDAD 5%) </t>
  </si>
  <si>
    <t>FONDO RENTAS</t>
  </si>
  <si>
    <t>SOBRETASA AL ACPM</t>
  </si>
  <si>
    <t xml:space="preserve">SGP APORTES PATRONALES ( Sin situacion de fondos) </t>
  </si>
  <si>
    <t xml:space="preserve">SGP PRESTACION DE SERVCIOS </t>
  </si>
  <si>
    <t xml:space="preserve">FONDO LOCAL DE SALUD  - RENTAS CEDIDAS  </t>
  </si>
  <si>
    <t xml:space="preserve">FONDO LOCAL DE SALUD  - FONDO DE ESTUPEFACIENTES  </t>
  </si>
  <si>
    <t xml:space="preserve">FONDO LOCAL DE SALUD  - LEY 1393  </t>
  </si>
  <si>
    <t>SGP PRESTACION DE SERVICIOS - EDUCACION</t>
  </si>
  <si>
    <t>SGP CANCELACIÓN DE PRESTACIONES SOCIALES -EDUCACIÓN</t>
  </si>
  <si>
    <t>SGP NECESIDADES EDUCATIVAS ESPECIALES-EDUCACION</t>
  </si>
  <si>
    <t>SGP CONECTIVIDAD - EDUCACION</t>
  </si>
  <si>
    <t>SGP AGUA POTABLE SSF</t>
  </si>
  <si>
    <t xml:space="preserve">RECURSO ORDINARIO </t>
  </si>
  <si>
    <t>COLDEPORTES</t>
  </si>
  <si>
    <t xml:space="preserve">OTROS (IVA TELEFONIA MÓVIL  - REGISTRO)  </t>
  </si>
  <si>
    <t>304 -Secretaría Administrativa</t>
  </si>
  <si>
    <t>BUEN GOBIERNO</t>
  </si>
  <si>
    <t>Gestión Territorial</t>
  </si>
  <si>
    <t>Modernización tecnológica y Administrativa</t>
  </si>
  <si>
    <t xml:space="preserve">     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</si>
  <si>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</si>
  <si>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</si>
  <si>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</si>
  <si>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</si>
  <si>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</si>
  <si>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</si>
  <si>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</si>
  <si>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</si>
  <si>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</si>
  <si>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</si>
  <si>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</si>
  <si>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</si>
  <si>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</si>
  <si>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</si>
  <si>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</si>
  <si>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</si>
  <si>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</si>
  <si>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</si>
  <si>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</si>
  <si>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</si>
  <si>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</si>
  <si>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</si>
  <si>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</si>
  <si>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</si>
  <si>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</si>
  <si>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</si>
  <si>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</si>
  <si>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</si>
  <si>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</si>
  <si>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</si>
  <si>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</si>
  <si>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</si>
  <si>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</si>
  <si>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</si>
  <si>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</si>
  <si>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</si>
  <si>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</si>
  <si>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</si>
  <si>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</si>
  <si>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201763000-0007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</si>
  <si>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</si>
  <si>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</si>
  <si>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</si>
  <si>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</si>
  <si>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</si>
  <si>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</si>
  <si>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</si>
  <si>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</si>
  <si>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</si>
  <si>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</si>
  <si>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</si>
  <si>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</si>
  <si>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</si>
  <si>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</si>
  <si>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</si>
  <si>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</si>
  <si>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</si>
  <si>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</si>
  <si>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</si>
  <si>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</si>
  <si>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</si>
  <si>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</si>
  <si>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</si>
  <si>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</si>
  <si>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</si>
  <si>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</si>
  <si>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</si>
  <si>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</si>
  <si>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</si>
  <si>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</si>
  <si>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</si>
  <si>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</si>
  <si>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</si>
  <si>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</si>
  <si>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</si>
  <si>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</si>
  <si>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</si>
  <si>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</si>
  <si>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</si>
  <si>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</si>
  <si>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</si>
  <si>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</si>
  <si>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</si>
  <si>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</si>
  <si>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</si>
  <si>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</si>
  <si>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</si>
  <si>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</si>
  <si>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</si>
  <si>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</si>
  <si>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</si>
  <si>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</si>
  <si>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</si>
  <si>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</si>
  <si>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</si>
  <si>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</si>
  <si>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</si>
  <si>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</si>
  <si>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 xml:space="preserve">15. Equipamiento </t>
  </si>
  <si>
    <t>201663000-0021</t>
  </si>
  <si>
    <t>Construir, mantener, mejorar y/o rehabilitar la infraestructura social del Departamento del Quindio</t>
  </si>
  <si>
    <t>Apoyar la construcción, mejoramiento y/o rehabilitación de cuatro (4) obras de infraestructura de salud del departamento del Quindío</t>
  </si>
  <si>
    <t>Apoyar la construcción, mejoramiento y/o  rehabilitación de la infraestructura de doce (12) escenarios deportivos y/o recreativos en 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</si>
  <si>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</si>
  <si>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</si>
  <si>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</si>
  <si>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 xml:space="preserve">Desarrollar tres (3) ejercicios de presupuesto participativo con la ciudadanía, para la priorización de recursos de infraestructura física en el Departamento </t>
  </si>
  <si>
    <t>i</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</si>
  <si>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</si>
  <si>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</si>
  <si>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</si>
  <si>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</si>
  <si>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</si>
  <si>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</si>
  <si>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</si>
  <si>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</si>
  <si>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</si>
  <si>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</si>
  <si>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</si>
  <si>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</si>
  <si>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</si>
  <si>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</si>
  <si>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</si>
  <si>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</si>
  <si>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</si>
  <si>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</si>
  <si>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</si>
  <si>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</si>
  <si>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</si>
  <si>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</si>
  <si>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</si>
  <si>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</si>
  <si>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</si>
  <si>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</si>
  <si>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</si>
  <si>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</si>
  <si>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</si>
  <si>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</si>
  <si>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</si>
  <si>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</si>
  <si>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</si>
  <si>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</si>
  <si>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</si>
  <si>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</si>
  <si>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</si>
  <si>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</si>
  <si>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</si>
  <si>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</si>
  <si>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 xml:space="preserve">5
</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</si>
  <si>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</si>
  <si>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</si>
  <si>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</si>
  <si>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</si>
  <si>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</si>
  <si>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</si>
  <si>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</si>
  <si>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</si>
  <si>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</si>
  <si>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</si>
  <si>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</si>
  <si>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</si>
  <si>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</si>
  <si>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</si>
  <si>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</si>
  <si>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</si>
  <si>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</si>
  <si>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</si>
  <si>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</si>
  <si>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</si>
  <si>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</si>
  <si>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</si>
  <si>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</si>
  <si>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</si>
  <si>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</si>
  <si>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</si>
  <si>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</si>
  <si>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</si>
  <si>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</si>
  <si>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</si>
  <si>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</si>
  <si>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</si>
  <si>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</si>
  <si>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</si>
  <si>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</si>
  <si>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</si>
  <si>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</si>
  <si>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</si>
  <si>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</si>
  <si>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</si>
  <si>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</si>
  <si>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</si>
  <si>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</si>
  <si>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</si>
  <si>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</si>
  <si>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</si>
  <si>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</si>
  <si>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</si>
  <si>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</si>
  <si>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</si>
  <si>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</si>
  <si>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</si>
  <si>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</si>
  <si>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</si>
  <si>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</si>
  <si>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</si>
  <si>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</si>
  <si>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</si>
  <si>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</si>
  <si>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</si>
  <si>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</si>
  <si>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</si>
  <si>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</si>
  <si>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</si>
  <si>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</si>
  <si>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</si>
  <si>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</si>
  <si>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</si>
  <si>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</si>
  <si>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</si>
  <si>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</si>
  <si>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</si>
  <si>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</si>
  <si>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</si>
  <si>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</si>
  <si>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</si>
  <si>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</si>
  <si>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</si>
  <si>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</si>
  <si>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</si>
  <si>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</si>
  <si>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</si>
  <si>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</si>
  <si>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</si>
  <si>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</si>
  <si>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</si>
  <si>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</si>
  <si>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</si>
  <si>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</si>
  <si>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</si>
  <si>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</si>
  <si>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</si>
  <si>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</si>
  <si>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</si>
  <si>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</si>
  <si>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</si>
  <si>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</si>
  <si>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</si>
  <si>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</si>
  <si>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</si>
  <si>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</si>
  <si>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</si>
  <si>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</si>
  <si>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</si>
  <si>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</si>
  <si>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</si>
  <si>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</si>
  <si>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</si>
  <si>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</si>
  <si>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</si>
  <si>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</si>
  <si>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</si>
  <si>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</si>
  <si>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</si>
  <si>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</si>
  <si>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</si>
  <si>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</si>
  <si>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</si>
  <si>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</si>
  <si>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</si>
  <si>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</si>
  <si>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</si>
  <si>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</si>
  <si>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</si>
  <si>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</si>
  <si>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</si>
  <si>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</si>
  <si>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</si>
  <si>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</si>
  <si>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</si>
  <si>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</si>
  <si>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</si>
  <si>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</si>
  <si>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</si>
  <si>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</si>
  <si>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</si>
  <si>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</si>
  <si>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</si>
  <si>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</si>
  <si>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</si>
  <si>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</si>
  <si>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</si>
  <si>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</si>
  <si>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</si>
  <si>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</si>
  <si>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</si>
  <si>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</si>
  <si>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</si>
  <si>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</si>
  <si>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</si>
  <si>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</si>
  <si>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</si>
  <si>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</si>
  <si>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</si>
  <si>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</si>
  <si>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</si>
  <si>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</si>
  <si>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</si>
  <si>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</si>
  <si>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</si>
  <si>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</si>
  <si>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</si>
  <si>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</si>
  <si>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</si>
  <si>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</si>
  <si>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</si>
  <si>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</si>
  <si>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</si>
  <si>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</si>
  <si>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</si>
  <si>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</si>
  <si>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</si>
  <si>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</si>
  <si>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</si>
  <si>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</si>
  <si>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</si>
  <si>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</si>
  <si>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</si>
  <si>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</si>
  <si>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</si>
  <si>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</si>
  <si>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</si>
  <si>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</si>
  <si>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</si>
  <si>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</si>
  <si>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</si>
  <si>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</si>
  <si>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</si>
  <si>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</si>
  <si>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</si>
  <si>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</si>
  <si>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</si>
  <si>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</si>
  <si>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</si>
  <si>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</si>
  <si>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</si>
  <si>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</si>
  <si>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</si>
  <si>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</si>
  <si>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</si>
  <si>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</si>
  <si>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</si>
  <si>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</si>
  <si>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</si>
  <si>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</si>
  <si>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</si>
  <si>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</si>
  <si>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</si>
  <si>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</si>
  <si>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</si>
  <si>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</si>
  <si>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</si>
  <si>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</si>
  <si>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</si>
  <si>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</si>
  <si>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</si>
  <si>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</si>
  <si>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</si>
  <si>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</si>
  <si>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</si>
  <si>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</si>
  <si>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</si>
  <si>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</si>
  <si>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</si>
  <si>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</si>
  <si>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</si>
  <si>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</si>
  <si>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</si>
  <si>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</si>
  <si>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</si>
  <si>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</si>
  <si>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</si>
  <si>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</si>
  <si>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</si>
  <si>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</si>
  <si>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</si>
  <si>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</si>
  <si>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</si>
  <si>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</si>
  <si>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</si>
  <si>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</si>
  <si>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</si>
  <si>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</si>
  <si>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</si>
  <si>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</si>
  <si>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</si>
  <si>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</si>
  <si>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</si>
  <si>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</si>
  <si>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</si>
  <si>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</si>
  <si>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</si>
  <si>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</si>
  <si>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</si>
  <si>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</si>
  <si>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</si>
  <si>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</si>
  <si>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</si>
  <si>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</si>
  <si>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</si>
  <si>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</si>
  <si>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</si>
  <si>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</si>
  <si>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</si>
  <si>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</si>
  <si>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</si>
  <si>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</si>
  <si>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</si>
  <si>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</si>
  <si>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</si>
  <si>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</si>
  <si>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</si>
  <si>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</si>
  <si>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</si>
  <si>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</si>
  <si>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</si>
  <si>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</si>
  <si>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</si>
  <si>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</si>
  <si>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</si>
  <si>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</si>
  <si>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</si>
  <si>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</si>
  <si>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</si>
  <si>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</si>
  <si>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</si>
  <si>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</si>
  <si>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</si>
  <si>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</si>
  <si>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</si>
  <si>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</si>
  <si>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</si>
  <si>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</si>
  <si>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</si>
  <si>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</si>
  <si>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</si>
  <si>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</si>
  <si>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</si>
  <si>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</si>
  <si>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</si>
  <si>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</si>
  <si>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</si>
  <si>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</si>
  <si>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</si>
  <si>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</si>
  <si>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</si>
  <si>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</si>
  <si>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</si>
  <si>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</si>
  <si>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</si>
  <si>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</si>
  <si>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</si>
  <si>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</si>
  <si>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</si>
  <si>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</si>
  <si>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</si>
  <si>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</si>
  <si>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</si>
  <si>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</si>
  <si>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</si>
  <si>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</si>
  <si>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</si>
  <si>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</si>
  <si>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</si>
  <si>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</si>
  <si>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</si>
  <si>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</si>
  <si>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</si>
  <si>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</si>
  <si>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</si>
  <si>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</si>
  <si>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</si>
  <si>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</si>
  <si>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</si>
  <si>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</si>
  <si>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</si>
  <si>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</si>
  <si>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</si>
  <si>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</si>
  <si>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</si>
  <si>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</si>
  <si>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</si>
  <si>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</si>
  <si>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</si>
  <si>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</si>
  <si>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</si>
  <si>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</si>
  <si>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</si>
  <si>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</si>
  <si>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</si>
  <si>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</si>
  <si>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</si>
  <si>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</si>
  <si>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</si>
  <si>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</si>
  <si>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</si>
  <si>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</si>
  <si>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</si>
  <si>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</si>
  <si>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</si>
  <si>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</si>
  <si>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</si>
  <si>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</si>
  <si>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</si>
  <si>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</si>
  <si>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</si>
  <si>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</si>
  <si>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</si>
  <si>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</si>
  <si>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</si>
  <si>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</si>
  <si>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</si>
  <si>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</si>
  <si>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</si>
  <si>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</si>
  <si>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</si>
  <si>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</si>
  <si>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</si>
  <si>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</si>
  <si>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</si>
  <si>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</si>
  <si>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</si>
  <si>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</si>
  <si>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</si>
  <si>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</si>
  <si>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</si>
  <si>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</si>
  <si>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</si>
  <si>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</si>
  <si>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</si>
  <si>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</si>
  <si>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</si>
  <si>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</si>
  <si>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</si>
  <si>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</si>
  <si>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</si>
  <si>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</si>
  <si>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</si>
  <si>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</si>
  <si>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</si>
  <si>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</si>
  <si>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</si>
  <si>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</si>
  <si>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</si>
  <si>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</si>
  <si>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</si>
  <si>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</si>
  <si>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</si>
  <si>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</si>
  <si>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</si>
  <si>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</si>
  <si>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</si>
  <si>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</si>
  <si>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</si>
  <si>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</si>
  <si>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</si>
  <si>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</si>
  <si>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</si>
  <si>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</si>
  <si>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</si>
  <si>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</si>
  <si>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</si>
  <si>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</si>
  <si>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</si>
  <si>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</si>
  <si>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</si>
  <si>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</si>
  <si>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</si>
  <si>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</si>
  <si>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</si>
  <si>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</si>
  <si>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</si>
  <si>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</si>
  <si>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</si>
  <si>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</si>
  <si>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</si>
  <si>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</si>
  <si>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</si>
  <si>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</si>
  <si>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</si>
  <si>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</si>
  <si>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</si>
  <si>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</si>
  <si>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</si>
  <si>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</si>
  <si>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</si>
  <si>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</si>
  <si>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</si>
  <si>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</si>
  <si>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</si>
  <si>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</si>
  <si>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</si>
  <si>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</si>
  <si>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</si>
  <si>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</si>
  <si>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</si>
  <si>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</si>
  <si>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</si>
  <si>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</si>
  <si>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</si>
  <si>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54,61%</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</si>
  <si>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</si>
  <si>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</si>
  <si>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</si>
  <si>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</si>
  <si>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</si>
  <si>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</si>
  <si>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</si>
  <si>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</si>
  <si>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</si>
  <si>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</si>
  <si>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</si>
  <si>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</si>
  <si>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</si>
  <si>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</si>
  <si>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</si>
  <si>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</si>
  <si>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</si>
  <si>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</si>
  <si>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</si>
  <si>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</si>
  <si>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</si>
  <si>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</si>
  <si>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</si>
  <si>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</si>
  <si>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</si>
  <si>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</si>
  <si>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</si>
  <si>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</si>
  <si>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</si>
  <si>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</si>
  <si>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</si>
  <si>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</si>
  <si>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</si>
  <si>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</si>
  <si>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</si>
  <si>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</si>
  <si>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</si>
  <si>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</si>
  <si>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</si>
  <si>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</si>
  <si>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</si>
  <si>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</si>
  <si>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</si>
  <si>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</si>
  <si>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</si>
  <si>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</si>
  <si>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</si>
  <si>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</si>
  <si>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</si>
  <si>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</si>
  <si>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</si>
  <si>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</si>
  <si>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</si>
  <si>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</si>
  <si>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</si>
  <si>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</si>
  <si>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</si>
  <si>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</si>
  <si>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</si>
  <si>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</si>
  <si>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</si>
  <si>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</si>
  <si>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</si>
  <si>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</si>
  <si>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</si>
  <si>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</si>
  <si>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</si>
  <si>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</si>
  <si>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</si>
  <si>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</si>
  <si>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</si>
  <si>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</si>
  <si>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</si>
  <si>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</si>
  <si>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</si>
  <si>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</si>
  <si>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</si>
  <si>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</si>
  <si>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</si>
  <si>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</si>
  <si>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</si>
  <si>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</si>
  <si>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</si>
  <si>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</si>
  <si>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</si>
  <si>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</si>
  <si>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</si>
  <si>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</si>
  <si>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</si>
  <si>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</si>
  <si>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</si>
  <si>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</si>
  <si>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</si>
  <si>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</si>
  <si>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</si>
  <si>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</si>
  <si>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</si>
  <si>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</si>
  <si>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</si>
  <si>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</si>
  <si>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</si>
  <si>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</si>
  <si>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</si>
  <si>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</si>
  <si>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</si>
  <si>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</si>
  <si>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</si>
  <si>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</si>
  <si>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</si>
  <si>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</si>
  <si>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</si>
  <si>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</si>
  <si>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</si>
  <si>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</si>
  <si>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</si>
  <si>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</si>
  <si>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</si>
  <si>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</si>
  <si>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</si>
  <si>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</si>
  <si>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</si>
  <si>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</si>
  <si>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</si>
  <si>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</si>
  <si>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</si>
  <si>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</si>
  <si>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</si>
  <si>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</si>
  <si>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</si>
  <si>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</si>
  <si>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</si>
  <si>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</si>
  <si>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</si>
  <si>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</si>
  <si>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</si>
  <si>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</si>
  <si>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</si>
  <si>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</si>
  <si>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</si>
  <si>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</si>
  <si>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</si>
  <si>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</si>
  <si>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</si>
  <si>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</si>
  <si>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</si>
  <si>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</si>
  <si>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</si>
  <si>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</si>
  <si>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</si>
  <si>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</si>
  <si>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</si>
  <si>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</si>
  <si>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</si>
  <si>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</si>
  <si>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</si>
  <si>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</si>
  <si>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</si>
  <si>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</si>
  <si>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</si>
  <si>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</si>
  <si>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</si>
  <si>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</si>
  <si>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</si>
  <si>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</si>
  <si>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</si>
  <si>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</si>
  <si>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</si>
  <si>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</si>
  <si>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</si>
  <si>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</si>
  <si>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</si>
  <si>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</si>
  <si>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</si>
  <si>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</si>
  <si>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</si>
  <si>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</si>
  <si>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</si>
  <si>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</si>
  <si>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</si>
  <si>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</si>
  <si>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</si>
  <si>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</si>
  <si>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</si>
  <si>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</si>
  <si>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</si>
  <si>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</si>
  <si>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</si>
  <si>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</si>
  <si>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</si>
  <si>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</si>
  <si>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</si>
  <si>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</si>
  <si>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</si>
  <si>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</si>
  <si>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</si>
  <si>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</si>
  <si>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</si>
  <si>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</si>
  <si>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</si>
  <si>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</si>
  <si>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</si>
  <si>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</si>
  <si>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</si>
  <si>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</si>
  <si>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</si>
  <si>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</si>
  <si>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</si>
  <si>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</si>
  <si>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</si>
  <si>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</si>
  <si>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</si>
  <si>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</si>
  <si>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</si>
  <si>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</si>
  <si>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</si>
  <si>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</si>
  <si>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</si>
  <si>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</si>
  <si>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</si>
  <si>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</si>
  <si>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</si>
  <si>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</si>
  <si>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</si>
  <si>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</si>
  <si>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</si>
  <si>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</si>
  <si>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</si>
  <si>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</si>
  <si>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</si>
  <si>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</si>
  <si>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</si>
  <si>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</si>
  <si>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</si>
  <si>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</si>
  <si>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</si>
  <si>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</si>
  <si>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</si>
  <si>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</si>
  <si>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</si>
  <si>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</si>
  <si>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</si>
  <si>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</si>
  <si>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</si>
  <si>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</si>
  <si>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</si>
  <si>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</si>
  <si>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</si>
  <si>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</si>
  <si>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</si>
  <si>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201663000-0177</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</si>
  <si>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</si>
  <si>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</si>
  <si>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Apoyo a la actividad fisica, salud y productividad en el Deptp del Quindio</t>
  </si>
  <si>
    <t>Funcionamiento y prestación de servicios del sector educativo del nivel central 1400-1401</t>
  </si>
  <si>
    <t>Funcionamiento y prestación del servicio educativo de las instituciones educativas 1402-1403</t>
  </si>
  <si>
    <t>NACIÓN  - COFINANCIACIÓN</t>
  </si>
  <si>
    <t>SGP SALUD PUBLICA (61-98)</t>
  </si>
  <si>
    <t>Adquirir  un (1) bien inmueble para adelantar acciones de cara al servicio de la comunidad</t>
  </si>
  <si>
    <t>SGP APORTES PATRONALES -EDUCACION -09</t>
  </si>
  <si>
    <t>MONOPOLIO 51% DESTINACION ESPECIFICA  (35-091)</t>
  </si>
  <si>
    <t>EXTRACCION MATERIAL DE RIO MINAS Y OTROS (134)</t>
  </si>
  <si>
    <t>FONDO DE EDUCACION,  PAE, CONVENIO MEN  (25-80-81-137)</t>
  </si>
  <si>
    <t>P</t>
  </si>
  <si>
    <t>E</t>
  </si>
  <si>
    <t>PRESUPUESTADO</t>
  </si>
  <si>
    <t xml:space="preserve">CODIGO:  </t>
  </si>
  <si>
    <t xml:space="preserve">VERSIÓN: </t>
  </si>
  <si>
    <t xml:space="preserve">FECHA: </t>
  </si>
  <si>
    <t>PÁGINA:</t>
  </si>
  <si>
    <r>
      <t xml:space="preserve"> </t>
    </r>
    <r>
      <rPr>
        <sz val="7"/>
        <rFont val="Times New Roman"/>
        <family val="1"/>
      </rPr>
      <t xml:space="preserve"> </t>
    </r>
    <r>
      <rPr>
        <sz val="10"/>
        <rFont val="Arial"/>
        <family val="2"/>
      </rPr>
      <t>Reducir la proporción de jóvenes en el sistema de responsabilidad penal con riesgo alto de reincidencia en las conductas delictivas</t>
    </r>
  </si>
  <si>
    <r>
      <t xml:space="preserve"> </t>
    </r>
    <r>
      <rPr>
        <sz val="7"/>
        <rFont val="Times New Roman"/>
        <family val="1"/>
      </rPr>
      <t xml:space="preserve"> </t>
    </r>
    <r>
      <rPr>
        <sz val="10"/>
        <rFont val="Arial"/>
        <family val="2"/>
      </rPr>
      <t>Disminuir el porcentaje de mujeres amenazadas por sus compañeros sentimentales                                                                                             Disminuir incidencia de violencia intrafamiliar</t>
    </r>
  </si>
  <si>
    <r>
      <t xml:space="preserve"> </t>
    </r>
    <r>
      <rPr>
        <sz val="7"/>
        <rFont val="Times New Roman"/>
        <family val="1"/>
      </rPr>
      <t xml:space="preserve"> </t>
    </r>
    <r>
      <rPr>
        <sz val="10"/>
        <rFont val="Arial"/>
        <family val="2"/>
      </rPr>
      <t>Disminuir el porcentaje de mujeres amenazadas por sus compañeros sentimentales</t>
    </r>
  </si>
  <si>
    <r>
      <rPr>
        <sz val="7"/>
        <rFont val="Times New Roman"/>
        <family val="1"/>
      </rPr>
      <t xml:space="preserve"> </t>
    </r>
    <r>
      <rPr>
        <sz val="10"/>
        <rFont val="Arial"/>
        <family val="2"/>
      </rPr>
      <t>Disminuir la incidencia de embarazo en adolescentes</t>
    </r>
  </si>
  <si>
    <r>
      <rPr>
        <sz val="7"/>
        <rFont val="Times New Roman"/>
        <family val="1"/>
      </rPr>
      <t xml:space="preserve"> </t>
    </r>
    <r>
      <rPr>
        <sz val="10"/>
        <rFont val="Arial"/>
        <family val="2"/>
      </rPr>
      <t>Incrementar el % IPS con seguimiento por parte del departamento</t>
    </r>
  </si>
  <si>
    <r>
      <rPr>
        <sz val="7"/>
        <rFont val="Times New Roman"/>
        <family val="1"/>
      </rPr>
      <t xml:space="preserve"> </t>
    </r>
    <r>
      <rPr>
        <sz val="10"/>
        <rFont val="Arial"/>
        <family val="2"/>
      </rPr>
      <t>Aumentar el porcentaje de cumplimiento de la Ley 1448 del 2011 de atención a víctimas</t>
    </r>
  </si>
  <si>
    <r>
      <rPr>
        <sz val="7"/>
        <rFont val="Times New Roman"/>
        <family val="1"/>
      </rPr>
      <t xml:space="preserve">  </t>
    </r>
    <r>
      <rPr>
        <sz val="10"/>
        <rFont val="Arial"/>
        <family val="2"/>
      </rPr>
      <t>Aumentar el % de personas discapacitadas atendidas</t>
    </r>
  </si>
  <si>
    <t>NUEVO IVA DE LICORES CEDIDO 30% DEPORTE
CIGARRILLOS NALES Y EXTRANJEROS (DEPORTE)</t>
  </si>
  <si>
    <t>Implementación de un fondo de apoyo Departamental para el acceso y la permanencia de la educacion tecnica, tecnologica y superior en el Departamento del Quindio.</t>
  </si>
  <si>
    <t>7                                                                  DE CADA 100</t>
  </si>
  <si>
    <t>Atender en los doce  (12) municipios del Departamento, los eventos de emergencia y urgencia, y el sistema de refertencia y contrareferencia de la población no afiliada</t>
  </si>
  <si>
    <t xml:space="preserve">TOTAL JUNIO-2017 </t>
  </si>
  <si>
    <t>37 
38</t>
  </si>
  <si>
    <t>37
 38</t>
  </si>
  <si>
    <t>24
25
29
30 
33</t>
  </si>
  <si>
    <t xml:space="preserve">8.9
4.6
27                     </t>
  </si>
  <si>
    <t>Apoyar la construcción, el mantenimiento, el mejoramiento y/o la rehabilitación de la infraestructura de doce (12) equipamientos públicos y colectivos del Departamento del Quindío.</t>
  </si>
  <si>
    <t>Diseñay ejecutar una politica Departamental de uso racional de resiudos solidos y uso eficiente de energia</t>
  </si>
  <si>
    <t>Adoptar e implementar el modelo de Atención primaria en Salud Mental (APS) en todos los municipios Quindianos</t>
  </si>
  <si>
    <t>Formular e implementar la política pública departamental de libertad religiosa en desarrollo del artículo 244 de la ley 1753 "Por medio de la cual se expide el Plan Nacional de Desarrollo 2014-2018 TODOS POR UN NUEVO PAÍS"</t>
  </si>
  <si>
    <t xml:space="preserve">Fortalecer el programa de sostenibilidad de las  Tecnologias de la Información y las Comunicaciones de la Gobernación del Quindio </t>
  </si>
  <si>
    <t>TOTAL ADMINISTRACIÓN CENTRAL:</t>
  </si>
  <si>
    <t xml:space="preserve">GRAN TOTAL </t>
  </si>
  <si>
    <t xml:space="preserve">F-PLA-42   </t>
  </si>
  <si>
    <t>O1</t>
  </si>
  <si>
    <t>Agosto 1 de 2016</t>
  </si>
  <si>
    <t xml:space="preserve"> 1 de 1</t>
  </si>
  <si>
    <t>1795 1531</t>
  </si>
  <si>
    <t>DEPARTAMENTO DEL QUINDIO - SECRETARIA DE PLANEACIÓN</t>
  </si>
  <si>
    <t>LISTA DE PROYECTOS VIABILIZADOS  -BANCO DE PROGRAMAS Y PROYECTOS - 2017</t>
  </si>
  <si>
    <t>No.</t>
  </si>
  <si>
    <t>CODIGO BPIN</t>
  </si>
  <si>
    <t>NOMBRE PROYECTO</t>
  </si>
  <si>
    <t>UNIDAD EJECUTORA</t>
  </si>
  <si>
    <t xml:space="preserve">VALOR </t>
  </si>
  <si>
    <t>Secretaria Administrativa</t>
  </si>
  <si>
    <t>Secretaria de Planeación</t>
  </si>
  <si>
    <t>201663000-0007</t>
  </si>
  <si>
    <t>Secretaría de Hacienda</t>
  </si>
  <si>
    <t>Secretaría de Aguas e Infraestructura</t>
  </si>
  <si>
    <t>Secretaria del Interior</t>
  </si>
  <si>
    <t>Secretaría de Cultura</t>
  </si>
  <si>
    <t>Secretaría de Turismo Industria y Comercio</t>
  </si>
  <si>
    <t>Secretaría de Agricultura, Desarrollo Rural y Medio Ambiente</t>
  </si>
  <si>
    <t>Oficina Privada</t>
  </si>
  <si>
    <t>Secretaría de Educación</t>
  </si>
  <si>
    <t>Secretaría de Familia</t>
  </si>
  <si>
    <t xml:space="preserve">Diseño e implementación  de una estrategia para la atención de la  población  en vulnerabilidad extrema  en el Departamento del Quindio  </t>
  </si>
  <si>
    <t>Representación Judicial</t>
  </si>
  <si>
    <t>Aprovechamiento biológico y consumo de  alimentos idoneos en el Departamento del Quindio</t>
  </si>
  <si>
    <t>Secretaría de Salud</t>
  </si>
  <si>
    <t>Indeportes</t>
  </si>
  <si>
    <t>Apoyo a la Recreación,  para el Bien Común en el Departamento del Quindío</t>
  </si>
  <si>
    <t>Apoyo a la actividad fisica, salud y productividad en el Departamento del Quindio</t>
  </si>
  <si>
    <t>Promotora de Vivienda</t>
  </si>
  <si>
    <t>Instituto Departamental Tránsito Quindío</t>
  </si>
  <si>
    <t>Creacion e implementacion de los centros agroindustriales para  la paz CARPAZ en el Deparamento del Quindio</t>
  </si>
  <si>
    <t>2017003630-122</t>
  </si>
  <si>
    <t>Implementación de  estrategias para el mejoramiento continuo del indice sintetico de calidad educativa en los niveles de básica primaria, básica secundaria y nivel de media en el Departamento del Quindio</t>
  </si>
  <si>
    <t>2017003630-125</t>
  </si>
  <si>
    <t>Adquisición de un bien inmueble para adelantar acciones de servicio de la comunidad</t>
  </si>
  <si>
    <t>TOTAL PROYECTOS AJUSTADOS A SEPTIEMBRE 30 DE 2017</t>
  </si>
  <si>
    <t>RECURSOS DEL CRÉDITO</t>
  </si>
  <si>
    <t xml:space="preserve"> PLAN OPERATIVO ANUAL DE INVERSIONES   -POAI-
ASEPTIEMBRE  30 DE 2017</t>
  </si>
  <si>
    <t xml:space="preserve">AJUSTES </t>
  </si>
  <si>
    <t>DEFINITIVO</t>
  </si>
  <si>
    <t>A SEPTIEMBRE 30 DE 2017</t>
  </si>
  <si>
    <t>ww</t>
  </si>
  <si>
    <t>w</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</si>
</sst>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0_);_(* \(#,##0\);_(* &quot;-&quot;_);_(@_)"/>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quot;€&quot;_-;\-* #,##0.00\ &quot;€&quot;_-;_-* &quot;-&quot;??\ &quot;€&quot;_-;_-@_-"/>
    <numFmt numFmtId="169" formatCode="_-* #,##0.00\ _€_-;\-* #,##0.00\ _€_-;_-* &quot;-&quot;??\ _€_-;_-@_-"/>
    <numFmt numFmtId="170" formatCode="_(* #,##0_);_(* \(#,##0\);_(* &quot;-&quot;??_);_(@_)"/>
    <numFmt numFmtId="171" formatCode="#,##0.00_);\-#,##0.00"/>
    <numFmt numFmtId="172" formatCode="_-* #,##0_-;\-* #,##0_-;_-* &quot;-&quot;??_-;_-@_-"/>
    <numFmt numFmtId="173" formatCode="_-[$$-240A]* #,##0.00_-;\-[$$-240A]* #,##0.00_-;_-[$$-240A]* &quot;-&quot;??_-;_-@_-"/>
    <numFmt numFmtId="174" formatCode="_ [$€-2]\ * #,##0.00_ ;_ [$€-2]\ * \-#,##0.00_ ;_ [$€-2]\ * &quot;-&quot;??_ "/>
    <numFmt numFmtId="175" formatCode="&quot;$&quot;\ #,##0"/>
    <numFmt numFmtId="176" formatCode="0.0"/>
    <numFmt numFmtId="177" formatCode="#,##0;[Red]#,##0"/>
    <numFmt numFmtId="178" formatCode="_ &quot;$&quot;\ * #,##0.00_ ;_ &quot;$&quot;\ * \-#,##0.00_ ;_ &quot;$&quot;\ * &quot;-&quot;??_ ;_ @_ "/>
    <numFmt numFmtId="179" formatCode="#."/>
    <numFmt numFmtId="180" formatCode="_ * #,##0.00_ ;_ * \-#,##0.00_ ;_ * &quot;-&quot;??_ ;_ @_ "/>
    <numFmt numFmtId="181" formatCode="_-[$€-2]* #,##0.00_-;\-[$€-2]* #,##0.00_-;_-[$€-2]* &quot;-&quot;??_-"/>
    <numFmt numFmtId="182" formatCode="_(* #.##0.00_);_(* \(#.##0.00\);_(* &quot;-&quot;??_);_(@_)"/>
    <numFmt numFmtId="183" formatCode="_-* #,##0.00\ _P_t_a_-;\-* #,##0.00\ _P_t_a_-;_-* &quot;-&quot;??\ _P_t_a_-;_-@_-"/>
    <numFmt numFmtId="184" formatCode="&quot;$&quot;\ #,##0;&quot;$&quot;\ \-#,##0"/>
    <numFmt numFmtId="185" formatCode="#,##0.000"/>
  </numFmts>
  <fonts count="55" x14ac:knownFonts="1">
    <font>
      <sz val="11"/>
      <color theme="1"/>
      <name val="Calibri"/>
      <family val="2"/>
      <scheme val="minor"/>
    </font>
    <font>
      <sz val="11"/>
      <color theme="1"/>
      <name val="Calibri"/>
      <family val="2"/>
      <scheme val="minor"/>
    </font>
    <font>
      <sz val="11"/>
      <color indexed="8"/>
      <name val="Calibri"/>
      <family val="2"/>
    </font>
    <font>
      <b/>
      <sz val="11"/>
      <name val="Arial"/>
      <family val="2"/>
    </font>
    <font>
      <b/>
      <sz val="12"/>
      <name val="Arial"/>
      <family val="2"/>
    </font>
    <font>
      <sz val="11"/>
      <name val="Arial"/>
      <family val="2"/>
    </font>
    <font>
      <sz val="11"/>
      <name val="Calibri"/>
      <family val="2"/>
      <scheme val="minor"/>
    </font>
    <font>
      <sz val="12"/>
      <name val="Arial"/>
      <family val="2"/>
    </font>
    <font>
      <sz val="10"/>
      <name val="Arial"/>
      <family val="2"/>
    </font>
    <font>
      <b/>
      <sz val="16"/>
      <name val="Arial"/>
      <family val="2"/>
    </font>
    <font>
      <sz val="11"/>
      <name val="Calibri"/>
      <family val="2"/>
    </font>
    <font>
      <sz val="9"/>
      <name val="Arial"/>
      <family val="2"/>
    </font>
    <font>
      <b/>
      <sz val="9"/>
      <name val="Arial"/>
      <family val="2"/>
    </font>
    <font>
      <b/>
      <sz val="10"/>
      <name val="Arial"/>
      <family val="2"/>
    </font>
    <font>
      <b/>
      <sz val="11"/>
      <name val="Calibri"/>
      <family val="2"/>
    </font>
    <font>
      <sz val="7"/>
      <name val="Times New Roman"/>
      <family val="1"/>
    </font>
    <font>
      <sz val="10"/>
      <name val="Arial"/>
      <family val="1"/>
    </font>
    <font>
      <b/>
      <sz val="18"/>
      <name val="Arial"/>
      <family val="2"/>
    </font>
    <font>
      <sz val="11"/>
      <name val="Arial Narrow"/>
      <family val="2"/>
    </font>
    <font>
      <sz val="9"/>
      <name val="Arial Narrow"/>
      <family val="2"/>
    </font>
    <font>
      <sz val="14"/>
      <name val="Calibri"/>
      <family val="2"/>
    </font>
    <font>
      <b/>
      <sz val="11"/>
      <name val="Calibri"/>
      <family val="2"/>
      <scheme val="minor"/>
    </font>
    <font>
      <sz val="11"/>
      <color theme="1"/>
      <name val="Arial"/>
      <family val="2"/>
    </font>
    <font>
      <sz val="10"/>
      <name val="MS Sans Serif"/>
    </font>
    <font>
      <sz val="11"/>
      <color rgb="FF000000"/>
      <name val="Calibri"/>
      <family val="2"/>
    </font>
    <font>
      <sz val="1"/>
      <color indexed="16"/>
      <name val="Courier"/>
      <family val="3"/>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10"/>
      <name val="Calibri"/>
      <family val="2"/>
    </font>
    <font>
      <b/>
      <sz val="11"/>
      <color indexed="9"/>
      <name val="Calibri"/>
      <family val="2"/>
    </font>
    <font>
      <sz val="11"/>
      <color indexed="10"/>
      <name val="Calibri"/>
      <family val="2"/>
    </font>
    <font>
      <sz val="11"/>
      <color indexed="52"/>
      <name val="Calibri"/>
      <family val="2"/>
    </font>
    <font>
      <b/>
      <sz val="11"/>
      <color indexed="6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19"/>
      <name val="Calibri"/>
      <family val="2"/>
    </font>
    <font>
      <sz val="11"/>
      <color indexed="60"/>
      <name val="Calibri"/>
      <family val="2"/>
    </font>
    <font>
      <b/>
      <sz val="11"/>
      <color indexed="63"/>
      <name val="Calibri"/>
      <family val="2"/>
    </font>
    <font>
      <b/>
      <sz val="18"/>
      <color indexed="56"/>
      <name val="Cambria"/>
      <family val="2"/>
    </font>
    <font>
      <b/>
      <sz val="15"/>
      <color indexed="62"/>
      <name val="Calibri"/>
      <family val="2"/>
    </font>
    <font>
      <b/>
      <sz val="13"/>
      <color indexed="62"/>
      <name val="Calibri"/>
      <family val="2"/>
    </font>
    <font>
      <b/>
      <sz val="18"/>
      <color indexed="62"/>
      <name val="Cambria"/>
      <family val="2"/>
    </font>
    <font>
      <b/>
      <sz val="11"/>
      <color indexed="8"/>
      <name val="Calibri"/>
      <family val="2"/>
    </font>
    <font>
      <sz val="10"/>
      <name val="Arial Narrow"/>
      <family val="2"/>
    </font>
    <font>
      <b/>
      <sz val="8"/>
      <name val="Arial"/>
      <family val="2"/>
    </font>
    <font>
      <b/>
      <sz val="8"/>
      <name val="Calibri"/>
      <family val="2"/>
    </font>
    <font>
      <sz val="12"/>
      <color theme="0"/>
      <name val="Arial"/>
      <family val="2"/>
    </font>
    <font>
      <b/>
      <sz val="16"/>
      <color theme="0"/>
      <name val="Arial"/>
      <family val="2"/>
    </font>
    <font>
      <sz val="10"/>
      <color rgb="FFFF0000"/>
      <name val="Arial"/>
      <family val="2"/>
    </font>
    <font>
      <sz val="12"/>
      <name val="Calibri"/>
      <family val="2"/>
      <scheme val="minor"/>
    </font>
  </fonts>
  <fills count="42">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indexed="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2"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theme="7" tint="-0.249977111117893"/>
        <bgColor indexed="64"/>
      </patternFill>
    </fill>
  </fills>
  <borders count="219">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right style="thin">
        <color auto="1"/>
      </right>
      <top style="thin">
        <color indexed="64"/>
      </top>
      <bottom/>
      <diagonal/>
    </border>
    <border>
      <left/>
      <right/>
      <top style="thin">
        <color indexed="64"/>
      </top>
      <bottom/>
      <diagonal/>
    </border>
  </borders>
  <cellStyleXfs count="1362">
    <xf numFmtId="0" fontId="0" fillId="0" borderId="0"/>
    <xf numFmtId="167"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8" fillId="0" borderId="0"/>
    <xf numFmtId="174" fontId="1" fillId="0" borderId="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74" fontId="1" fillId="0" borderId="0"/>
    <xf numFmtId="0" fontId="2" fillId="24" borderId="117" applyNumberFormat="0" applyFont="0" applyAlignment="0" applyProtection="0"/>
    <xf numFmtId="0" fontId="47" fillId="0" borderId="135" applyNumberFormat="0" applyFill="0" applyAlignment="0" applyProtection="0"/>
    <xf numFmtId="44" fontId="2" fillId="0" borderId="0" applyFont="0" applyFill="0" applyBorder="0" applyAlignment="0" applyProtection="0"/>
    <xf numFmtId="41" fontId="2" fillId="0" borderId="0" applyFont="0" applyFill="0" applyBorder="0" applyAlignment="0" applyProtection="0"/>
    <xf numFmtId="178" fontId="24" fillId="0" borderId="0"/>
    <xf numFmtId="43" fontId="2" fillId="0" borderId="0" applyFont="0" applyFill="0" applyBorder="0" applyAlignment="0" applyProtection="0"/>
    <xf numFmtId="0" fontId="47" fillId="0" borderId="156" applyNumberFormat="0" applyFill="0" applyAlignment="0" applyProtection="0"/>
    <xf numFmtId="168" fontId="2" fillId="0" borderId="0" applyFont="0" applyFill="0" applyBorder="0" applyAlignment="0" applyProtection="0"/>
    <xf numFmtId="9" fontId="2" fillId="0" borderId="0" applyFont="0" applyFill="0" applyBorder="0" applyAlignment="0" applyProtection="0"/>
    <xf numFmtId="0" fontId="8" fillId="0" borderId="0"/>
    <xf numFmtId="43" fontId="1" fillId="0" borderId="0" applyFont="0" applyFill="0" applyBorder="0" applyAlignment="0" applyProtection="0"/>
    <xf numFmtId="0" fontId="29" fillId="36" borderId="51" applyNumberFormat="0" applyAlignment="0" applyProtection="0"/>
    <xf numFmtId="0" fontId="30" fillId="37" borderId="131" applyNumberFormat="0" applyAlignment="0" applyProtection="0"/>
    <xf numFmtId="0" fontId="36" fillId="21" borderId="76" applyNumberFormat="0" applyAlignment="0" applyProtection="0"/>
    <xf numFmtId="179" fontId="25" fillId="0" borderId="0">
      <protection locked="0"/>
    </xf>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17" borderId="0" applyNumberFormat="0" applyBorder="0" applyAlignment="0" applyProtection="0"/>
    <xf numFmtId="0" fontId="2" fillId="24"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6" fillId="28" borderId="0" applyNumberFormat="0" applyBorder="0" applyAlignment="0" applyProtection="0"/>
    <xf numFmtId="0" fontId="26" fillId="23"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20"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23"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17" borderId="0" applyNumberFormat="0" applyBorder="0" applyAlignment="0" applyProtection="0"/>
    <xf numFmtId="0" fontId="26" fillId="29" borderId="0" applyNumberFormat="0" applyBorder="0" applyAlignment="0" applyProtection="0"/>
    <xf numFmtId="0" fontId="26" fillId="20" borderId="0" applyNumberFormat="0" applyBorder="0" applyAlignment="0" applyProtection="0"/>
    <xf numFmtId="0" fontId="26" fillId="30" borderId="0" applyNumberFormat="0" applyBorder="0" applyAlignment="0" applyProtection="0"/>
    <xf numFmtId="0" fontId="26" fillId="23" borderId="0" applyNumberFormat="0" applyBorder="0" applyAlignment="0" applyProtection="0"/>
    <xf numFmtId="0" fontId="26" fillId="31"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2" borderId="0" applyNumberFormat="0" applyBorder="0" applyAlignment="0" applyProtection="0"/>
    <xf numFmtId="0" fontId="27" fillId="17" borderId="0" applyNumberFormat="0" applyBorder="0" applyAlignment="0" applyProtection="0"/>
    <xf numFmtId="0" fontId="28" fillId="20" borderId="0" applyNumberFormat="0" applyBorder="0" applyAlignment="0" applyProtection="0"/>
    <xf numFmtId="0" fontId="28" fillId="18" borderId="0" applyNumberFormat="0" applyBorder="0" applyAlignment="0" applyProtection="0"/>
    <xf numFmtId="0" fontId="29" fillId="36" borderId="17" applyNumberFormat="0" applyAlignment="0" applyProtection="0"/>
    <xf numFmtId="0" fontId="30" fillId="37" borderId="17" applyNumberFormat="0" applyAlignment="0" applyProtection="0"/>
    <xf numFmtId="0" fontId="29" fillId="36" borderId="17" applyNumberFormat="0" applyAlignment="0" applyProtection="0"/>
    <xf numFmtId="0" fontId="31" fillId="38" borderId="18" applyNumberFormat="0" applyAlignment="0" applyProtection="0"/>
    <xf numFmtId="0" fontId="31" fillId="38" borderId="18" applyNumberFormat="0" applyAlignment="0" applyProtection="0"/>
    <xf numFmtId="0" fontId="32" fillId="0" borderId="19" applyNumberFormat="0" applyFill="0" applyAlignment="0" applyProtection="0"/>
    <xf numFmtId="0" fontId="33" fillId="0" borderId="20" applyNumberFormat="0" applyFill="0" applyAlignment="0" applyProtection="0"/>
    <xf numFmtId="0" fontId="31" fillId="38" borderId="18"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26" fillId="39" borderId="0" applyNumberFormat="0" applyBorder="0" applyAlignment="0" applyProtection="0"/>
    <xf numFmtId="0" fontId="26" fillId="33" borderId="0" applyNumberFormat="0" applyBorder="0" applyAlignment="0" applyProtection="0"/>
    <xf numFmtId="0" fontId="26" fillId="32" borderId="0" applyNumberFormat="0" applyBorder="0" applyAlignment="0" applyProtection="0"/>
    <xf numFmtId="0" fontId="26" fillId="34" borderId="0" applyNumberFormat="0" applyBorder="0" applyAlignment="0" applyProtection="0"/>
    <xf numFmtId="0" fontId="26" fillId="26" borderId="0" applyNumberFormat="0" applyBorder="0" applyAlignment="0" applyProtection="0"/>
    <xf numFmtId="0" fontId="26" fillId="35" borderId="0" applyNumberFormat="0" applyBorder="0" applyAlignment="0" applyProtection="0"/>
    <xf numFmtId="0" fontId="26" fillId="4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32" borderId="0" applyNumberFormat="0" applyBorder="0" applyAlignment="0" applyProtection="0"/>
    <xf numFmtId="0" fontId="36" fillId="27" borderId="17" applyNumberFormat="0" applyAlignment="0" applyProtection="0"/>
    <xf numFmtId="0" fontId="36" fillId="21" borderId="17" applyNumberFormat="0" applyAlignment="0" applyProtection="0"/>
    <xf numFmtId="180" fontId="8" fillId="0" borderId="0" applyFont="0" applyFill="0" applyBorder="0" applyAlignment="0" applyProtection="0"/>
    <xf numFmtId="180"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18" fillId="0" borderId="0" applyFont="0" applyFill="0" applyBorder="0" applyAlignment="0" applyProtection="0"/>
    <xf numFmtId="181" fontId="8" fillId="0" borderId="0" applyFont="0" applyFill="0" applyBorder="0" applyAlignment="0" applyProtection="0"/>
    <xf numFmtId="174" fontId="18" fillId="0" borderId="0" applyFont="0" applyFill="0" applyBorder="0" applyAlignment="0" applyProtection="0"/>
    <xf numFmtId="0" fontId="37" fillId="0" borderId="0" applyNumberFormat="0" applyFill="0" applyBorder="0" applyAlignment="0" applyProtection="0"/>
    <xf numFmtId="0" fontId="28" fillId="18" borderId="0" applyNumberFormat="0" applyBorder="0" applyAlignment="0" applyProtection="0"/>
    <xf numFmtId="0" fontId="38" fillId="0" borderId="21" applyNumberFormat="0" applyFill="0" applyAlignment="0" applyProtection="0"/>
    <xf numFmtId="0" fontId="39" fillId="0" borderId="22" applyNumberFormat="0" applyFill="0" applyAlignment="0" applyProtection="0"/>
    <xf numFmtId="0" fontId="35" fillId="0" borderId="23" applyNumberFormat="0" applyFill="0" applyAlignment="0" applyProtection="0"/>
    <xf numFmtId="0" fontId="35" fillId="0" borderId="0" applyNumberFormat="0" applyFill="0" applyBorder="0" applyAlignment="0" applyProtection="0"/>
    <xf numFmtId="0" fontId="27" fillId="19" borderId="0" applyNumberFormat="0" applyBorder="0" applyAlignment="0" applyProtection="0"/>
    <xf numFmtId="0" fontId="27" fillId="17" borderId="0" applyNumberFormat="0" applyBorder="0" applyAlignment="0" applyProtection="0"/>
    <xf numFmtId="0" fontId="36" fillId="21" borderId="17" applyNumberFormat="0" applyAlignment="0" applyProtection="0"/>
    <xf numFmtId="0" fontId="33" fillId="0" borderId="20" applyNumberFormat="0" applyFill="0" applyAlignment="0" applyProtection="0"/>
    <xf numFmtId="169" fontId="2" fillId="0" borderId="0" applyFont="0" applyFill="0" applyBorder="0" applyAlignment="0" applyProtection="0"/>
    <xf numFmtId="43" fontId="1" fillId="0" borderId="0" applyFont="0" applyFill="0" applyBorder="0" applyAlignment="0" applyProtection="0"/>
    <xf numFmtId="180" fontId="8"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2"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80" fontId="8" fillId="0" borderId="0" applyFont="0" applyFill="0" applyBorder="0" applyAlignment="0" applyProtection="0"/>
    <xf numFmtId="169" fontId="2" fillId="0" borderId="0" applyFont="0" applyFill="0" applyBorder="0" applyAlignment="0" applyProtection="0"/>
    <xf numFmtId="183" fontId="8"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80" fontId="8"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4" fontId="2" fillId="0" borderId="0" applyFont="0" applyFill="0" applyBorder="0" applyAlignment="0" applyProtection="0"/>
    <xf numFmtId="178" fontId="8" fillId="0" borderId="0" applyFont="0" applyFill="0" applyBorder="0" applyAlignment="0" applyProtection="0"/>
    <xf numFmtId="0" fontId="40" fillId="27" borderId="0" applyNumberFormat="0" applyBorder="0" applyAlignment="0" applyProtection="0"/>
    <xf numFmtId="0" fontId="41" fillId="27" borderId="0" applyNumberFormat="0" applyBorder="0" applyAlignment="0" applyProtection="0"/>
    <xf numFmtId="0" fontId="8" fillId="0" borderId="0"/>
    <xf numFmtId="0" fontId="2" fillId="0" borderId="0"/>
    <xf numFmtId="0" fontId="8" fillId="0" borderId="0"/>
    <xf numFmtId="0" fontId="8" fillId="0" borderId="0"/>
    <xf numFmtId="0" fontId="8" fillId="0" borderId="0"/>
    <xf numFmtId="0" fontId="1" fillId="0" borderId="0"/>
    <xf numFmtId="0" fontId="8" fillId="0" borderId="0"/>
    <xf numFmtId="0" fontId="2" fillId="0" borderId="0"/>
    <xf numFmtId="180"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0" fontId="8" fillId="0" borderId="0" applyFont="0" applyFill="0" applyBorder="0" applyAlignment="0" applyProtection="0"/>
    <xf numFmtId="180" fontId="8" fillId="0" borderId="0" applyFont="0" applyFill="0" applyBorder="0" applyAlignment="0" applyProtection="0"/>
    <xf numFmtId="184" fontId="8" fillId="0" borderId="0" applyFont="0" applyFill="0" applyBorder="0" applyAlignment="0" applyProtection="0"/>
    <xf numFmtId="0" fontId="1" fillId="0" borderId="0"/>
    <xf numFmtId="0" fontId="1" fillId="0" borderId="0"/>
    <xf numFmtId="0" fontId="1" fillId="0" borderId="0"/>
    <xf numFmtId="0" fontId="1" fillId="0" borderId="0"/>
    <xf numFmtId="0" fontId="8" fillId="24" borderId="24" applyNumberFormat="0" applyFont="0" applyAlignment="0" applyProtection="0"/>
    <xf numFmtId="0" fontId="8" fillId="24" borderId="24" applyNumberFormat="0" applyFont="0" applyAlignment="0" applyProtection="0"/>
    <xf numFmtId="0" fontId="2" fillId="24" borderId="24" applyNumberFormat="0" applyFont="0" applyAlignment="0" applyProtection="0"/>
    <xf numFmtId="0" fontId="42" fillId="36" borderId="25" applyNumberFormat="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42" fillId="37" borderId="25" applyNumberFormat="0" applyAlignment="0" applyProtection="0"/>
    <xf numFmtId="0" fontId="42" fillId="36" borderId="25"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3" fillId="0" borderId="0" applyNumberFormat="0" applyFill="0" applyBorder="0" applyAlignment="0" applyProtection="0"/>
    <xf numFmtId="0" fontId="44" fillId="0" borderId="26" applyNumberFormat="0" applyFill="0" applyAlignment="0" applyProtection="0"/>
    <xf numFmtId="0" fontId="45" fillId="0" borderId="27" applyNumberFormat="0" applyFill="0" applyAlignment="0" applyProtection="0"/>
    <xf numFmtId="0" fontId="39" fillId="0" borderId="22" applyNumberFormat="0" applyFill="0" applyAlignment="0" applyProtection="0"/>
    <xf numFmtId="0" fontId="34" fillId="0" borderId="28" applyNumberFormat="0" applyFill="0" applyAlignment="0" applyProtection="0"/>
    <xf numFmtId="0" fontId="35" fillId="0" borderId="23" applyNumberFormat="0" applyFill="0" applyAlignment="0" applyProtection="0"/>
    <xf numFmtId="0" fontId="46" fillId="0" borderId="0" applyNumberFormat="0" applyFill="0" applyBorder="0" applyAlignment="0" applyProtection="0"/>
    <xf numFmtId="0" fontId="43" fillId="0" borderId="0" applyNumberFormat="0" applyFill="0" applyBorder="0" applyAlignment="0" applyProtection="0"/>
    <xf numFmtId="0" fontId="47" fillId="0" borderId="29" applyNumberFormat="0" applyFill="0" applyAlignment="0" applyProtection="0"/>
    <xf numFmtId="0" fontId="47" fillId="0" borderId="30" applyNumberFormat="0" applyFill="0" applyAlignment="0" applyProtection="0"/>
    <xf numFmtId="0" fontId="32" fillId="0" borderId="0" applyNumberFormat="0" applyFill="0" applyBorder="0" applyAlignment="0" applyProtection="0"/>
    <xf numFmtId="0" fontId="1" fillId="0" borderId="0"/>
    <xf numFmtId="164"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4" fontId="1" fillId="0" borderId="0"/>
    <xf numFmtId="174" fontId="8" fillId="0" borderId="0"/>
    <xf numFmtId="174" fontId="2" fillId="0" borderId="0"/>
    <xf numFmtId="174" fontId="8" fillId="0" borderId="0"/>
    <xf numFmtId="174" fontId="8" fillId="0" borderId="0"/>
    <xf numFmtId="174" fontId="8" fillId="0" borderId="0"/>
    <xf numFmtId="174" fontId="8" fillId="0" borderId="0"/>
    <xf numFmtId="174" fontId="8" fillId="0" borderId="0"/>
    <xf numFmtId="174" fontId="4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4" fontId="8"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74" fontId="1" fillId="0" borderId="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8" fillId="24" borderId="127" applyNumberFormat="0" applyFont="0" applyAlignment="0" applyProtection="0"/>
    <xf numFmtId="0" fontId="8" fillId="24" borderId="42" applyNumberFormat="0" applyFont="0" applyAlignment="0" applyProtection="0"/>
    <xf numFmtId="0" fontId="42" fillId="36" borderId="53" applyNumberFormat="0" applyAlignment="0" applyProtection="0"/>
    <xf numFmtId="0" fontId="42" fillId="36" borderId="73" applyNumberFormat="0" applyAlignment="0" applyProtection="0"/>
    <xf numFmtId="0" fontId="2" fillId="24" borderId="42" applyNumberFormat="0" applyFont="0" applyAlignment="0" applyProtection="0"/>
    <xf numFmtId="0" fontId="30" fillId="37" borderId="46" applyNumberFormat="0" applyAlignment="0" applyProtection="0"/>
    <xf numFmtId="43" fontId="1" fillId="0" borderId="0" applyFont="0" applyFill="0" applyBorder="0" applyAlignment="0" applyProtection="0"/>
    <xf numFmtId="0" fontId="30" fillId="37" borderId="71" applyNumberFormat="0" applyAlignment="0" applyProtection="0"/>
    <xf numFmtId="0" fontId="47" fillId="0" borderId="65" applyNumberFormat="0" applyFill="0" applyAlignment="0" applyProtection="0"/>
    <xf numFmtId="0" fontId="47" fillId="0" borderId="70" applyNumberFormat="0" applyFill="0" applyAlignment="0" applyProtection="0"/>
    <xf numFmtId="0" fontId="36" fillId="21" borderId="202" applyNumberFormat="0" applyAlignment="0" applyProtection="0"/>
    <xf numFmtId="0" fontId="36" fillId="27" borderId="51" applyNumberFormat="0" applyAlignment="0" applyProtection="0"/>
    <xf numFmtId="0" fontId="8" fillId="24" borderId="62" applyNumberFormat="0" applyFont="0" applyAlignment="0" applyProtection="0"/>
    <xf numFmtId="0" fontId="2" fillId="24" borderId="62" applyNumberFormat="0" applyFont="0" applyAlignment="0" applyProtection="0"/>
    <xf numFmtId="0" fontId="42" fillId="37" borderId="174" applyNumberFormat="0" applyAlignment="0" applyProtection="0"/>
    <xf numFmtId="0" fontId="42" fillId="36" borderId="68" applyNumberFormat="0" applyAlignment="0" applyProtection="0"/>
    <xf numFmtId="0" fontId="42" fillId="36" borderId="164" applyNumberFormat="0" applyAlignment="0" applyProtection="0"/>
    <xf numFmtId="0" fontId="42" fillId="36" borderId="133" applyNumberFormat="0" applyAlignment="0" applyProtection="0"/>
    <xf numFmtId="0" fontId="2" fillId="24" borderId="92" applyNumberFormat="0" applyFont="0" applyAlignment="0" applyProtection="0"/>
    <xf numFmtId="0" fontId="47" fillId="0" borderId="196" applyNumberFormat="0" applyFill="0" applyAlignment="0" applyProtection="0"/>
    <xf numFmtId="0" fontId="29" fillId="36" borderId="111" applyNumberFormat="0" applyAlignment="0" applyProtection="0"/>
    <xf numFmtId="0" fontId="42" fillId="36" borderId="133" applyNumberFormat="0" applyAlignment="0" applyProtection="0"/>
    <xf numFmtId="0" fontId="42" fillId="37" borderId="88" applyNumberFormat="0" applyAlignment="0" applyProtection="0"/>
    <xf numFmtId="0" fontId="36" fillId="27" borderId="46" applyNumberFormat="0" applyAlignment="0" applyProtection="0"/>
    <xf numFmtId="0" fontId="36" fillId="21" borderId="96" applyNumberFormat="0" applyAlignment="0" applyProtection="0"/>
    <xf numFmtId="0" fontId="36" fillId="27" borderId="111" applyNumberFormat="0" applyAlignment="0" applyProtection="0"/>
    <xf numFmtId="0" fontId="2" fillId="24" borderId="102" applyNumberFormat="0" applyFont="0" applyAlignment="0" applyProtection="0"/>
    <xf numFmtId="0" fontId="47" fillId="0" borderId="40" applyNumberFormat="0" applyFill="0" applyAlignment="0" applyProtection="0"/>
    <xf numFmtId="0" fontId="47" fillId="0" borderId="39" applyNumberFormat="0" applyFill="0" applyAlignment="0" applyProtection="0"/>
    <xf numFmtId="0" fontId="30" fillId="37" borderId="121" applyNumberFormat="0" applyAlignment="0" applyProtection="0"/>
    <xf numFmtId="43" fontId="1" fillId="0" borderId="0" applyFont="0" applyFill="0" applyBorder="0" applyAlignment="0" applyProtection="0"/>
    <xf numFmtId="0" fontId="36" fillId="27" borderId="61" applyNumberFormat="0" applyAlignment="0" applyProtection="0"/>
    <xf numFmtId="0" fontId="8" fillId="24" borderId="153" applyNumberFormat="0" applyFont="0" applyAlignment="0" applyProtection="0"/>
    <xf numFmtId="0" fontId="29" fillId="36" borderId="61" applyNumberFormat="0" applyAlignment="0" applyProtection="0"/>
    <xf numFmtId="0" fontId="8" fillId="24" borderId="82" applyNumberFormat="0" applyFont="0" applyAlignment="0" applyProtection="0"/>
    <xf numFmtId="0" fontId="47" fillId="0" borderId="64" applyNumberFormat="0" applyFill="0" applyAlignment="0" applyProtection="0"/>
    <xf numFmtId="0" fontId="8" fillId="24" borderId="92" applyNumberFormat="0" applyFont="0" applyAlignment="0" applyProtection="0"/>
    <xf numFmtId="43" fontId="1" fillId="0" borderId="0" applyFont="0" applyFill="0" applyBorder="0" applyAlignment="0" applyProtection="0"/>
    <xf numFmtId="0" fontId="42" fillId="36" borderId="38" applyNumberFormat="0" applyAlignment="0" applyProtection="0"/>
    <xf numFmtId="0" fontId="42" fillId="37" borderId="38" applyNumberFormat="0" applyAlignment="0" applyProtection="0"/>
    <xf numFmtId="0" fontId="8" fillId="24" borderId="142" applyNumberFormat="0" applyFont="0" applyAlignment="0" applyProtection="0"/>
    <xf numFmtId="0" fontId="42" fillId="37" borderId="209" applyNumberFormat="0" applyAlignment="0" applyProtection="0"/>
    <xf numFmtId="0" fontId="2" fillId="24" borderId="87" applyNumberFormat="0" applyFont="0" applyAlignment="0" applyProtection="0"/>
    <xf numFmtId="0" fontId="29" fillId="36" borderId="91" applyNumberFormat="0" applyAlignment="0" applyProtection="0"/>
    <xf numFmtId="0" fontId="42" fillId="36" borderId="38" applyNumberFormat="0" applyAlignment="0" applyProtection="0"/>
    <xf numFmtId="0" fontId="2" fillId="24" borderId="37" applyNumberFormat="0" applyFont="0" applyAlignment="0" applyProtection="0"/>
    <xf numFmtId="0" fontId="8" fillId="24" borderId="37" applyNumberFormat="0" applyFont="0" applyAlignment="0" applyProtection="0"/>
    <xf numFmtId="0" fontId="8" fillId="24" borderId="37" applyNumberFormat="0" applyFont="0" applyAlignment="0" applyProtection="0"/>
    <xf numFmtId="0" fontId="42" fillId="36" borderId="58" applyNumberFormat="0" applyAlignment="0" applyProtection="0"/>
    <xf numFmtId="0" fontId="2" fillId="24" borderId="57" applyNumberFormat="0" applyFont="0" applyAlignment="0" applyProtection="0"/>
    <xf numFmtId="0" fontId="8" fillId="24" borderId="57" applyNumberFormat="0" applyFont="0" applyAlignment="0" applyProtection="0"/>
    <xf numFmtId="0" fontId="8" fillId="24" borderId="57" applyNumberFormat="0" applyFont="0" applyAlignment="0" applyProtection="0"/>
    <xf numFmtId="0" fontId="42" fillId="36" borderId="164" applyNumberFormat="0" applyAlignment="0" applyProtection="0"/>
    <xf numFmtId="0" fontId="36" fillId="27" borderId="157" applyNumberFormat="0" applyAlignment="0" applyProtection="0"/>
    <xf numFmtId="0" fontId="47" fillId="0" borderId="50" applyNumberFormat="0" applyFill="0" applyAlignment="0" applyProtection="0"/>
    <xf numFmtId="0" fontId="47" fillId="0" borderId="49" applyNumberFormat="0" applyFill="0" applyAlignment="0" applyProtection="0"/>
    <xf numFmtId="0" fontId="36" fillId="27" borderId="141" applyNumberFormat="0" applyAlignment="0" applyProtection="0"/>
    <xf numFmtId="0" fontId="42" fillId="36" borderId="48" applyNumberFormat="0" applyAlignment="0" applyProtection="0"/>
    <xf numFmtId="0" fontId="42" fillId="37" borderId="48" applyNumberFormat="0" applyAlignment="0" applyProtection="0"/>
    <xf numFmtId="0" fontId="42" fillId="37" borderId="108" applyNumberFormat="0" applyAlignment="0" applyProtection="0"/>
    <xf numFmtId="0" fontId="42" fillId="36" borderId="48" applyNumberFormat="0" applyAlignment="0" applyProtection="0"/>
    <xf numFmtId="0" fontId="8" fillId="24" borderId="47" applyNumberFormat="0" applyFont="0" applyAlignment="0" applyProtection="0"/>
    <xf numFmtId="0" fontId="42" fillId="37" borderId="184" applyNumberFormat="0" applyAlignment="0" applyProtection="0"/>
    <xf numFmtId="0" fontId="42" fillId="36" borderId="138" applyNumberFormat="0" applyAlignment="0" applyProtection="0"/>
    <xf numFmtId="0" fontId="29" fillId="36" borderId="31" applyNumberFormat="0" applyAlignment="0" applyProtection="0"/>
    <xf numFmtId="0" fontId="30" fillId="37" borderId="31" applyNumberFormat="0" applyAlignment="0" applyProtection="0"/>
    <xf numFmtId="0" fontId="29" fillId="36" borderId="31" applyNumberFormat="0" applyAlignment="0" applyProtection="0"/>
    <xf numFmtId="0" fontId="36" fillId="21" borderId="162" applyNumberFormat="0" applyAlignment="0" applyProtection="0"/>
    <xf numFmtId="0" fontId="47" fillId="0" borderId="210" applyNumberFormat="0" applyFill="0" applyAlignment="0" applyProtection="0"/>
    <xf numFmtId="0" fontId="42" fillId="36" borderId="128" applyNumberFormat="0" applyAlignment="0" applyProtection="0"/>
    <xf numFmtId="0" fontId="42" fillId="37" borderId="93" applyNumberFormat="0" applyAlignment="0" applyProtection="0"/>
    <xf numFmtId="0" fontId="8" fillId="24" borderId="132" applyNumberFormat="0" applyFont="0" applyAlignment="0" applyProtection="0"/>
    <xf numFmtId="0" fontId="36" fillId="21" borderId="101" applyNumberFormat="0" applyAlignment="0" applyProtection="0"/>
    <xf numFmtId="0" fontId="42" fillId="36" borderId="78" applyNumberFormat="0" applyAlignment="0" applyProtection="0"/>
    <xf numFmtId="0" fontId="30" fillId="37" borderId="41" applyNumberFormat="0" applyAlignment="0" applyProtection="0"/>
    <xf numFmtId="0" fontId="29" fillId="36" borderId="41" applyNumberFormat="0" applyAlignment="0" applyProtection="0"/>
    <xf numFmtId="0" fontId="36" fillId="21" borderId="136" applyNumberFormat="0" applyAlignment="0" applyProtection="0"/>
    <xf numFmtId="0" fontId="42" fillId="36" borderId="128" applyNumberFormat="0" applyAlignment="0" applyProtection="0"/>
    <xf numFmtId="0" fontId="8" fillId="24" borderId="82" applyNumberFormat="0" applyFont="0" applyAlignment="0" applyProtection="0"/>
    <xf numFmtId="0" fontId="42" fillId="37" borderId="68" applyNumberFormat="0" applyAlignment="0" applyProtection="0"/>
    <xf numFmtId="0" fontId="36" fillId="27" borderId="31" applyNumberFormat="0" applyAlignment="0" applyProtection="0"/>
    <xf numFmtId="0" fontId="36" fillId="21" borderId="31" applyNumberFormat="0" applyAlignment="0" applyProtection="0"/>
    <xf numFmtId="0" fontId="8" fillId="24" borderId="67" applyNumberFormat="0" applyFont="0" applyAlignment="0" applyProtection="0"/>
    <xf numFmtId="0" fontId="8" fillId="24" borderId="67" applyNumberFormat="0" applyFont="0" applyAlignment="0" applyProtection="0"/>
    <xf numFmtId="0" fontId="47" fillId="0" borderId="160" applyNumberFormat="0" applyFill="0" applyAlignment="0" applyProtection="0"/>
    <xf numFmtId="0" fontId="47" fillId="0" borderId="80" applyNumberFormat="0" applyFill="0" applyAlignment="0" applyProtection="0"/>
    <xf numFmtId="0" fontId="30" fillId="37" borderId="86" applyNumberFormat="0" applyAlignment="0" applyProtection="0"/>
    <xf numFmtId="0" fontId="47" fillId="0" borderId="105" applyNumberFormat="0" applyFill="0" applyAlignment="0" applyProtection="0"/>
    <xf numFmtId="0" fontId="30" fillId="37" borderId="51" applyNumberFormat="0" applyAlignment="0" applyProtection="0"/>
    <xf numFmtId="0" fontId="36" fillId="21" borderId="41" applyNumberFormat="0" applyAlignment="0" applyProtection="0"/>
    <xf numFmtId="0" fontId="42" fillId="36" borderId="113" applyNumberFormat="0" applyAlignment="0" applyProtection="0"/>
    <xf numFmtId="0" fontId="42" fillId="37" borderId="159" applyNumberFormat="0" applyAlignment="0" applyProtection="0"/>
    <xf numFmtId="0" fontId="8" fillId="24" borderId="77" applyNumberFormat="0" applyFont="0" applyAlignment="0" applyProtection="0"/>
    <xf numFmtId="0" fontId="8" fillId="24" borderId="178" applyNumberFormat="0" applyFont="0" applyAlignment="0" applyProtection="0"/>
    <xf numFmtId="43" fontId="1" fillId="0" borderId="0" applyFont="0" applyFill="0" applyBorder="0" applyAlignment="0" applyProtection="0"/>
    <xf numFmtId="0" fontId="30" fillId="37" borderId="167" applyNumberFormat="0" applyAlignment="0" applyProtection="0"/>
    <xf numFmtId="0" fontId="36" fillId="21" borderId="31" applyNumberFormat="0" applyAlignment="0" applyProtection="0"/>
    <xf numFmtId="0" fontId="36" fillId="27" borderId="126" applyNumberFormat="0" applyAlignment="0" applyProtection="0"/>
    <xf numFmtId="0" fontId="42" fillId="36" borderId="108" applyNumberFormat="0" applyAlignment="0" applyProtection="0"/>
    <xf numFmtId="0" fontId="30" fillId="37" borderId="81" applyNumberFormat="0" applyAlignment="0" applyProtection="0"/>
    <xf numFmtId="0" fontId="2" fillId="24" borderId="153" applyNumberFormat="0" applyFont="0" applyAlignment="0" applyProtection="0"/>
    <xf numFmtId="43" fontId="1" fillId="0" borderId="0" applyFont="0" applyFill="0" applyBorder="0" applyAlignment="0" applyProtection="0"/>
    <xf numFmtId="0" fontId="42" fillId="37" borderId="118" applyNumberFormat="0" applyAlignment="0" applyProtection="0"/>
    <xf numFmtId="0" fontId="36" fillId="21" borderId="36" applyNumberFormat="0" applyAlignment="0" applyProtection="0"/>
    <xf numFmtId="0" fontId="36" fillId="21" borderId="56" applyNumberFormat="0" applyAlignment="0" applyProtection="0"/>
    <xf numFmtId="0" fontId="2" fillId="24" borderId="132" applyNumberFormat="0" applyFont="0" applyAlignment="0" applyProtection="0"/>
    <xf numFmtId="0" fontId="36" fillId="21" borderId="147" applyNumberFormat="0" applyAlignment="0" applyProtection="0"/>
    <xf numFmtId="0" fontId="36" fillId="27" borderId="56" applyNumberFormat="0" applyAlignment="0" applyProtection="0"/>
    <xf numFmtId="0" fontId="36" fillId="21" borderId="46" applyNumberFormat="0" applyAlignment="0" applyProtection="0"/>
    <xf numFmtId="0" fontId="36" fillId="27" borderId="182" applyNumberFormat="0" applyAlignment="0" applyProtection="0"/>
    <xf numFmtId="43" fontId="1" fillId="0" borderId="0" applyFont="0" applyFill="0" applyBorder="0" applyAlignment="0" applyProtection="0"/>
    <xf numFmtId="0" fontId="29" fillId="36" borderId="76" applyNumberFormat="0" applyAlignment="0" applyProtection="0"/>
    <xf numFmtId="0" fontId="30" fillId="37" borderId="76" applyNumberFormat="0" applyAlignment="0" applyProtection="0"/>
    <xf numFmtId="0" fontId="36" fillId="21" borderId="36" applyNumberFormat="0" applyAlignment="0" applyProtection="0"/>
    <xf numFmtId="0" fontId="36" fillId="27" borderId="36" applyNumberFormat="0" applyAlignment="0" applyProtection="0"/>
    <xf numFmtId="0" fontId="36" fillId="21" borderId="116" applyNumberFormat="0" applyAlignment="0" applyProtection="0"/>
    <xf numFmtId="0" fontId="8" fillId="24" borderId="92" applyNumberFormat="0" applyFont="0" applyAlignment="0" applyProtection="0"/>
    <xf numFmtId="43" fontId="1" fillId="0" borderId="0" applyFont="0" applyFill="0" applyBorder="0" applyAlignment="0" applyProtection="0"/>
    <xf numFmtId="0" fontId="29" fillId="36" borderId="66" applyNumberFormat="0" applyAlignment="0" applyProtection="0"/>
    <xf numFmtId="0" fontId="2" fillId="24" borderId="107" applyNumberFormat="0" applyFont="0" applyAlignment="0" applyProtection="0"/>
    <xf numFmtId="0" fontId="47" fillId="0" borderId="165" applyNumberFormat="0" applyFill="0" applyAlignment="0" applyProtection="0"/>
    <xf numFmtId="0" fontId="42" fillId="36" borderId="169" applyNumberFormat="0" applyAlignment="0" applyProtection="0"/>
    <xf numFmtId="0" fontId="29" fillId="36" borderId="56" applyNumberFormat="0" applyAlignment="0" applyProtection="0"/>
    <xf numFmtId="0" fontId="29" fillId="36" borderId="46" applyNumberFormat="0" applyAlignment="0" applyProtection="0"/>
    <xf numFmtId="0" fontId="29" fillId="36" borderId="56" applyNumberFormat="0" applyAlignment="0" applyProtection="0"/>
    <xf numFmtId="0" fontId="42" fillId="36" borderId="83" applyNumberFormat="0" applyAlignment="0" applyProtection="0"/>
    <xf numFmtId="0" fontId="42" fillId="36" borderId="159" applyNumberFormat="0" applyAlignment="0" applyProtection="0"/>
    <xf numFmtId="0" fontId="42" fillId="36" borderId="73" applyNumberFormat="0" applyAlignment="0" applyProtection="0"/>
    <xf numFmtId="0" fontId="8" fillId="24" borderId="107" applyNumberFormat="0" applyFont="0" applyAlignment="0" applyProtection="0"/>
    <xf numFmtId="0" fontId="8" fillId="24" borderId="62" applyNumberFormat="0" applyFont="0" applyAlignment="0" applyProtection="0"/>
    <xf numFmtId="0" fontId="29" fillId="36" borderId="36" applyNumberFormat="0" applyAlignment="0" applyProtection="0"/>
    <xf numFmtId="0" fontId="30" fillId="37" borderId="36" applyNumberFormat="0" applyAlignment="0" applyProtection="0"/>
    <xf numFmtId="0" fontId="42" fillId="36" borderId="63" applyNumberFormat="0" applyAlignment="0" applyProtection="0"/>
    <xf numFmtId="0" fontId="30" fillId="37" borderId="96" applyNumberFormat="0" applyAlignment="0" applyProtection="0"/>
    <xf numFmtId="0" fontId="36" fillId="21" borderId="76" applyNumberFormat="0" applyAlignment="0" applyProtection="0"/>
    <xf numFmtId="0" fontId="36" fillId="27" borderId="192" applyNumberFormat="0" applyAlignment="0" applyProtection="0"/>
    <xf numFmtId="0" fontId="47" fillId="0" borderId="84" applyNumberFormat="0" applyFill="0" applyAlignment="0" applyProtection="0"/>
    <xf numFmtId="0" fontId="47" fillId="0" borderId="85" applyNumberFormat="0" applyFill="0" applyAlignment="0" applyProtection="0"/>
    <xf numFmtId="0" fontId="47" fillId="0" borderId="74" applyNumberFormat="0" applyFill="0" applyAlignment="0" applyProtection="0"/>
    <xf numFmtId="0" fontId="30" fillId="37" borderId="157" applyNumberFormat="0" applyAlignment="0" applyProtection="0"/>
    <xf numFmtId="0" fontId="47" fillId="0" borderId="55" applyNumberFormat="0" applyFill="0" applyAlignment="0" applyProtection="0"/>
    <xf numFmtId="0" fontId="8" fillId="24" borderId="42" applyNumberFormat="0" applyFont="0" applyAlignment="0" applyProtection="0"/>
    <xf numFmtId="0" fontId="42" fillId="36" borderId="43" applyNumberFormat="0" applyAlignment="0" applyProtection="0"/>
    <xf numFmtId="0" fontId="42" fillId="37" borderId="149" applyNumberFormat="0" applyAlignment="0" applyProtection="0"/>
    <xf numFmtId="0" fontId="42" fillId="37" borderId="43" applyNumberFormat="0" applyAlignment="0" applyProtection="0"/>
    <xf numFmtId="0" fontId="42" fillId="36" borderId="43" applyNumberFormat="0" applyAlignment="0" applyProtection="0"/>
    <xf numFmtId="43" fontId="1" fillId="0" borderId="0" applyFont="0" applyFill="0" applyBorder="0" applyAlignment="0" applyProtection="0"/>
    <xf numFmtId="0" fontId="29" fillId="36" borderId="51" applyNumberFormat="0" applyAlignment="0" applyProtection="0"/>
    <xf numFmtId="0" fontId="47" fillId="0" borderId="110" applyNumberFormat="0" applyFill="0" applyAlignment="0" applyProtection="0"/>
    <xf numFmtId="0" fontId="42" fillId="36" borderId="68" applyNumberFormat="0" applyAlignment="0" applyProtection="0"/>
    <xf numFmtId="0" fontId="42" fillId="36" borderId="123" applyNumberFormat="0" applyAlignment="0" applyProtection="0"/>
    <xf numFmtId="0" fontId="8" fillId="24" borderId="158" applyNumberFormat="0" applyFont="0" applyAlignment="0" applyProtection="0"/>
    <xf numFmtId="43" fontId="1" fillId="0" borderId="0" applyFont="0" applyFill="0" applyBorder="0" applyAlignment="0" applyProtection="0"/>
    <xf numFmtId="0" fontId="29" fillId="36" borderId="96" applyNumberFormat="0" applyAlignment="0" applyProtection="0"/>
    <xf numFmtId="0" fontId="8" fillId="24" borderId="153" applyNumberFormat="0" applyFont="0" applyAlignment="0" applyProtection="0"/>
    <xf numFmtId="0" fontId="47" fillId="0" borderId="44" applyNumberFormat="0" applyFill="0" applyAlignment="0" applyProtection="0"/>
    <xf numFmtId="0" fontId="47" fillId="0" borderId="45" applyNumberFormat="0" applyFill="0" applyAlignment="0" applyProtection="0"/>
    <xf numFmtId="0" fontId="36" fillId="27" borderId="76" applyNumberFormat="0" applyAlignment="0" applyProtection="0"/>
    <xf numFmtId="0" fontId="42" fillId="36" borderId="6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90" applyNumberFormat="0" applyFill="0" applyAlignment="0" applyProtection="0"/>
    <xf numFmtId="0" fontId="8" fillId="24" borderId="32" applyNumberFormat="0" applyFont="0" applyAlignment="0" applyProtection="0"/>
    <xf numFmtId="0" fontId="8" fillId="24" borderId="32" applyNumberFormat="0" applyFont="0" applyAlignment="0" applyProtection="0"/>
    <xf numFmtId="0" fontId="2" fillId="24" borderId="32" applyNumberFormat="0" applyFont="0" applyAlignment="0" applyProtection="0"/>
    <xf numFmtId="0" fontId="42" fillId="36" borderId="33" applyNumberFormat="0" applyAlignment="0" applyProtection="0"/>
    <xf numFmtId="0" fontId="2" fillId="24" borderId="52" applyNumberFormat="0" applyFont="0" applyAlignment="0" applyProtection="0"/>
    <xf numFmtId="0" fontId="47" fillId="0" borderId="79" applyNumberFormat="0" applyFill="0" applyAlignment="0" applyProtection="0"/>
    <xf numFmtId="0" fontId="47" fillId="0" borderId="134" applyNumberFormat="0" applyFill="0" applyAlignment="0" applyProtection="0"/>
    <xf numFmtId="0" fontId="36" fillId="21" borderId="91" applyNumberFormat="0" applyAlignment="0" applyProtection="0"/>
    <xf numFmtId="0" fontId="42" fillId="37" borderId="33" applyNumberFormat="0" applyAlignment="0" applyProtection="0"/>
    <xf numFmtId="0" fontId="42" fillId="36" borderId="33" applyNumberFormat="0" applyAlignment="0" applyProtection="0"/>
    <xf numFmtId="43" fontId="1" fillId="0" borderId="0" applyFont="0" applyFill="0" applyBorder="0" applyAlignment="0" applyProtection="0"/>
    <xf numFmtId="0" fontId="2" fillId="24" borderId="47" applyNumberFormat="0" applyFont="0" applyAlignment="0" applyProtection="0"/>
    <xf numFmtId="0" fontId="47" fillId="0" borderId="60" applyNumberFormat="0" applyFill="0" applyAlignment="0" applyProtection="0"/>
    <xf numFmtId="0" fontId="30" fillId="37" borderId="91" applyNumberFormat="0" applyAlignment="0" applyProtection="0"/>
    <xf numFmtId="0" fontId="8" fillId="24" borderId="47" applyNumberFormat="0" applyFont="0" applyAlignment="0" applyProtection="0"/>
    <xf numFmtId="0" fontId="47" fillId="0" borderId="69" applyNumberFormat="0" applyFill="0" applyAlignment="0" applyProtection="0"/>
    <xf numFmtId="0" fontId="8" fillId="24" borderId="102" applyNumberFormat="0" applyFont="0" applyAlignment="0" applyProtection="0"/>
    <xf numFmtId="0" fontId="30" fillId="37" borderId="152" applyNumberFormat="0" applyAlignment="0" applyProtection="0"/>
    <xf numFmtId="0" fontId="29" fillId="36" borderId="71" applyNumberFormat="0" applyAlignment="0" applyProtection="0"/>
    <xf numFmtId="0" fontId="47" fillId="0" borderId="34" applyNumberFormat="0" applyFill="0" applyAlignment="0" applyProtection="0"/>
    <xf numFmtId="0" fontId="47" fillId="0" borderId="35" applyNumberFormat="0" applyFill="0" applyAlignment="0" applyProtection="0"/>
    <xf numFmtId="0" fontId="8" fillId="24" borderId="72" applyNumberFormat="0" applyFont="0" applyAlignment="0" applyProtection="0"/>
    <xf numFmtId="0" fontId="42" fillId="37" borderId="63" applyNumberFormat="0" applyAlignment="0" applyProtection="0"/>
    <xf numFmtId="0" fontId="8" fillId="24" borderId="52" applyNumberFormat="0" applyFont="0" applyAlignment="0" applyProtection="0"/>
    <xf numFmtId="0" fontId="36" fillId="27" borderId="41" applyNumberFormat="0" applyAlignment="0" applyProtection="0"/>
    <xf numFmtId="0" fontId="42" fillId="36" borderId="103" applyNumberFormat="0" applyAlignment="0" applyProtection="0"/>
    <xf numFmtId="0" fontId="42" fillId="37" borderId="53" applyNumberFormat="0" applyAlignment="0" applyProtection="0"/>
    <xf numFmtId="0" fontId="8" fillId="24" borderId="132" applyNumberFormat="0" applyFont="0" applyAlignment="0" applyProtection="0"/>
    <xf numFmtId="0" fontId="36" fillId="21" borderId="91" applyNumberFormat="0" applyAlignment="0" applyProtection="0"/>
    <xf numFmtId="0" fontId="30" fillId="37" borderId="61" applyNumberFormat="0" applyAlignment="0" applyProtection="0"/>
    <xf numFmtId="0" fontId="47" fillId="0" borderId="54" applyNumberFormat="0" applyFill="0" applyAlignment="0" applyProtection="0"/>
    <xf numFmtId="0" fontId="36" fillId="27" borderId="202" applyNumberFormat="0" applyAlignment="0" applyProtection="0"/>
    <xf numFmtId="0" fontId="42" fillId="36" borderId="58" applyNumberFormat="0" applyAlignment="0" applyProtection="0"/>
    <xf numFmtId="0" fontId="42" fillId="37" borderId="58" applyNumberFormat="0" applyAlignment="0" applyProtection="0"/>
    <xf numFmtId="0" fontId="29" fillId="36" borderId="116" applyNumberFormat="0" applyAlignment="0" applyProtection="0"/>
    <xf numFmtId="0" fontId="29" fillId="36" borderId="61" applyNumberFormat="0" applyAlignment="0" applyProtection="0"/>
    <xf numFmtId="0" fontId="36" fillId="21" borderId="66" applyNumberFormat="0" applyAlignment="0" applyProtection="0"/>
    <xf numFmtId="0" fontId="2" fillId="24" borderId="67" applyNumberFormat="0" applyFont="0" applyAlignment="0" applyProtection="0"/>
    <xf numFmtId="0" fontId="36" fillId="21" borderId="157" applyNumberFormat="0" applyAlignment="0" applyProtection="0"/>
    <xf numFmtId="0" fontId="36" fillId="21" borderId="41" applyNumberFormat="0" applyAlignment="0" applyProtection="0"/>
    <xf numFmtId="0" fontId="29" fillId="36" borderId="36" applyNumberFormat="0" applyAlignment="0" applyProtection="0"/>
    <xf numFmtId="0" fontId="42" fillId="36" borderId="103" applyNumberFormat="0" applyAlignment="0" applyProtection="0"/>
    <xf numFmtId="0" fontId="8" fillId="24" borderId="52" applyNumberFormat="0" applyFont="0" applyAlignment="0" applyProtection="0"/>
    <xf numFmtId="0" fontId="29" fillId="36" borderId="71" applyNumberFormat="0" applyAlignment="0" applyProtection="0"/>
    <xf numFmtId="0" fontId="36" fillId="21" borderId="51" applyNumberFormat="0" applyAlignment="0" applyProtection="0"/>
    <xf numFmtId="0" fontId="36" fillId="21" borderId="66" applyNumberFormat="0" applyAlignment="0" applyProtection="0"/>
    <xf numFmtId="0" fontId="42" fillId="36" borderId="93" applyNumberFormat="0" applyAlignment="0" applyProtection="0"/>
    <xf numFmtId="0" fontId="42" fillId="36" borderId="53" applyNumberFormat="0" applyAlignment="0" applyProtection="0"/>
    <xf numFmtId="166" fontId="1" fillId="0" borderId="0" applyFont="0" applyFill="0" applyBorder="0" applyAlignment="0" applyProtection="0"/>
    <xf numFmtId="0" fontId="47" fillId="0" borderId="100" applyNumberFormat="0" applyFill="0" applyAlignment="0" applyProtection="0"/>
    <xf numFmtId="0" fontId="47" fillId="0" borderId="125" applyNumberFormat="0" applyFill="0" applyAlignment="0" applyProtection="0"/>
    <xf numFmtId="0" fontId="30" fillId="37" borderId="116" applyNumberFormat="0" applyAlignment="0" applyProtection="0"/>
    <xf numFmtId="0" fontId="29" fillId="36" borderId="202" applyNumberFormat="0" applyAlignment="0" applyProtection="0"/>
    <xf numFmtId="0" fontId="36" fillId="21" borderId="46" applyNumberFormat="0" applyAlignment="0" applyProtection="0"/>
    <xf numFmtId="0" fontId="36" fillId="27" borderId="101" applyNumberFormat="0" applyAlignment="0" applyProtection="0"/>
    <xf numFmtId="0" fontId="42" fillId="37" borderId="78" applyNumberFormat="0" applyAlignment="0" applyProtection="0"/>
    <xf numFmtId="0" fontId="29" fillId="36" borderId="41" applyNumberFormat="0" applyAlignment="0" applyProtection="0"/>
    <xf numFmtId="0" fontId="42" fillId="36" borderId="78" applyNumberFormat="0" applyAlignment="0" applyProtection="0"/>
    <xf numFmtId="43" fontId="1" fillId="0" borderId="0" applyFont="0" applyFill="0" applyBorder="0" applyAlignment="0" applyProtection="0"/>
    <xf numFmtId="0" fontId="36" fillId="21" borderId="71" applyNumberFormat="0" applyAlignment="0" applyProtection="0"/>
    <xf numFmtId="0" fontId="30" fillId="37" borderId="66" applyNumberFormat="0" applyAlignment="0" applyProtection="0"/>
    <xf numFmtId="0" fontId="47" fillId="0" borderId="59" applyNumberFormat="0" applyFill="0" applyAlignment="0" applyProtection="0"/>
    <xf numFmtId="166" fontId="1" fillId="0" borderId="0" applyFont="0" applyFill="0" applyBorder="0" applyAlignment="0" applyProtection="0"/>
    <xf numFmtId="0" fontId="42" fillId="37" borderId="154" applyNumberFormat="0" applyAlignment="0" applyProtection="0"/>
    <xf numFmtId="0" fontId="29" fillId="36" borderId="141" applyNumberFormat="0" applyAlignment="0" applyProtection="0"/>
    <xf numFmtId="0" fontId="42" fillId="36" borderId="149" applyNumberFormat="0" applyAlignment="0" applyProtection="0"/>
    <xf numFmtId="0" fontId="8" fillId="24" borderId="97" applyNumberFormat="0" applyFont="0" applyAlignment="0" applyProtection="0"/>
    <xf numFmtId="0" fontId="8" fillId="24" borderId="137" applyNumberFormat="0" applyFont="0" applyAlignment="0" applyProtection="0"/>
    <xf numFmtId="0" fontId="29" fillId="36" borderId="86" applyNumberFormat="0" applyAlignment="0" applyProtection="0"/>
    <xf numFmtId="0" fontId="29" fillId="36" borderId="46" applyNumberFormat="0" applyAlignment="0" applyProtection="0"/>
    <xf numFmtId="0" fontId="36" fillId="27" borderId="66" applyNumberFormat="0" applyAlignment="0" applyProtection="0"/>
    <xf numFmtId="43" fontId="1" fillId="0" borderId="0" applyFont="0" applyFill="0" applyBorder="0" applyAlignment="0" applyProtection="0"/>
    <xf numFmtId="0" fontId="42" fillId="36" borderId="98" applyNumberFormat="0" applyAlignment="0" applyProtection="0"/>
    <xf numFmtId="0" fontId="2" fillId="24" borderId="77" applyNumberFormat="0" applyFont="0" applyAlignment="0" applyProtection="0"/>
    <xf numFmtId="0" fontId="47" fillId="0" borderId="161" applyNumberFormat="0" applyFill="0" applyAlignment="0" applyProtection="0"/>
    <xf numFmtId="0" fontId="29" fillId="36" borderId="131" applyNumberFormat="0" applyAlignment="0" applyProtection="0"/>
    <xf numFmtId="166" fontId="1" fillId="0" borderId="0" applyFont="0" applyFill="0" applyBorder="0" applyAlignment="0" applyProtection="0"/>
    <xf numFmtId="0" fontId="30" fillId="37" borderId="56" applyNumberFormat="0" applyAlignment="0" applyProtection="0"/>
    <xf numFmtId="0" fontId="2" fillId="24" borderId="72" applyNumberFormat="0" applyFont="0" applyAlignment="0" applyProtection="0"/>
    <xf numFmtId="0" fontId="8" fillId="24" borderId="183" applyNumberFormat="0" applyFont="0" applyAlignment="0" applyProtection="0"/>
    <xf numFmtId="0" fontId="36" fillId="27" borderId="71" applyNumberFormat="0" applyAlignment="0" applyProtection="0"/>
    <xf numFmtId="0" fontId="36" fillId="21" borderId="147" applyNumberFormat="0" applyAlignment="0" applyProtection="0"/>
    <xf numFmtId="0" fontId="47" fillId="0" borderId="95" applyNumberFormat="0" applyFill="0" applyAlignment="0" applyProtection="0"/>
    <xf numFmtId="0" fontId="8" fillId="24" borderId="87" applyNumberFormat="0" applyFont="0" applyAlignment="0" applyProtection="0"/>
    <xf numFmtId="0" fontId="36" fillId="21" borderId="51" applyNumberFormat="0" applyAlignment="0" applyProtection="0"/>
    <xf numFmtId="0" fontId="8" fillId="24" borderId="117" applyNumberFormat="0" applyFont="0" applyAlignment="0" applyProtection="0"/>
    <xf numFmtId="0" fontId="36" fillId="21" borderId="177" applyNumberFormat="0" applyAlignment="0" applyProtection="0"/>
    <xf numFmtId="0" fontId="30" fillId="37" borderId="106" applyNumberFormat="0" applyAlignment="0" applyProtection="0"/>
    <xf numFmtId="0" fontId="47" fillId="0" borderId="99" applyNumberFormat="0" applyFill="0" applyAlignment="0" applyProtection="0"/>
    <xf numFmtId="166" fontId="1" fillId="0" borderId="0" applyFont="0" applyFill="0" applyBorder="0" applyAlignment="0" applyProtection="0"/>
    <xf numFmtId="0" fontId="36" fillId="27" borderId="86" applyNumberFormat="0" applyAlignment="0" applyProtection="0"/>
    <xf numFmtId="0" fontId="47" fillId="0" borderId="94" applyNumberFormat="0" applyFill="0" applyAlignment="0" applyProtection="0"/>
    <xf numFmtId="0" fontId="8" fillId="24" borderId="97" applyNumberFormat="0" applyFont="0" applyAlignment="0" applyProtection="0"/>
    <xf numFmtId="0" fontId="29" fillId="36" borderId="106" applyNumberFormat="0" applyAlignment="0" applyProtection="0"/>
    <xf numFmtId="0" fontId="36" fillId="27" borderId="187" applyNumberFormat="0" applyAlignment="0" applyProtection="0"/>
    <xf numFmtId="0" fontId="8" fillId="24" borderId="188" applyNumberFormat="0" applyFont="0" applyAlignment="0" applyProtection="0"/>
    <xf numFmtId="0" fontId="47" fillId="0" borderId="155" applyNumberFormat="0" applyFill="0" applyAlignment="0" applyProtection="0"/>
    <xf numFmtId="0" fontId="47" fillId="0" borderId="150" applyNumberFormat="0" applyFill="0" applyAlignment="0" applyProtection="0"/>
    <xf numFmtId="43" fontId="1" fillId="0" borderId="0" applyFont="0" applyFill="0" applyBorder="0" applyAlignment="0" applyProtection="0"/>
    <xf numFmtId="0" fontId="42" fillId="36" borderId="88" applyNumberFormat="0" applyAlignment="0" applyProtection="0"/>
    <xf numFmtId="0" fontId="47" fillId="0" borderId="89" applyNumberFormat="0" applyFill="0" applyAlignment="0" applyProtection="0"/>
    <xf numFmtId="0" fontId="2" fillId="24" borderId="203" applyNumberFormat="0" applyFont="0" applyAlignment="0" applyProtection="0"/>
    <xf numFmtId="0" fontId="2" fillId="24" borderId="173" applyNumberFormat="0" applyFont="0" applyAlignment="0" applyProtection="0"/>
    <xf numFmtId="0" fontId="36" fillId="21" borderId="56" applyNumberFormat="0" applyAlignment="0" applyProtection="0"/>
    <xf numFmtId="0" fontId="8" fillId="24" borderId="158" applyNumberFormat="0" applyFont="0" applyAlignment="0" applyProtection="0"/>
    <xf numFmtId="0" fontId="29" fillId="36" borderId="86" applyNumberFormat="0" applyAlignment="0" applyProtection="0"/>
    <xf numFmtId="0" fontId="42" fillId="37" borderId="73" applyNumberFormat="0" applyAlignment="0" applyProtection="0"/>
    <xf numFmtId="0" fontId="36" fillId="21" borderId="81" applyNumberFormat="0" applyAlignment="0" applyProtection="0"/>
    <xf numFmtId="0" fontId="36" fillId="21" borderId="61" applyNumberFormat="0" applyAlignment="0" applyProtection="0"/>
    <xf numFmtId="0" fontId="30" fillId="37" borderId="141" applyNumberFormat="0" applyAlignment="0" applyProtection="0"/>
    <xf numFmtId="43" fontId="1" fillId="0" borderId="0" applyFont="0" applyFill="0" applyBorder="0" applyAlignment="0" applyProtection="0"/>
    <xf numFmtId="166" fontId="1" fillId="0" borderId="0" applyFont="0" applyFill="0" applyBorder="0" applyAlignment="0" applyProtection="0"/>
    <xf numFmtId="0" fontId="29" fillId="36" borderId="101" applyNumberFormat="0" applyAlignment="0" applyProtection="0"/>
    <xf numFmtId="0" fontId="2" fillId="24" borderId="112" applyNumberFormat="0" applyFont="0" applyAlignment="0" applyProtection="0"/>
    <xf numFmtId="0" fontId="29" fillId="36" borderId="121" applyNumberFormat="0" applyAlignment="0" applyProtection="0"/>
    <xf numFmtId="0" fontId="42" fillId="36" borderId="199" applyNumberFormat="0" applyAlignment="0" applyProtection="0"/>
    <xf numFmtId="43" fontId="1" fillId="0" borderId="0" applyFont="0" applyFill="0" applyBorder="0" applyAlignment="0" applyProtection="0"/>
    <xf numFmtId="0" fontId="36" fillId="21" borderId="172" applyNumberFormat="0" applyAlignment="0" applyProtection="0"/>
    <xf numFmtId="0" fontId="47" fillId="0" borderId="124" applyNumberFormat="0" applyFill="0" applyAlignment="0" applyProtection="0"/>
    <xf numFmtId="43" fontId="1" fillId="0" borderId="0" applyFont="0" applyFill="0" applyBorder="0" applyAlignment="0" applyProtection="0"/>
    <xf numFmtId="0" fontId="36" fillId="21" borderId="61" applyNumberFormat="0" applyAlignment="0" applyProtection="0"/>
    <xf numFmtId="0" fontId="8" fillId="24" borderId="77" applyNumberFormat="0" applyFont="0" applyAlignment="0" applyProtection="0"/>
    <xf numFmtId="0" fontId="29" fillId="36" borderId="81" applyNumberFormat="0" applyAlignment="0" applyProtection="0"/>
    <xf numFmtId="0" fontId="42" fillId="37" borderId="179" applyNumberFormat="0" applyAlignment="0" applyProtection="0"/>
    <xf numFmtId="0" fontId="36" fillId="27" borderId="96" applyNumberFormat="0" applyAlignment="0" applyProtection="0"/>
    <xf numFmtId="166" fontId="1" fillId="0" borderId="0" applyFont="0" applyFill="0" applyBorder="0" applyAlignment="0" applyProtection="0"/>
    <xf numFmtId="0" fontId="47" fillId="0" borderId="75" applyNumberFormat="0" applyFill="0" applyAlignment="0" applyProtection="0"/>
    <xf numFmtId="0" fontId="36" fillId="27" borderId="81" applyNumberFormat="0" applyAlignment="0" applyProtection="0"/>
    <xf numFmtId="0" fontId="47" fillId="0" borderId="144" applyNumberFormat="0" applyFill="0" applyAlignment="0" applyProtection="0"/>
    <xf numFmtId="0" fontId="47" fillId="0" borderId="181" applyNumberFormat="0" applyFill="0" applyAlignment="0" applyProtection="0"/>
    <xf numFmtId="0" fontId="42" fillId="36" borderId="88" applyNumberFormat="0" applyAlignment="0" applyProtection="0"/>
    <xf numFmtId="0" fontId="42" fillId="36" borderId="113" applyNumberFormat="0" applyAlignment="0" applyProtection="0"/>
    <xf numFmtId="0" fontId="29" fillId="36" borderId="66" applyNumberFormat="0" applyAlignment="0" applyProtection="0"/>
    <xf numFmtId="43" fontId="1" fillId="0" borderId="0" applyFont="0" applyFill="0" applyBorder="0" applyAlignment="0" applyProtection="0"/>
    <xf numFmtId="0" fontId="42" fillId="37" borderId="83" applyNumberFormat="0" applyAlignment="0" applyProtection="0"/>
    <xf numFmtId="0" fontId="36" fillId="27" borderId="207" applyNumberFormat="0" applyAlignment="0" applyProtection="0"/>
    <xf numFmtId="0" fontId="36" fillId="27" borderId="91" applyNumberFormat="0" applyAlignment="0" applyProtection="0"/>
    <xf numFmtId="0" fontId="8" fillId="24" borderId="72" applyNumberFormat="0" applyFont="0" applyAlignment="0" applyProtection="0"/>
    <xf numFmtId="0" fontId="42" fillId="36" borderId="83" applyNumberFormat="0" applyAlignment="0" applyProtection="0"/>
    <xf numFmtId="166" fontId="1" fillId="0" borderId="0" applyFont="0" applyFill="0" applyBorder="0" applyAlignment="0" applyProtection="0"/>
    <xf numFmtId="43" fontId="1" fillId="0" borderId="0" applyFont="0" applyFill="0" applyBorder="0" applyAlignment="0" applyProtection="0"/>
    <xf numFmtId="0" fontId="2" fillId="24" borderId="208" applyNumberFormat="0" applyFont="0" applyAlignment="0" applyProtection="0"/>
    <xf numFmtId="0" fontId="2" fillId="24" borderId="82" applyNumberFormat="0" applyFont="0" applyAlignment="0" applyProtection="0"/>
    <xf numFmtId="0" fontId="36" fillId="27" borderId="116" applyNumberFormat="0" applyAlignment="0" applyProtection="0"/>
    <xf numFmtId="0" fontId="8" fillId="24" borderId="122" applyNumberFormat="0" applyFont="0" applyAlignment="0" applyProtection="0"/>
    <xf numFmtId="0" fontId="36" fillId="21" borderId="71" applyNumberFormat="0" applyAlignment="0" applyProtection="0"/>
    <xf numFmtId="0" fontId="8" fillId="24" borderId="117" applyNumberFormat="0" applyFont="0" applyAlignment="0" applyProtection="0"/>
    <xf numFmtId="0" fontId="2" fillId="24" borderId="127" applyNumberFormat="0" applyFont="0" applyAlignment="0" applyProtection="0"/>
    <xf numFmtId="0" fontId="47" fillId="0" borderId="195" applyNumberFormat="0" applyFill="0" applyAlignment="0" applyProtection="0"/>
    <xf numFmtId="0" fontId="36" fillId="21" borderId="86" applyNumberFormat="0" applyAlignment="0" applyProtection="0"/>
    <xf numFmtId="0" fontId="42" fillId="36" borderId="143" applyNumberFormat="0" applyAlignment="0" applyProtection="0"/>
    <xf numFmtId="0" fontId="8" fillId="24" borderId="102" applyNumberFormat="0" applyFont="0" applyAlignment="0" applyProtection="0"/>
    <xf numFmtId="0" fontId="42" fillId="37" borderId="204" applyNumberFormat="0" applyAlignment="0" applyProtection="0"/>
    <xf numFmtId="166" fontId="1" fillId="0" borderId="0" applyFont="0" applyFill="0" applyBorder="0" applyAlignment="0" applyProtection="0"/>
    <xf numFmtId="0" fontId="47" fillId="0" borderId="130" applyNumberFormat="0" applyFill="0" applyAlignment="0" applyProtection="0"/>
    <xf numFmtId="0" fontId="47" fillId="0" borderId="140" applyNumberFormat="0" applyFill="0" applyAlignment="0" applyProtection="0"/>
    <xf numFmtId="0" fontId="47" fillId="0" borderId="104" applyNumberFormat="0" applyFill="0" applyAlignment="0" applyProtection="0"/>
    <xf numFmtId="0" fontId="29" fillId="36" borderId="136" applyNumberFormat="0" applyAlignment="0" applyProtection="0"/>
    <xf numFmtId="0" fontId="47" fillId="0" borderId="139" applyNumberFormat="0" applyFill="0" applyAlignment="0" applyProtection="0"/>
    <xf numFmtId="0" fontId="36" fillId="21" borderId="81" applyNumberFormat="0" applyAlignment="0" applyProtection="0"/>
    <xf numFmtId="0" fontId="42" fillId="36" borderId="93" applyNumberFormat="0" applyAlignment="0" applyProtection="0"/>
    <xf numFmtId="0" fontId="29" fillId="36" borderId="76" applyNumberFormat="0" applyAlignment="0" applyProtection="0"/>
    <xf numFmtId="0" fontId="8" fillId="24" borderId="122" applyNumberFormat="0" applyFont="0" applyAlignment="0" applyProtection="0"/>
    <xf numFmtId="0" fontId="47" fillId="0" borderId="120" applyNumberFormat="0" applyFill="0" applyAlignment="0" applyProtection="0"/>
    <xf numFmtId="0" fontId="8" fillId="24" borderId="163" applyNumberFormat="0" applyFont="0" applyAlignment="0" applyProtection="0"/>
    <xf numFmtId="0" fontId="36" fillId="21" borderId="126" applyNumberFormat="0" applyAlignment="0" applyProtection="0"/>
    <xf numFmtId="0" fontId="42" fillId="36" borderId="204" applyNumberFormat="0" applyAlignment="0" applyProtection="0"/>
    <xf numFmtId="166" fontId="1" fillId="0" borderId="0" applyFont="0" applyFill="0" applyBorder="0" applyAlignment="0" applyProtection="0"/>
    <xf numFmtId="0" fontId="2" fillId="24" borderId="142" applyNumberFormat="0" applyFont="0" applyAlignment="0" applyProtection="0"/>
    <xf numFmtId="0" fontId="42" fillId="37" borderId="103" applyNumberFormat="0" applyAlignment="0" applyProtection="0"/>
    <xf numFmtId="0" fontId="36" fillId="21" borderId="106" applyNumberFormat="0" applyAlignment="0" applyProtection="0"/>
    <xf numFmtId="0" fontId="47" fillId="0" borderId="109" applyNumberFormat="0" applyFill="0" applyAlignment="0" applyProtection="0"/>
    <xf numFmtId="0" fontId="8" fillId="24" borderId="127" applyNumberFormat="0" applyFont="0" applyAlignment="0" applyProtection="0"/>
    <xf numFmtId="0" fontId="29" fillId="36" borderId="81" applyNumberFormat="0" applyAlignment="0" applyProtection="0"/>
    <xf numFmtId="0" fontId="29" fillId="36" borderId="111" applyNumberFormat="0" applyAlignment="0" applyProtection="0"/>
    <xf numFmtId="0" fontId="42" fillId="37" borderId="98" applyNumberFormat="0" applyAlignment="0" applyProtection="0"/>
    <xf numFmtId="0" fontId="29" fillId="36" borderId="126" applyNumberFormat="0" applyAlignment="0" applyProtection="0"/>
    <xf numFmtId="0" fontId="30" fillId="37" borderId="136" applyNumberFormat="0" applyAlignment="0" applyProtection="0"/>
    <xf numFmtId="0" fontId="8" fillId="24" borderId="87" applyNumberFormat="0" applyFont="0" applyAlignment="0" applyProtection="0"/>
    <xf numFmtId="43" fontId="1" fillId="0" borderId="0" applyFont="0" applyFill="0" applyBorder="0" applyAlignment="0" applyProtection="0"/>
    <xf numFmtId="0" fontId="42" fillId="36" borderId="98" applyNumberFormat="0" applyAlignment="0" applyProtection="0"/>
    <xf numFmtId="166" fontId="1" fillId="0" borderId="0" applyFont="0" applyFill="0" applyBorder="0" applyAlignment="0" applyProtection="0"/>
    <xf numFmtId="0" fontId="42" fillId="36" borderId="108" applyNumberFormat="0" applyAlignment="0" applyProtection="0"/>
    <xf numFmtId="43" fontId="1" fillId="0" borderId="0" applyFont="0" applyFill="0" applyBorder="0" applyAlignment="0" applyProtection="0"/>
    <xf numFmtId="0" fontId="30" fillId="37" borderId="101" applyNumberFormat="0" applyAlignment="0" applyProtection="0"/>
    <xf numFmtId="0" fontId="2" fillId="24" borderId="97" applyNumberFormat="0" applyFont="0" applyAlignment="0" applyProtection="0"/>
    <xf numFmtId="0" fontId="36" fillId="21" borderId="131" applyNumberFormat="0" applyAlignment="0" applyProtection="0"/>
    <xf numFmtId="0" fontId="36" fillId="21" borderId="86" applyNumberFormat="0" applyAlignment="0" applyProtection="0"/>
    <xf numFmtId="0" fontId="36" fillId="21" borderId="182" applyNumberFormat="0" applyAlignment="0" applyProtection="0"/>
    <xf numFmtId="0" fontId="2" fillId="24" borderId="178" applyNumberFormat="0" applyFont="0" applyAlignment="0" applyProtection="0"/>
    <xf numFmtId="0" fontId="30" fillId="37" borderId="111" applyNumberFormat="0" applyAlignment="0" applyProtection="0"/>
    <xf numFmtId="0" fontId="42" fillId="36" borderId="159" applyNumberFormat="0" applyAlignment="0" applyProtection="0"/>
    <xf numFmtId="0" fontId="36" fillId="21" borderId="111" applyNumberFormat="0" applyAlignment="0" applyProtection="0"/>
    <xf numFmtId="0" fontId="47" fillId="0" borderId="114" applyNumberFormat="0" applyFill="0" applyAlignment="0" applyProtection="0"/>
    <xf numFmtId="0" fontId="36" fillId="21" borderId="116" applyNumberFormat="0" applyAlignment="0" applyProtection="0"/>
    <xf numFmtId="0" fontId="36" fillId="27" borderId="147" applyNumberFormat="0" applyAlignment="0" applyProtection="0"/>
    <xf numFmtId="166" fontId="1" fillId="0" borderId="0" applyFont="0" applyFill="0" applyBorder="0" applyAlignment="0" applyProtection="0"/>
    <xf numFmtId="0" fontId="42" fillId="36" borderId="154" applyNumberFormat="0" applyAlignment="0" applyProtection="0"/>
    <xf numFmtId="0" fontId="36" fillId="27" borderId="106" applyNumberFormat="0" applyAlignment="0" applyProtection="0"/>
    <xf numFmtId="0" fontId="47" fillId="0" borderId="119" applyNumberFormat="0" applyFill="0" applyAlignment="0" applyProtection="0"/>
    <xf numFmtId="0" fontId="47" fillId="0" borderId="129" applyNumberFormat="0" applyFill="0" applyAlignment="0" applyProtection="0"/>
    <xf numFmtId="0" fontId="8" fillId="24" borderId="112" applyNumberFormat="0" applyFont="0" applyAlignment="0" applyProtection="0"/>
    <xf numFmtId="0" fontId="2" fillId="24" borderId="198" applyNumberFormat="0" applyFont="0" applyAlignment="0" applyProtection="0"/>
    <xf numFmtId="0" fontId="36" fillId="21" borderId="96" applyNumberFormat="0" applyAlignment="0" applyProtection="0"/>
    <xf numFmtId="0" fontId="8" fillId="24" borderId="107" applyNumberFormat="0" applyFont="0" applyAlignment="0" applyProtection="0"/>
    <xf numFmtId="0" fontId="29" fillId="36" borderId="91" applyNumberFormat="0" applyAlignment="0" applyProtection="0"/>
    <xf numFmtId="0" fontId="47" fillId="0" borderId="205" applyNumberFormat="0" applyFill="0" applyAlignment="0" applyProtection="0"/>
    <xf numFmtId="0" fontId="42" fillId="36" borderId="118" applyNumberFormat="0" applyAlignment="0" applyProtection="0"/>
    <xf numFmtId="0" fontId="42" fillId="36" borderId="154" applyNumberFormat="0" applyAlignment="0" applyProtection="0"/>
    <xf numFmtId="166" fontId="1" fillId="0" borderId="0" applyFont="0" applyFill="0" applyBorder="0" applyAlignment="0" applyProtection="0"/>
    <xf numFmtId="0" fontId="47" fillId="0" borderId="115" applyNumberFormat="0" applyFill="0" applyAlignment="0" applyProtection="0"/>
    <xf numFmtId="0" fontId="36" fillId="27" borderId="121" applyNumberFormat="0" applyAlignment="0" applyProtection="0"/>
    <xf numFmtId="43" fontId="1" fillId="0" borderId="0" applyFont="0" applyFill="0" applyBorder="0" applyAlignment="0" applyProtection="0"/>
    <xf numFmtId="0" fontId="8" fillId="24" borderId="137" applyNumberFormat="0" applyFont="0" applyAlignment="0" applyProtection="0"/>
    <xf numFmtId="0" fontId="36" fillId="21" borderId="101" applyNumberFormat="0" applyAlignment="0" applyProtection="0"/>
    <xf numFmtId="0" fontId="8" fillId="24" borderId="142" applyNumberFormat="0" applyFont="0" applyAlignment="0" applyProtection="0"/>
    <xf numFmtId="0" fontId="29" fillId="36" borderId="96" applyNumberFormat="0" applyAlignment="0" applyProtection="0"/>
    <xf numFmtId="0" fontId="47" fillId="0" borderId="185" applyNumberFormat="0" applyFill="0" applyAlignment="0" applyProtection="0"/>
    <xf numFmtId="0" fontId="42" fillId="37" borderId="113" applyNumberFormat="0" applyAlignment="0" applyProtection="0"/>
    <xf numFmtId="0" fontId="36" fillId="21" borderId="121" applyNumberFormat="0" applyAlignment="0" applyProtection="0"/>
    <xf numFmtId="0" fontId="42" fillId="36" borderId="209" applyNumberFormat="0" applyAlignment="0" applyProtection="0"/>
    <xf numFmtId="43" fontId="1" fillId="0" borderId="0" applyFont="0" applyFill="0" applyBorder="0" applyAlignment="0" applyProtection="0"/>
    <xf numFmtId="166" fontId="1" fillId="0" borderId="0" applyFont="0" applyFill="0" applyBorder="0" applyAlignment="0" applyProtection="0"/>
    <xf numFmtId="0" fontId="29" fillId="36" borderId="152" applyNumberFormat="0" applyAlignment="0" applyProtection="0"/>
    <xf numFmtId="0" fontId="36" fillId="21" borderId="106" applyNumberFormat="0" applyAlignment="0" applyProtection="0"/>
    <xf numFmtId="0" fontId="42" fillId="36" borderId="118" applyNumberFormat="0" applyAlignment="0" applyProtection="0"/>
    <xf numFmtId="0" fontId="8" fillId="24" borderId="173" applyNumberFormat="0" applyFont="0" applyAlignment="0" applyProtection="0"/>
    <xf numFmtId="0" fontId="29" fillId="36" borderId="101" applyNumberFormat="0" applyAlignment="0" applyProtection="0"/>
    <xf numFmtId="0" fontId="47" fillId="0" borderId="176" applyNumberFormat="0" applyFill="0" applyAlignment="0" applyProtection="0"/>
    <xf numFmtId="0" fontId="36" fillId="21" borderId="141" applyNumberFormat="0" applyAlignment="0" applyProtection="0"/>
    <xf numFmtId="0" fontId="47" fillId="0" borderId="170" applyNumberFormat="0" applyFill="0" applyAlignment="0" applyProtection="0"/>
    <xf numFmtId="0" fontId="8" fillId="24" borderId="198" applyNumberFormat="0" applyFont="0" applyAlignment="0" applyProtection="0"/>
    <xf numFmtId="0" fontId="29" fillId="36" borderId="157" applyNumberFormat="0" applyAlignment="0" applyProtection="0"/>
    <xf numFmtId="166" fontId="1" fillId="0" borderId="0" applyFont="0" applyFill="0" applyBorder="0" applyAlignment="0" applyProtection="0"/>
    <xf numFmtId="0" fontId="30" fillId="37" borderId="147" applyNumberFormat="0" applyAlignment="0" applyProtection="0"/>
    <xf numFmtId="0" fontId="42" fillId="37" borderId="128" applyNumberFormat="0" applyAlignment="0" applyProtection="0"/>
    <xf numFmtId="43" fontId="1" fillId="0" borderId="0" applyFont="0" applyFill="0" applyBorder="0" applyAlignment="0" applyProtection="0"/>
    <xf numFmtId="0" fontId="42" fillId="36" borderId="194" applyNumberFormat="0" applyAlignment="0" applyProtection="0"/>
    <xf numFmtId="0" fontId="29" fillId="36" borderId="106" applyNumberFormat="0" applyAlignment="0" applyProtection="0"/>
    <xf numFmtId="0" fontId="29" fillId="36" borderId="167" applyNumberFormat="0" applyAlignment="0" applyProtection="0"/>
    <xf numFmtId="0" fontId="42" fillId="37" borderId="123" applyNumberFormat="0" applyAlignment="0" applyProtection="0"/>
    <xf numFmtId="0" fontId="8" fillId="24" borderId="112" applyNumberFormat="0" applyFont="0" applyAlignment="0" applyProtection="0"/>
    <xf numFmtId="43" fontId="1" fillId="0" borderId="0" applyFont="0" applyFill="0" applyBorder="0" applyAlignment="0" applyProtection="0"/>
    <xf numFmtId="0" fontId="42" fillId="36" borderId="123" applyNumberFormat="0" applyAlignment="0" applyProtection="0"/>
    <xf numFmtId="166" fontId="1" fillId="0" borderId="0" applyFont="0" applyFill="0" applyBorder="0" applyAlignment="0" applyProtection="0"/>
    <xf numFmtId="0" fontId="42" fillId="36" borderId="179" applyNumberFormat="0" applyAlignment="0" applyProtection="0"/>
    <xf numFmtId="43" fontId="1" fillId="0" borderId="0" applyFont="0" applyFill="0" applyBorder="0" applyAlignment="0" applyProtection="0"/>
    <xf numFmtId="0" fontId="30" fillId="37" borderId="126" applyNumberFormat="0" applyAlignment="0" applyProtection="0"/>
    <xf numFmtId="0" fontId="2" fillId="24" borderId="122" applyNumberFormat="0" applyFont="0" applyAlignment="0" applyProtection="0"/>
    <xf numFmtId="0" fontId="36" fillId="21" borderId="131" applyNumberFormat="0" applyAlignment="0" applyProtection="0"/>
    <xf numFmtId="0" fontId="36" fillId="21" borderId="111" applyNumberFormat="0" applyAlignment="0" applyProtection="0"/>
    <xf numFmtId="0" fontId="47" fillId="0" borderId="171" applyNumberFormat="0" applyFill="0" applyAlignment="0" applyProtection="0"/>
    <xf numFmtId="0" fontId="29" fillId="36" borderId="131" applyNumberFormat="0" applyAlignment="0" applyProtection="0"/>
    <xf numFmtId="43" fontId="1" fillId="0" borderId="0" applyFont="0" applyFill="0" applyBorder="0" applyAlignment="0" applyProtection="0"/>
    <xf numFmtId="0" fontId="36" fillId="21" borderId="141" applyNumberFormat="0" applyAlignment="0" applyProtection="0"/>
    <xf numFmtId="0" fontId="2" fillId="24" borderId="183" applyNumberFormat="0" applyFont="0" applyAlignment="0" applyProtection="0"/>
    <xf numFmtId="166" fontId="1" fillId="0" borderId="0" applyFont="0" applyFill="0" applyBorder="0" applyAlignment="0" applyProtection="0"/>
    <xf numFmtId="0" fontId="30" fillId="37" borderId="172" applyNumberFormat="0" applyAlignment="0" applyProtection="0"/>
    <xf numFmtId="0" fontId="30" fillId="37" borderId="177" applyNumberFormat="0" applyAlignment="0" applyProtection="0"/>
    <xf numFmtId="0" fontId="29" fillId="36" borderId="187" applyNumberFormat="0" applyAlignment="0" applyProtection="0"/>
    <xf numFmtId="0" fontId="42" fillId="36" borderId="149" applyNumberFormat="0" applyAlignment="0" applyProtection="0"/>
    <xf numFmtId="0" fontId="42" fillId="36" borderId="184" applyNumberFormat="0" applyAlignment="0" applyProtection="0"/>
    <xf numFmtId="0" fontId="42" fillId="37" borderId="138" applyNumberFormat="0" applyAlignment="0" applyProtection="0"/>
    <xf numFmtId="0" fontId="2" fillId="24" borderId="137" applyNumberFormat="0" applyFont="0" applyAlignment="0" applyProtection="0"/>
    <xf numFmtId="0" fontId="36" fillId="21" borderId="121" applyNumberFormat="0" applyAlignment="0" applyProtection="0"/>
    <xf numFmtId="0" fontId="30" fillId="37" borderId="162" applyNumberFormat="0" applyAlignment="0" applyProtection="0"/>
    <xf numFmtId="0" fontId="42" fillId="37" borderId="194" applyNumberFormat="0" applyAlignment="0" applyProtection="0"/>
    <xf numFmtId="0" fontId="29" fillId="36" borderId="116" applyNumberFormat="0" applyAlignment="0" applyProtection="0"/>
    <xf numFmtId="0" fontId="29" fillId="36" borderId="141" applyNumberFormat="0" applyAlignment="0" applyProtection="0"/>
    <xf numFmtId="0" fontId="42" fillId="37" borderId="133" applyNumberFormat="0" applyAlignment="0" applyProtection="0"/>
    <xf numFmtId="0" fontId="36" fillId="27" borderId="152" applyNumberFormat="0" applyAlignment="0" applyProtection="0"/>
    <xf numFmtId="166" fontId="1" fillId="0" borderId="0" applyFont="0" applyFill="0" applyBorder="0" applyAlignment="0" applyProtection="0"/>
    <xf numFmtId="0" fontId="36" fillId="27" borderId="177" applyNumberFormat="0" applyAlignment="0" applyProtection="0"/>
    <xf numFmtId="0" fontId="2" fillId="24" borderId="163" applyNumberFormat="0" applyFont="0" applyAlignment="0" applyProtection="0"/>
    <xf numFmtId="0" fontId="29" fillId="36" borderId="147" applyNumberFormat="0" applyAlignment="0" applyProtection="0"/>
    <xf numFmtId="0" fontId="42" fillId="37" borderId="164" applyNumberFormat="0" applyAlignment="0" applyProtection="0"/>
    <xf numFmtId="0" fontId="36" fillId="21" borderId="126" applyNumberFormat="0" applyAlignment="0" applyProtection="0"/>
    <xf numFmtId="0" fontId="29" fillId="36" borderId="121" applyNumberFormat="0" applyAlignment="0" applyProtection="0"/>
    <xf numFmtId="0" fontId="36" fillId="21" borderId="192" applyNumberFormat="0" applyAlignment="0" applyProtection="0"/>
    <xf numFmtId="0" fontId="36" fillId="21" borderId="136" applyNumberFormat="0" applyAlignment="0" applyProtection="0"/>
    <xf numFmtId="0" fontId="47" fillId="0" borderId="200" applyNumberFormat="0" applyFill="0" applyAlignment="0" applyProtection="0"/>
    <xf numFmtId="0" fontId="36" fillId="27" borderId="167" applyNumberFormat="0" applyAlignment="0" applyProtection="0"/>
    <xf numFmtId="166" fontId="1" fillId="0" borderId="0" applyFont="0" applyFill="0" applyBorder="0" applyAlignment="0" applyProtection="0"/>
    <xf numFmtId="0" fontId="36" fillId="21" borderId="187" applyNumberFormat="0" applyAlignment="0" applyProtection="0"/>
    <xf numFmtId="0" fontId="36" fillId="21" borderId="207" applyNumberFormat="0" applyAlignment="0" applyProtection="0"/>
    <xf numFmtId="0" fontId="29" fillId="36" borderId="182" applyNumberFormat="0" applyAlignment="0" applyProtection="0"/>
    <xf numFmtId="0" fontId="36" fillId="27" borderId="136" applyNumberFormat="0" applyAlignment="0" applyProtection="0"/>
    <xf numFmtId="0" fontId="29" fillId="36" borderId="126" applyNumberFormat="0" applyAlignment="0" applyProtection="0"/>
    <xf numFmtId="0" fontId="36" fillId="21" borderId="167" applyNumberFormat="0" applyAlignment="0" applyProtection="0"/>
    <xf numFmtId="0" fontId="42" fillId="36" borderId="189" applyNumberFormat="0" applyAlignment="0" applyProtection="0"/>
    <xf numFmtId="0" fontId="42" fillId="37" borderId="169" applyNumberFormat="0" applyAlignment="0" applyProtection="0"/>
    <xf numFmtId="0" fontId="36" fillId="27" borderId="197" applyNumberFormat="0" applyAlignment="0" applyProtection="0"/>
    <xf numFmtId="166" fontId="1" fillId="0" borderId="0" applyFont="0" applyFill="0" applyBorder="0" applyAlignment="0" applyProtection="0"/>
    <xf numFmtId="0" fontId="47" fillId="0" borderId="145" applyNumberFormat="0" applyFill="0" applyAlignment="0" applyProtection="0"/>
    <xf numFmtId="0" fontId="8" fillId="24" borderId="193" applyNumberFormat="0" applyFont="0" applyAlignment="0" applyProtection="0"/>
    <xf numFmtId="0" fontId="42" fillId="37" borderId="189" applyNumberFormat="0" applyAlignment="0" applyProtection="0"/>
    <xf numFmtId="0" fontId="47" fillId="0" borderId="151" applyNumberFormat="0" applyFill="0" applyAlignment="0" applyProtection="0"/>
    <xf numFmtId="0" fontId="36" fillId="27" borderId="131" applyNumberFormat="0" applyAlignment="0" applyProtection="0"/>
    <xf numFmtId="0" fontId="47" fillId="0" borderId="191" applyNumberFormat="0" applyFill="0" applyAlignment="0" applyProtection="0"/>
    <xf numFmtId="0" fontId="42" fillId="36" borderId="138" applyNumberFormat="0" applyAlignment="0" applyProtection="0"/>
    <xf numFmtId="0" fontId="2" fillId="24" borderId="193" applyNumberFormat="0" applyFont="0" applyAlignment="0" applyProtection="0"/>
    <xf numFmtId="166" fontId="1" fillId="0" borderId="0" applyFont="0" applyFill="0" applyBorder="0" applyAlignment="0" applyProtection="0"/>
    <xf numFmtId="0" fontId="29" fillId="36" borderId="207" applyNumberFormat="0" applyAlignment="0" applyProtection="0"/>
    <xf numFmtId="43" fontId="1" fillId="0" borderId="0" applyFont="0" applyFill="0" applyBorder="0" applyAlignment="0" applyProtection="0"/>
    <xf numFmtId="0" fontId="36" fillId="27" borderId="172" applyNumberFormat="0" applyAlignment="0" applyProtection="0"/>
    <xf numFmtId="0" fontId="42" fillId="37" borderId="143" applyNumberFormat="0" applyAlignment="0" applyProtection="0"/>
    <xf numFmtId="0" fontId="42" fillId="36" borderId="143" applyNumberFormat="0" applyAlignment="0" applyProtection="0"/>
    <xf numFmtId="0" fontId="2" fillId="24" borderId="158" applyNumberFormat="0" applyFont="0" applyAlignment="0" applyProtection="0"/>
    <xf numFmtId="43" fontId="1" fillId="0" borderId="0" applyFont="0" applyFill="0" applyBorder="0" applyAlignment="0" applyProtection="0"/>
    <xf numFmtId="0" fontId="29" fillId="36" borderId="192" applyNumberFormat="0" applyAlignment="0" applyProtection="0"/>
    <xf numFmtId="0" fontId="42" fillId="36" borderId="174" applyNumberFormat="0" applyAlignment="0" applyProtection="0"/>
    <xf numFmtId="0" fontId="29" fillId="36" borderId="136" applyNumberFormat="0" applyAlignment="0" applyProtection="0"/>
    <xf numFmtId="0" fontId="47" fillId="0" borderId="175" applyNumberFormat="0" applyFill="0" applyAlignment="0" applyProtection="0"/>
    <xf numFmtId="0" fontId="47" fillId="0" borderId="190" applyNumberFormat="0" applyFill="0" applyAlignment="0" applyProtection="0"/>
    <xf numFmtId="0" fontId="29" fillId="36" borderId="162" applyNumberFormat="0" applyAlignment="0" applyProtection="0"/>
    <xf numFmtId="166" fontId="1" fillId="0" borderId="0" applyFont="0" applyFill="0" applyBorder="0" applyAlignment="0" applyProtection="0"/>
    <xf numFmtId="0" fontId="29" fillId="36" borderId="172" applyNumberFormat="0" applyAlignment="0" applyProtection="0"/>
    <xf numFmtId="0" fontId="47" fillId="0" borderId="180" applyNumberFormat="0" applyFill="0" applyAlignment="0" applyProtection="0"/>
    <xf numFmtId="0" fontId="8" fillId="24" borderId="148" applyNumberFormat="0" applyFont="0" applyAlignment="0" applyProtection="0"/>
    <xf numFmtId="0" fontId="42" fillId="37" borderId="199" applyNumberFormat="0" applyAlignment="0" applyProtection="0"/>
    <xf numFmtId="0" fontId="36" fillId="21" borderId="152" applyNumberFormat="0" applyAlignment="0" applyProtection="0"/>
    <xf numFmtId="0" fontId="2" fillId="24" borderId="148" applyNumberFormat="0" applyFont="0" applyAlignment="0" applyProtection="0"/>
    <xf numFmtId="0" fontId="8" fillId="24" borderId="148" applyNumberFormat="0" applyFont="0" applyAlignment="0" applyProtection="0"/>
    <xf numFmtId="166" fontId="1" fillId="0" borderId="0" applyFont="0" applyFill="0" applyBorder="0" applyAlignment="0" applyProtection="0"/>
    <xf numFmtId="0" fontId="29" fillId="36" borderId="177" applyNumberFormat="0" applyAlignment="0" applyProtection="0"/>
    <xf numFmtId="0" fontId="36" fillId="21" borderId="197" applyNumberFormat="0" applyAlignment="0" applyProtection="0"/>
    <xf numFmtId="0" fontId="47" fillId="0" borderId="166" applyNumberFormat="0" applyFill="0" applyAlignment="0" applyProtection="0"/>
    <xf numFmtId="0" fontId="29" fillId="36" borderId="197" applyNumberFormat="0" applyAlignment="0" applyProtection="0"/>
    <xf numFmtId="0" fontId="47" fillId="0" borderId="186" applyNumberFormat="0" applyFill="0" applyAlignment="0" applyProtection="0"/>
    <xf numFmtId="0" fontId="2" fillId="24" borderId="188" applyNumberFormat="0" applyFont="0" applyAlignment="0" applyProtection="0"/>
    <xf numFmtId="0" fontId="2" fillId="24" borderId="168" applyNumberFormat="0" applyFont="0" applyAlignment="0" applyProtection="0"/>
    <xf numFmtId="0" fontId="8" fillId="24" borderId="168" applyNumberFormat="0" applyFont="0" applyAlignment="0" applyProtection="0"/>
    <xf numFmtId="43" fontId="1" fillId="0" borderId="0" applyFont="0" applyFill="0" applyBorder="0" applyAlignment="0" applyProtection="0"/>
    <xf numFmtId="0" fontId="36" fillId="27" borderId="162" applyNumberFormat="0" applyAlignment="0" applyProtection="0"/>
    <xf numFmtId="43" fontId="1" fillId="0" borderId="0" applyFont="0" applyFill="0" applyBorder="0" applyAlignment="0" applyProtection="0"/>
    <xf numFmtId="0" fontId="42" fillId="36" borderId="169" applyNumberFormat="0" applyAlignment="0" applyProtection="0"/>
    <xf numFmtId="0" fontId="47" fillId="0" borderId="201" applyNumberFormat="0" applyFill="0" applyAlignment="0" applyProtection="0"/>
    <xf numFmtId="0" fontId="36" fillId="21" borderId="152" applyNumberFormat="0" applyAlignment="0" applyProtection="0"/>
    <xf numFmtId="0" fontId="8" fillId="24" borderId="163" applyNumberFormat="0" applyFont="0" applyAlignment="0" applyProtection="0"/>
    <xf numFmtId="0" fontId="29" fillId="36" borderId="147" applyNumberFormat="0" applyAlignment="0" applyProtection="0"/>
    <xf numFmtId="0" fontId="30" fillId="37" borderId="182" applyNumberFormat="0" applyAlignment="0" applyProtection="0"/>
    <xf numFmtId="0" fontId="8" fillId="24" borderId="203" applyNumberFormat="0" applyFont="0" applyAlignment="0" applyProtection="0"/>
    <xf numFmtId="166" fontId="1" fillId="0" borderId="0" applyFont="0" applyFill="0" applyBorder="0" applyAlignment="0" applyProtection="0"/>
    <xf numFmtId="43" fontId="1" fillId="0" borderId="0" applyFont="0" applyFill="0" applyBorder="0" applyAlignment="0" applyProtection="0"/>
    <xf numFmtId="0" fontId="42" fillId="36" borderId="174" applyNumberFormat="0" applyAlignment="0" applyProtection="0"/>
    <xf numFmtId="0" fontId="47" fillId="0" borderId="206" applyNumberFormat="0" applyFill="0" applyAlignment="0" applyProtection="0"/>
    <xf numFmtId="0" fontId="36" fillId="21" borderId="157" applyNumberFormat="0" applyAlignment="0" applyProtection="0"/>
    <xf numFmtId="0" fontId="8" fillId="24" borderId="168" applyNumberFormat="0" applyFont="0" applyAlignment="0" applyProtection="0"/>
    <xf numFmtId="0" fontId="29" fillId="36" borderId="152" applyNumberFormat="0" applyAlignment="0" applyProtection="0"/>
    <xf numFmtId="0" fontId="30" fillId="37" borderId="187" applyNumberFormat="0" applyAlignment="0" applyProtection="0"/>
    <xf numFmtId="0" fontId="8" fillId="24" borderId="208" applyNumberFormat="0" applyFont="0" applyAlignment="0" applyProtection="0"/>
    <xf numFmtId="166" fontId="1" fillId="0" borderId="0" applyFont="0" applyFill="0" applyBorder="0" applyAlignment="0" applyProtection="0"/>
    <xf numFmtId="43" fontId="1" fillId="0" borderId="0" applyFont="0" applyFill="0" applyBorder="0" applyAlignment="0" applyProtection="0"/>
    <xf numFmtId="0" fontId="42" fillId="36" borderId="179" applyNumberFormat="0" applyAlignment="0" applyProtection="0"/>
    <xf numFmtId="0" fontId="47" fillId="0" borderId="211" applyNumberFormat="0" applyFill="0" applyAlignment="0" applyProtection="0"/>
    <xf numFmtId="0" fontId="36" fillId="21" borderId="162" applyNumberFormat="0" applyAlignment="0" applyProtection="0"/>
    <xf numFmtId="0" fontId="8" fillId="24" borderId="173" applyNumberFormat="0" applyFont="0" applyAlignment="0" applyProtection="0"/>
    <xf numFmtId="0" fontId="29" fillId="36" borderId="157" applyNumberFormat="0" applyAlignment="0" applyProtection="0"/>
    <xf numFmtId="0" fontId="30" fillId="37" borderId="192" applyNumberFormat="0" applyAlignment="0" applyProtection="0"/>
    <xf numFmtId="166" fontId="1" fillId="0" borderId="0" applyFont="0" applyFill="0" applyBorder="0" applyAlignment="0" applyProtection="0"/>
    <xf numFmtId="43" fontId="1" fillId="0" borderId="0" applyFont="0" applyFill="0" applyBorder="0" applyAlignment="0" applyProtection="0"/>
    <xf numFmtId="0" fontId="42" fillId="36" borderId="184" applyNumberFormat="0" applyAlignment="0" applyProtection="0"/>
    <xf numFmtId="0" fontId="36" fillId="21" borderId="167" applyNumberFormat="0" applyAlignment="0" applyProtection="0"/>
    <xf numFmtId="0" fontId="8" fillId="24" borderId="178" applyNumberFormat="0" applyFont="0" applyAlignment="0" applyProtection="0"/>
    <xf numFmtId="0" fontId="29" fillId="36" borderId="162" applyNumberFormat="0" applyAlignment="0" applyProtection="0"/>
    <xf numFmtId="0" fontId="30" fillId="37" borderId="197" applyNumberFormat="0" applyAlignment="0" applyProtection="0"/>
    <xf numFmtId="166" fontId="1" fillId="0" borderId="0" applyFont="0" applyFill="0" applyBorder="0" applyAlignment="0" applyProtection="0"/>
    <xf numFmtId="43" fontId="1" fillId="0" borderId="0" applyFont="0" applyFill="0" applyBorder="0" applyAlignment="0" applyProtection="0"/>
    <xf numFmtId="0" fontId="42" fillId="36" borderId="189" applyNumberFormat="0" applyAlignment="0" applyProtection="0"/>
    <xf numFmtId="0" fontId="36" fillId="21" borderId="172" applyNumberFormat="0" applyAlignment="0" applyProtection="0"/>
    <xf numFmtId="0" fontId="8" fillId="24" borderId="183" applyNumberFormat="0" applyFont="0" applyAlignment="0" applyProtection="0"/>
    <xf numFmtId="0" fontId="29" fillId="36" borderId="167" applyNumberFormat="0" applyAlignment="0" applyProtection="0"/>
    <xf numFmtId="0" fontId="30" fillId="37" borderId="202" applyNumberFormat="0" applyAlignment="0" applyProtection="0"/>
    <xf numFmtId="166" fontId="1" fillId="0" borderId="0" applyFont="0" applyFill="0" applyBorder="0" applyAlignment="0" applyProtection="0"/>
    <xf numFmtId="0" fontId="42" fillId="36" borderId="194" applyNumberFormat="0" applyAlignment="0" applyProtection="0"/>
    <xf numFmtId="0" fontId="36" fillId="21" borderId="177" applyNumberFormat="0" applyAlignment="0" applyProtection="0"/>
    <xf numFmtId="0" fontId="8" fillId="24" borderId="188" applyNumberFormat="0" applyFont="0" applyAlignment="0" applyProtection="0"/>
    <xf numFmtId="0" fontId="29" fillId="36" borderId="172" applyNumberFormat="0" applyAlignment="0" applyProtection="0"/>
    <xf numFmtId="0" fontId="30" fillId="37" borderId="207" applyNumberFormat="0" applyAlignment="0" applyProtection="0"/>
    <xf numFmtId="166" fontId="1" fillId="0" borderId="0" applyFont="0" applyFill="0" applyBorder="0" applyAlignment="0" applyProtection="0"/>
    <xf numFmtId="0" fontId="42" fillId="36" borderId="199" applyNumberFormat="0" applyAlignment="0" applyProtection="0"/>
    <xf numFmtId="0" fontId="36" fillId="21" borderId="182" applyNumberFormat="0" applyAlignment="0" applyProtection="0"/>
    <xf numFmtId="0" fontId="8" fillId="24" borderId="193" applyNumberFormat="0" applyFont="0" applyAlignment="0" applyProtection="0"/>
    <xf numFmtId="0" fontId="29" fillId="36" borderId="177" applyNumberFormat="0" applyAlignment="0" applyProtection="0"/>
    <xf numFmtId="166" fontId="1" fillId="0" borderId="0" applyFont="0" applyFill="0" applyBorder="0" applyAlignment="0" applyProtection="0"/>
    <xf numFmtId="0" fontId="42" fillId="36" borderId="204" applyNumberFormat="0" applyAlignment="0" applyProtection="0"/>
    <xf numFmtId="0" fontId="36" fillId="21" borderId="187" applyNumberFormat="0" applyAlignment="0" applyProtection="0"/>
    <xf numFmtId="0" fontId="8" fillId="24" borderId="198" applyNumberFormat="0" applyFont="0" applyAlignment="0" applyProtection="0"/>
    <xf numFmtId="0" fontId="29" fillId="36" borderId="182" applyNumberFormat="0" applyAlignment="0" applyProtection="0"/>
    <xf numFmtId="166" fontId="1" fillId="0" borderId="0" applyFont="0" applyFill="0" applyBorder="0" applyAlignment="0" applyProtection="0"/>
    <xf numFmtId="0" fontId="42" fillId="36" borderId="209" applyNumberFormat="0" applyAlignment="0" applyProtection="0"/>
    <xf numFmtId="0" fontId="36" fillId="21" borderId="192" applyNumberFormat="0" applyAlignment="0" applyProtection="0"/>
    <xf numFmtId="0" fontId="8" fillId="24" borderId="203" applyNumberFormat="0" applyFont="0" applyAlignment="0" applyProtection="0"/>
    <xf numFmtId="0" fontId="29" fillId="36" borderId="187" applyNumberFormat="0" applyAlignment="0" applyProtection="0"/>
    <xf numFmtId="166" fontId="1" fillId="0" borderId="0" applyFont="0" applyFill="0" applyBorder="0" applyAlignment="0" applyProtection="0"/>
    <xf numFmtId="0" fontId="36" fillId="21" borderId="197" applyNumberFormat="0" applyAlignment="0" applyProtection="0"/>
    <xf numFmtId="0" fontId="8" fillId="24" borderId="208" applyNumberFormat="0" applyFont="0" applyAlignment="0" applyProtection="0"/>
    <xf numFmtId="0" fontId="29" fillId="36" borderId="192" applyNumberFormat="0" applyAlignment="0" applyProtection="0"/>
    <xf numFmtId="166" fontId="1" fillId="0" borderId="0" applyFont="0" applyFill="0" applyBorder="0" applyAlignment="0" applyProtection="0"/>
    <xf numFmtId="0" fontId="36" fillId="21" borderId="202" applyNumberFormat="0" applyAlignment="0" applyProtection="0"/>
    <xf numFmtId="0" fontId="29" fillId="36" borderId="197" applyNumberFormat="0" applyAlignment="0" applyProtection="0"/>
    <xf numFmtId="166" fontId="1" fillId="0" borderId="0" applyFont="0" applyFill="0" applyBorder="0" applyAlignment="0" applyProtection="0"/>
    <xf numFmtId="0" fontId="36" fillId="21" borderId="207" applyNumberFormat="0" applyAlignment="0" applyProtection="0"/>
    <xf numFmtId="0" fontId="29" fillId="36" borderId="202" applyNumberFormat="0" applyAlignment="0" applyProtection="0"/>
    <xf numFmtId="166" fontId="1" fillId="0" borderId="0" applyFont="0" applyFill="0" applyBorder="0" applyAlignment="0" applyProtection="0"/>
    <xf numFmtId="0" fontId="29" fillId="36" borderId="207" applyNumberFormat="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2" fillId="24" borderId="213" applyNumberFormat="0" applyFont="0" applyAlignment="0" applyProtection="0"/>
    <xf numFmtId="0" fontId="47" fillId="0" borderId="216" applyNumberFormat="0" applyFill="0" applyAlignment="0" applyProtection="0"/>
    <xf numFmtId="44" fontId="2" fillId="0" borderId="0" applyFont="0" applyFill="0" applyBorder="0" applyAlignment="0" applyProtection="0"/>
    <xf numFmtId="0" fontId="47" fillId="0" borderId="216" applyNumberFormat="0" applyFill="0" applyAlignment="0" applyProtection="0"/>
    <xf numFmtId="0" fontId="29" fillId="36" borderId="212" applyNumberFormat="0" applyAlignment="0" applyProtection="0"/>
    <xf numFmtId="0" fontId="30" fillId="37" borderId="212" applyNumberFormat="0" applyAlignment="0" applyProtection="0"/>
    <xf numFmtId="0" fontId="36" fillId="21" borderId="212" applyNumberFormat="0" applyAlignment="0" applyProtection="0"/>
    <xf numFmtId="0" fontId="29" fillId="36" borderId="212" applyNumberFormat="0" applyAlignment="0" applyProtection="0"/>
    <xf numFmtId="0" fontId="30" fillId="37" borderId="212" applyNumberFormat="0" applyAlignment="0" applyProtection="0"/>
    <xf numFmtId="0" fontId="29" fillId="36" borderId="212" applyNumberFormat="0" applyAlignment="0" applyProtection="0"/>
    <xf numFmtId="0" fontId="36" fillId="27" borderId="212" applyNumberFormat="0" applyAlignment="0" applyProtection="0"/>
    <xf numFmtId="0" fontId="36" fillId="21" borderId="212" applyNumberFormat="0" applyAlignment="0" applyProtection="0"/>
    <xf numFmtId="0" fontId="36" fillId="21" borderId="212" applyNumberFormat="0" applyAlignment="0" applyProtection="0"/>
    <xf numFmtId="44" fontId="2" fillId="0" borderId="0" applyFont="0" applyFill="0" applyBorder="0" applyAlignment="0" applyProtection="0"/>
    <xf numFmtId="0" fontId="8" fillId="24" borderId="213" applyNumberFormat="0" applyFont="0" applyAlignment="0" applyProtection="0"/>
    <xf numFmtId="0" fontId="8" fillId="24" borderId="213" applyNumberFormat="0" applyFont="0" applyAlignment="0" applyProtection="0"/>
    <xf numFmtId="0" fontId="2" fillId="24" borderId="213" applyNumberFormat="0" applyFont="0" applyAlignment="0" applyProtection="0"/>
    <xf numFmtId="0" fontId="42" fillId="36" borderId="214" applyNumberFormat="0" applyAlignment="0" applyProtection="0"/>
    <xf numFmtId="0" fontId="42" fillId="37" borderId="214" applyNumberFormat="0" applyAlignment="0" applyProtection="0"/>
    <xf numFmtId="0" fontId="42" fillId="36" borderId="214" applyNumberFormat="0" applyAlignment="0" applyProtection="0"/>
    <xf numFmtId="0" fontId="47" fillId="0" borderId="215" applyNumberFormat="0" applyFill="0" applyAlignment="0" applyProtection="0"/>
    <xf numFmtId="0" fontId="47" fillId="0" borderId="216" applyNumberFormat="0" applyFill="0" applyAlignment="0" applyProtection="0"/>
    <xf numFmtId="0" fontId="8" fillId="24" borderId="213" applyNumberFormat="0" applyFont="0" applyAlignment="0" applyProtection="0"/>
    <xf numFmtId="0" fontId="8" fillId="24" borderId="213" applyNumberFormat="0" applyFont="0" applyAlignment="0" applyProtection="0"/>
    <xf numFmtId="0" fontId="42" fillId="36" borderId="214" applyNumberFormat="0" applyAlignment="0" applyProtection="0"/>
    <xf numFmtId="0" fontId="42" fillId="36" borderId="214" applyNumberFormat="0" applyAlignment="0" applyProtection="0"/>
    <xf numFmtId="0" fontId="2" fillId="24" borderId="213" applyNumberFormat="0" applyFont="0" applyAlignment="0" applyProtection="0"/>
    <xf numFmtId="0" fontId="30" fillId="37" borderId="212" applyNumberFormat="0" applyAlignment="0" applyProtection="0"/>
    <xf numFmtId="0" fontId="30" fillId="37" borderId="212" applyNumberFormat="0" applyAlignment="0" applyProtection="0"/>
    <xf numFmtId="0" fontId="47" fillId="0" borderId="216" applyNumberFormat="0" applyFill="0" applyAlignment="0" applyProtection="0"/>
    <xf numFmtId="0" fontId="47" fillId="0" borderId="216" applyNumberFormat="0" applyFill="0" applyAlignment="0" applyProtection="0"/>
    <xf numFmtId="0" fontId="36" fillId="21" borderId="212" applyNumberFormat="0" applyAlignment="0" applyProtection="0"/>
    <xf numFmtId="0" fontId="36" fillId="27" borderId="212" applyNumberFormat="0" applyAlignment="0" applyProtection="0"/>
    <xf numFmtId="0" fontId="8" fillId="24" borderId="213" applyNumberFormat="0" applyFont="0" applyAlignment="0" applyProtection="0"/>
    <xf numFmtId="0" fontId="2" fillId="24" borderId="213" applyNumberFormat="0" applyFont="0" applyAlignment="0" applyProtection="0"/>
    <xf numFmtId="0" fontId="42" fillId="37" borderId="214" applyNumberFormat="0" applyAlignment="0" applyProtection="0"/>
    <xf numFmtId="0" fontId="42" fillId="36" borderId="214" applyNumberFormat="0" applyAlignment="0" applyProtection="0"/>
    <xf numFmtId="0" fontId="42" fillId="36" borderId="214" applyNumberFormat="0" applyAlignment="0" applyProtection="0"/>
    <xf numFmtId="0" fontId="42" fillId="36" borderId="214" applyNumberFormat="0" applyAlignment="0" applyProtection="0"/>
    <xf numFmtId="0" fontId="2" fillId="24" borderId="213" applyNumberFormat="0" applyFont="0" applyAlignment="0" applyProtection="0"/>
    <xf numFmtId="0" fontId="47" fillId="0" borderId="216" applyNumberFormat="0" applyFill="0" applyAlignment="0" applyProtection="0"/>
    <xf numFmtId="0" fontId="29" fillId="36" borderId="212" applyNumberFormat="0" applyAlignment="0" applyProtection="0"/>
    <xf numFmtId="0" fontId="42" fillId="36" borderId="214" applyNumberFormat="0" applyAlignment="0" applyProtection="0"/>
    <xf numFmtId="0" fontId="42" fillId="37" borderId="214" applyNumberFormat="0" applyAlignment="0" applyProtection="0"/>
    <xf numFmtId="0" fontId="36" fillId="27" borderId="212" applyNumberFormat="0" applyAlignment="0" applyProtection="0"/>
    <xf numFmtId="0" fontId="36" fillId="21" borderId="212" applyNumberFormat="0" applyAlignment="0" applyProtection="0"/>
    <xf numFmtId="0" fontId="36" fillId="27" borderId="212" applyNumberFormat="0" applyAlignment="0" applyProtection="0"/>
    <xf numFmtId="0" fontId="2" fillId="24" borderId="213" applyNumberFormat="0" applyFont="0" applyAlignment="0" applyProtection="0"/>
    <xf numFmtId="0" fontId="47" fillId="0" borderId="216" applyNumberFormat="0" applyFill="0" applyAlignment="0" applyProtection="0"/>
    <xf numFmtId="0" fontId="47" fillId="0" borderId="215" applyNumberFormat="0" applyFill="0" applyAlignment="0" applyProtection="0"/>
    <xf numFmtId="0" fontId="30" fillId="37" borderId="212" applyNumberFormat="0" applyAlignment="0" applyProtection="0"/>
    <xf numFmtId="0" fontId="36" fillId="27"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8" fillId="24" borderId="213" applyNumberFormat="0" applyFont="0" applyAlignment="0" applyProtection="0"/>
    <xf numFmtId="0" fontId="47" fillId="0" borderId="215" applyNumberFormat="0" applyFill="0" applyAlignment="0" applyProtection="0"/>
    <xf numFmtId="0" fontId="8" fillId="24" borderId="213" applyNumberFormat="0" applyFont="0" applyAlignment="0" applyProtection="0"/>
    <xf numFmtId="0" fontId="42" fillId="36" borderId="214" applyNumberFormat="0" applyAlignment="0" applyProtection="0"/>
    <xf numFmtId="0" fontId="42" fillId="37" borderId="214" applyNumberFormat="0" applyAlignment="0" applyProtection="0"/>
    <xf numFmtId="0" fontId="8" fillId="24" borderId="213" applyNumberFormat="0" applyFont="0" applyAlignment="0" applyProtection="0"/>
    <xf numFmtId="0" fontId="2" fillId="24" borderId="213" applyNumberFormat="0" applyFont="0" applyAlignment="0" applyProtection="0"/>
    <xf numFmtId="0" fontId="29" fillId="36" borderId="212" applyNumberFormat="0" applyAlignment="0" applyProtection="0"/>
    <xf numFmtId="0" fontId="42" fillId="36" borderId="214" applyNumberFormat="0" applyAlignment="0" applyProtection="0"/>
    <xf numFmtId="0" fontId="2" fillId="24" borderId="213" applyNumberFormat="0" applyFont="0" applyAlignment="0" applyProtection="0"/>
    <xf numFmtId="0" fontId="8" fillId="24" borderId="213" applyNumberFormat="0" applyFont="0" applyAlignment="0" applyProtection="0"/>
    <xf numFmtId="0" fontId="8" fillId="24" borderId="213" applyNumberFormat="0" applyFont="0" applyAlignment="0" applyProtection="0"/>
    <xf numFmtId="0" fontId="42" fillId="36" borderId="214" applyNumberFormat="0" applyAlignment="0" applyProtection="0"/>
    <xf numFmtId="0" fontId="2" fillId="24" borderId="213" applyNumberFormat="0" applyFont="0" applyAlignment="0" applyProtection="0"/>
    <xf numFmtId="0" fontId="8" fillId="24" borderId="213" applyNumberFormat="0" applyFont="0" applyAlignment="0" applyProtection="0"/>
    <xf numFmtId="0" fontId="8" fillId="24" borderId="213" applyNumberFormat="0" applyFont="0" applyAlignment="0" applyProtection="0"/>
    <xf numFmtId="0" fontId="42" fillId="36" borderId="214" applyNumberFormat="0" applyAlignment="0" applyProtection="0"/>
    <xf numFmtId="0" fontId="36" fillId="27" borderId="212" applyNumberFormat="0" applyAlignment="0" applyProtection="0"/>
    <xf numFmtId="0" fontId="47" fillId="0" borderId="216" applyNumberFormat="0" applyFill="0" applyAlignment="0" applyProtection="0"/>
    <xf numFmtId="0" fontId="47" fillId="0" borderId="215" applyNumberFormat="0" applyFill="0" applyAlignment="0" applyProtection="0"/>
    <xf numFmtId="0" fontId="36" fillId="27" borderId="212" applyNumberFormat="0" applyAlignment="0" applyProtection="0"/>
    <xf numFmtId="0" fontId="42" fillId="36" borderId="214" applyNumberFormat="0" applyAlignment="0" applyProtection="0"/>
    <xf numFmtId="0" fontId="42" fillId="37" borderId="214" applyNumberFormat="0" applyAlignment="0" applyProtection="0"/>
    <xf numFmtId="0" fontId="42" fillId="37" borderId="214" applyNumberFormat="0" applyAlignment="0" applyProtection="0"/>
    <xf numFmtId="0" fontId="42" fillId="36" borderId="214" applyNumberFormat="0" applyAlignment="0" applyProtection="0"/>
    <xf numFmtId="0" fontId="8" fillId="24" borderId="213" applyNumberFormat="0" applyFont="0" applyAlignment="0" applyProtection="0"/>
    <xf numFmtId="0" fontId="42" fillId="37" borderId="214" applyNumberFormat="0" applyAlignment="0" applyProtection="0"/>
    <xf numFmtId="0" fontId="42" fillId="36" borderId="214" applyNumberFormat="0" applyAlignment="0" applyProtection="0"/>
    <xf numFmtId="0" fontId="29" fillId="36" borderId="212" applyNumberFormat="0" applyAlignment="0" applyProtection="0"/>
    <xf numFmtId="0" fontId="30" fillId="37" borderId="212" applyNumberFormat="0" applyAlignment="0" applyProtection="0"/>
    <xf numFmtId="0" fontId="29" fillId="36" borderId="212" applyNumberFormat="0" applyAlignment="0" applyProtection="0"/>
    <xf numFmtId="0" fontId="36" fillId="21" borderId="212" applyNumberFormat="0" applyAlignment="0" applyProtection="0"/>
    <xf numFmtId="0" fontId="42" fillId="36" borderId="214" applyNumberFormat="0" applyAlignment="0" applyProtection="0"/>
    <xf numFmtId="0" fontId="42" fillId="37" borderId="214" applyNumberFormat="0" applyAlignment="0" applyProtection="0"/>
    <xf numFmtId="0" fontId="8" fillId="24" borderId="213" applyNumberFormat="0" applyFont="0" applyAlignment="0" applyProtection="0"/>
    <xf numFmtId="0" fontId="36" fillId="21" borderId="212" applyNumberFormat="0" applyAlignment="0" applyProtection="0"/>
    <xf numFmtId="0" fontId="42" fillId="36" borderId="214" applyNumberFormat="0" applyAlignment="0" applyProtection="0"/>
    <xf numFmtId="0" fontId="30" fillId="37" borderId="212" applyNumberFormat="0" applyAlignment="0" applyProtection="0"/>
    <xf numFmtId="0" fontId="29" fillId="36" borderId="212" applyNumberFormat="0" applyAlignment="0" applyProtection="0"/>
    <xf numFmtId="0" fontId="36" fillId="21" borderId="212" applyNumberFormat="0" applyAlignment="0" applyProtection="0"/>
    <xf numFmtId="0" fontId="42" fillId="36" borderId="214" applyNumberFormat="0" applyAlignment="0" applyProtection="0"/>
    <xf numFmtId="0" fontId="8" fillId="24" borderId="213" applyNumberFormat="0" applyFont="0" applyAlignment="0" applyProtection="0"/>
    <xf numFmtId="0" fontId="42" fillId="37" borderId="214" applyNumberFormat="0" applyAlignment="0" applyProtection="0"/>
    <xf numFmtId="0" fontId="36" fillId="27" borderId="212" applyNumberFormat="0" applyAlignment="0" applyProtection="0"/>
    <xf numFmtId="0" fontId="36" fillId="21" borderId="212" applyNumberFormat="0" applyAlignment="0" applyProtection="0"/>
    <xf numFmtId="0" fontId="8" fillId="24" borderId="213" applyNumberFormat="0" applyFont="0" applyAlignment="0" applyProtection="0"/>
    <xf numFmtId="0" fontId="8" fillId="24" borderId="213" applyNumberFormat="0" applyFont="0" applyAlignment="0" applyProtection="0"/>
    <xf numFmtId="0" fontId="47" fillId="0" borderId="215" applyNumberFormat="0" applyFill="0" applyAlignment="0" applyProtection="0"/>
    <xf numFmtId="0" fontId="47" fillId="0" borderId="216" applyNumberFormat="0" applyFill="0" applyAlignment="0" applyProtection="0"/>
    <xf numFmtId="0" fontId="30" fillId="37" borderId="212" applyNumberFormat="0" applyAlignment="0" applyProtection="0"/>
    <xf numFmtId="0" fontId="47" fillId="0" borderId="216" applyNumberFormat="0" applyFill="0" applyAlignment="0" applyProtection="0"/>
    <xf numFmtId="0" fontId="30" fillId="37" borderId="212" applyNumberFormat="0" applyAlignment="0" applyProtection="0"/>
    <xf numFmtId="0" fontId="36" fillId="21" borderId="212" applyNumberFormat="0" applyAlignment="0" applyProtection="0"/>
    <xf numFmtId="0" fontId="42" fillId="36" borderId="214" applyNumberFormat="0" applyAlignment="0" applyProtection="0"/>
    <xf numFmtId="0" fontId="42" fillId="37" borderId="214" applyNumberFormat="0" applyAlignment="0" applyProtection="0"/>
    <xf numFmtId="0" fontId="8" fillId="24" borderId="213" applyNumberFormat="0" applyFont="0" applyAlignment="0" applyProtection="0"/>
    <xf numFmtId="0" fontId="8" fillId="24" borderId="213" applyNumberFormat="0" applyFont="0" applyAlignment="0" applyProtection="0"/>
    <xf numFmtId="0" fontId="30" fillId="37" borderId="212" applyNumberFormat="0" applyAlignment="0" applyProtection="0"/>
    <xf numFmtId="0" fontId="36" fillId="21" borderId="212" applyNumberFormat="0" applyAlignment="0" applyProtection="0"/>
    <xf numFmtId="0" fontId="36" fillId="27" borderId="212" applyNumberFormat="0" applyAlignment="0" applyProtection="0"/>
    <xf numFmtId="0" fontId="42" fillId="36" borderId="214" applyNumberFormat="0" applyAlignment="0" applyProtection="0"/>
    <xf numFmtId="0" fontId="30" fillId="37" borderId="212" applyNumberFormat="0" applyAlignment="0" applyProtection="0"/>
    <xf numFmtId="0" fontId="2" fillId="24" borderId="213" applyNumberFormat="0" applyFont="0" applyAlignment="0" applyProtection="0"/>
    <xf numFmtId="0" fontId="42" fillId="37" borderId="214" applyNumberFormat="0" applyAlignment="0" applyProtection="0"/>
    <xf numFmtId="0" fontId="36" fillId="21" borderId="212" applyNumberFormat="0" applyAlignment="0" applyProtection="0"/>
    <xf numFmtId="0" fontId="36" fillId="21" borderId="212" applyNumberFormat="0" applyAlignment="0" applyProtection="0"/>
    <xf numFmtId="0" fontId="2" fillId="24" borderId="213" applyNumberFormat="0" applyFont="0" applyAlignment="0" applyProtection="0"/>
    <xf numFmtId="0" fontId="36" fillId="21" borderId="212" applyNumberFormat="0" applyAlignment="0" applyProtection="0"/>
    <xf numFmtId="0" fontId="36" fillId="27" borderId="212" applyNumberFormat="0" applyAlignment="0" applyProtection="0"/>
    <xf numFmtId="0" fontId="36" fillId="21" borderId="212" applyNumberFormat="0" applyAlignment="0" applyProtection="0"/>
    <xf numFmtId="0" fontId="36" fillId="27" borderId="212" applyNumberFormat="0" applyAlignment="0" applyProtection="0"/>
    <xf numFmtId="0" fontId="29" fillId="36" borderId="212" applyNumberFormat="0" applyAlignment="0" applyProtection="0"/>
    <xf numFmtId="0" fontId="30" fillId="37" borderId="212" applyNumberFormat="0" applyAlignment="0" applyProtection="0"/>
    <xf numFmtId="0" fontId="36" fillId="21" borderId="212" applyNumberFormat="0" applyAlignment="0" applyProtection="0"/>
    <xf numFmtId="0" fontId="36" fillId="27" borderId="212" applyNumberForma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2" fillId="24" borderId="213" applyNumberFormat="0" applyFont="0" applyAlignment="0" applyProtection="0"/>
    <xf numFmtId="0" fontId="47" fillId="0" borderId="215" applyNumberFormat="0" applyFill="0" applyAlignment="0" applyProtection="0"/>
    <xf numFmtId="0" fontId="42" fillId="36" borderId="214" applyNumberFormat="0" applyAlignment="0" applyProtection="0"/>
    <xf numFmtId="0" fontId="29" fillId="36" borderId="212" applyNumberFormat="0" applyAlignment="0" applyProtection="0"/>
    <xf numFmtId="0" fontId="29" fillId="36" borderId="212" applyNumberFormat="0" applyAlignment="0" applyProtection="0"/>
    <xf numFmtId="0" fontId="29" fillId="36" borderId="212" applyNumberFormat="0" applyAlignment="0" applyProtection="0"/>
    <xf numFmtId="0" fontId="42" fillId="36" borderId="214" applyNumberFormat="0" applyAlignment="0" applyProtection="0"/>
    <xf numFmtId="0" fontId="42" fillId="36" borderId="214" applyNumberFormat="0" applyAlignment="0" applyProtection="0"/>
    <xf numFmtId="0" fontId="42" fillId="36" borderId="214" applyNumberFormat="0" applyAlignment="0" applyProtection="0"/>
    <xf numFmtId="0" fontId="8" fillId="24" borderId="213" applyNumberFormat="0" applyFont="0" applyAlignment="0" applyProtection="0"/>
    <xf numFmtId="0" fontId="8" fillId="24" borderId="213" applyNumberFormat="0" applyFont="0" applyAlignment="0" applyProtection="0"/>
    <xf numFmtId="0" fontId="29" fillId="36" borderId="212" applyNumberFormat="0" applyAlignment="0" applyProtection="0"/>
    <xf numFmtId="0" fontId="30" fillId="37" borderId="212" applyNumberFormat="0" applyAlignment="0" applyProtection="0"/>
    <xf numFmtId="0" fontId="42" fillId="36" borderId="214" applyNumberFormat="0" applyAlignment="0" applyProtection="0"/>
    <xf numFmtId="0" fontId="30" fillId="37" borderId="212" applyNumberFormat="0" applyAlignment="0" applyProtection="0"/>
    <xf numFmtId="0" fontId="36" fillId="21" borderId="212" applyNumberFormat="0" applyAlignment="0" applyProtection="0"/>
    <xf numFmtId="0" fontId="36" fillId="27" borderId="212" applyNumberFormat="0" applyAlignment="0" applyProtection="0"/>
    <xf numFmtId="0" fontId="47" fillId="0" borderId="215" applyNumberFormat="0" applyFill="0" applyAlignment="0" applyProtection="0"/>
    <xf numFmtId="0" fontId="47" fillId="0" borderId="216" applyNumberFormat="0" applyFill="0" applyAlignment="0" applyProtection="0"/>
    <xf numFmtId="0" fontId="47" fillId="0" borderId="215" applyNumberFormat="0" applyFill="0" applyAlignment="0" applyProtection="0"/>
    <xf numFmtId="0" fontId="30" fillId="37" borderId="212" applyNumberFormat="0" applyAlignment="0" applyProtection="0"/>
    <xf numFmtId="0" fontId="47" fillId="0" borderId="216" applyNumberFormat="0" applyFill="0" applyAlignment="0" applyProtection="0"/>
    <xf numFmtId="0" fontId="8" fillId="24" borderId="213" applyNumberFormat="0" applyFont="0" applyAlignment="0" applyProtection="0"/>
    <xf numFmtId="0" fontId="42" fillId="36" borderId="214" applyNumberFormat="0" applyAlignment="0" applyProtection="0"/>
    <xf numFmtId="0" fontId="42" fillId="37" borderId="214" applyNumberFormat="0" applyAlignment="0" applyProtection="0"/>
    <xf numFmtId="0" fontId="42" fillId="37" borderId="214" applyNumberFormat="0" applyAlignment="0" applyProtection="0"/>
    <xf numFmtId="0" fontId="42" fillId="36" borderId="214" applyNumberFormat="0" applyAlignment="0" applyProtection="0"/>
    <xf numFmtId="0" fontId="29" fillId="36" borderId="212" applyNumberFormat="0" applyAlignment="0" applyProtection="0"/>
    <xf numFmtId="0" fontId="47" fillId="0" borderId="216" applyNumberFormat="0" applyFill="0" applyAlignment="0" applyProtection="0"/>
    <xf numFmtId="0" fontId="42" fillId="36" borderId="214" applyNumberFormat="0" applyAlignment="0" applyProtection="0"/>
    <xf numFmtId="0" fontId="42" fillId="36" borderId="214" applyNumberFormat="0" applyAlignment="0" applyProtection="0"/>
    <xf numFmtId="0" fontId="8" fillId="24" borderId="213" applyNumberFormat="0" applyFont="0" applyAlignment="0" applyProtection="0"/>
    <xf numFmtId="0" fontId="29" fillId="36" borderId="212" applyNumberFormat="0" applyAlignment="0" applyProtection="0"/>
    <xf numFmtId="0" fontId="8" fillId="24" borderId="213" applyNumberFormat="0" applyFont="0" applyAlignment="0" applyProtection="0"/>
    <xf numFmtId="0" fontId="47" fillId="0" borderId="215" applyNumberFormat="0" applyFill="0" applyAlignment="0" applyProtection="0"/>
    <xf numFmtId="0" fontId="47" fillId="0" borderId="216" applyNumberFormat="0" applyFill="0" applyAlignment="0" applyProtection="0"/>
    <xf numFmtId="0" fontId="36" fillId="27" borderId="212" applyNumberFormat="0" applyAlignment="0" applyProtection="0"/>
    <xf numFmtId="0" fontId="42" fillId="36" borderId="214" applyNumberFormat="0" applyAlignment="0" applyProtection="0"/>
    <xf numFmtId="0" fontId="47" fillId="0" borderId="216" applyNumberFormat="0" applyFill="0" applyAlignment="0" applyProtection="0"/>
    <xf numFmtId="0" fontId="8" fillId="24" borderId="213" applyNumberFormat="0" applyFont="0" applyAlignment="0" applyProtection="0"/>
    <xf numFmtId="0" fontId="8" fillId="24" borderId="213" applyNumberFormat="0" applyFont="0" applyAlignment="0" applyProtection="0"/>
    <xf numFmtId="0" fontId="2" fillId="24" borderId="213" applyNumberFormat="0" applyFont="0" applyAlignment="0" applyProtection="0"/>
    <xf numFmtId="0" fontId="42" fillId="36" borderId="214" applyNumberFormat="0" applyAlignment="0" applyProtection="0"/>
    <xf numFmtId="0" fontId="2" fillId="24" borderId="213" applyNumberFormat="0" applyFont="0" applyAlignment="0" applyProtection="0"/>
    <xf numFmtId="0" fontId="47" fillId="0" borderId="215" applyNumberFormat="0" applyFill="0" applyAlignment="0" applyProtection="0"/>
    <xf numFmtId="0" fontId="47" fillId="0" borderId="215" applyNumberFormat="0" applyFill="0" applyAlignment="0" applyProtection="0"/>
    <xf numFmtId="0" fontId="36" fillId="21" borderId="212" applyNumberFormat="0" applyAlignment="0" applyProtection="0"/>
    <xf numFmtId="0" fontId="42" fillId="37" borderId="214" applyNumberFormat="0" applyAlignment="0" applyProtection="0"/>
    <xf numFmtId="0" fontId="42" fillId="36" borderId="214" applyNumberFormat="0" applyAlignment="0" applyProtection="0"/>
    <xf numFmtId="0" fontId="2" fillId="24" borderId="213" applyNumberFormat="0" applyFont="0" applyAlignment="0" applyProtection="0"/>
    <xf numFmtId="0" fontId="47" fillId="0" borderId="216" applyNumberFormat="0" applyFill="0" applyAlignment="0" applyProtection="0"/>
    <xf numFmtId="0" fontId="30" fillId="37" borderId="212" applyNumberFormat="0" applyAlignment="0" applyProtection="0"/>
    <xf numFmtId="0" fontId="8" fillId="24" borderId="213" applyNumberFormat="0" applyFont="0" applyAlignment="0" applyProtection="0"/>
    <xf numFmtId="0" fontId="47" fillId="0" borderId="215" applyNumberFormat="0" applyFill="0" applyAlignment="0" applyProtection="0"/>
    <xf numFmtId="0" fontId="8" fillId="24" borderId="213" applyNumberFormat="0" applyFont="0" applyAlignment="0" applyProtection="0"/>
    <xf numFmtId="0" fontId="30" fillId="37" borderId="212" applyNumberFormat="0" applyAlignment="0" applyProtection="0"/>
    <xf numFmtId="0" fontId="29" fillId="36" borderId="212" applyNumberFormat="0" applyAlignment="0" applyProtection="0"/>
    <xf numFmtId="0" fontId="47" fillId="0" borderId="215" applyNumberFormat="0" applyFill="0" applyAlignment="0" applyProtection="0"/>
    <xf numFmtId="0" fontId="47" fillId="0" borderId="216" applyNumberFormat="0" applyFill="0" applyAlignment="0" applyProtection="0"/>
    <xf numFmtId="0" fontId="8" fillId="24" borderId="213" applyNumberFormat="0" applyFont="0" applyAlignment="0" applyProtection="0"/>
    <xf numFmtId="0" fontId="42" fillId="37" borderId="214" applyNumberFormat="0" applyAlignment="0" applyProtection="0"/>
    <xf numFmtId="0" fontId="8" fillId="24" borderId="213" applyNumberFormat="0" applyFont="0" applyAlignment="0" applyProtection="0"/>
    <xf numFmtId="0" fontId="36" fillId="27" borderId="212" applyNumberFormat="0" applyAlignment="0" applyProtection="0"/>
    <xf numFmtId="0" fontId="42" fillId="36" borderId="214" applyNumberFormat="0" applyAlignment="0" applyProtection="0"/>
    <xf numFmtId="0" fontId="42" fillId="37" borderId="214" applyNumberFormat="0" applyAlignment="0" applyProtection="0"/>
    <xf numFmtId="0" fontId="8" fillId="24" borderId="213" applyNumberFormat="0" applyFont="0" applyAlignment="0" applyProtection="0"/>
    <xf numFmtId="0" fontId="36" fillId="21" borderId="212" applyNumberFormat="0" applyAlignment="0" applyProtection="0"/>
    <xf numFmtId="0" fontId="30" fillId="37" borderId="212" applyNumberFormat="0" applyAlignment="0" applyProtection="0"/>
    <xf numFmtId="0" fontId="47" fillId="0" borderId="215" applyNumberFormat="0" applyFill="0" applyAlignment="0" applyProtection="0"/>
    <xf numFmtId="0" fontId="36" fillId="27" borderId="212" applyNumberFormat="0" applyAlignment="0" applyProtection="0"/>
    <xf numFmtId="0" fontId="42" fillId="36" borderId="214" applyNumberFormat="0" applyAlignment="0" applyProtection="0"/>
    <xf numFmtId="0" fontId="42" fillId="37" borderId="214" applyNumberFormat="0" applyAlignment="0" applyProtection="0"/>
    <xf numFmtId="0" fontId="29" fillId="36" borderId="212" applyNumberFormat="0" applyAlignment="0" applyProtection="0"/>
    <xf numFmtId="0" fontId="29" fillId="36" borderId="212" applyNumberFormat="0" applyAlignment="0" applyProtection="0"/>
    <xf numFmtId="0" fontId="36" fillId="21" borderId="212" applyNumberFormat="0" applyAlignment="0" applyProtection="0"/>
    <xf numFmtId="0" fontId="2" fillId="24" borderId="213" applyNumberFormat="0" applyFont="0" applyAlignment="0" applyProtection="0"/>
    <xf numFmtId="0" fontId="36" fillId="21" borderId="212" applyNumberFormat="0" applyAlignment="0" applyProtection="0"/>
    <xf numFmtId="0" fontId="36" fillId="21" borderId="212" applyNumberFormat="0" applyAlignment="0" applyProtection="0"/>
    <xf numFmtId="0" fontId="29" fillId="36" borderId="212" applyNumberFormat="0" applyAlignment="0" applyProtection="0"/>
    <xf numFmtId="0" fontId="42" fillId="36" borderId="214" applyNumberFormat="0" applyAlignment="0" applyProtection="0"/>
    <xf numFmtId="0" fontId="8" fillId="24" borderId="213" applyNumberFormat="0" applyFont="0" applyAlignment="0" applyProtection="0"/>
    <xf numFmtId="0" fontId="29" fillId="36" borderId="212" applyNumberFormat="0" applyAlignment="0" applyProtection="0"/>
    <xf numFmtId="0" fontId="36" fillId="21" borderId="212" applyNumberFormat="0" applyAlignment="0" applyProtection="0"/>
    <xf numFmtId="0" fontId="36" fillId="21" borderId="212" applyNumberFormat="0" applyAlignment="0" applyProtection="0"/>
    <xf numFmtId="0" fontId="42" fillId="36" borderId="214" applyNumberFormat="0" applyAlignment="0" applyProtection="0"/>
    <xf numFmtId="0" fontId="42" fillId="36" borderId="214" applyNumberFormat="0" applyAlignment="0" applyProtection="0"/>
    <xf numFmtId="0" fontId="47" fillId="0" borderId="216" applyNumberFormat="0" applyFill="0" applyAlignment="0" applyProtection="0"/>
    <xf numFmtId="0" fontId="47" fillId="0" borderId="216" applyNumberFormat="0" applyFill="0" applyAlignment="0" applyProtection="0"/>
    <xf numFmtId="0" fontId="30" fillId="37" borderId="212" applyNumberFormat="0" applyAlignment="0" applyProtection="0"/>
    <xf numFmtId="0" fontId="29" fillId="36" borderId="212" applyNumberFormat="0" applyAlignment="0" applyProtection="0"/>
    <xf numFmtId="0" fontId="36" fillId="21" borderId="212" applyNumberFormat="0" applyAlignment="0" applyProtection="0"/>
    <xf numFmtId="0" fontId="36" fillId="27" borderId="212" applyNumberFormat="0" applyAlignment="0" applyProtection="0"/>
    <xf numFmtId="0" fontId="42" fillId="37" borderId="214" applyNumberFormat="0" applyAlignment="0" applyProtection="0"/>
    <xf numFmtId="0" fontId="29" fillId="36" borderId="212" applyNumberFormat="0" applyAlignment="0" applyProtection="0"/>
    <xf numFmtId="0" fontId="42" fillId="36" borderId="214" applyNumberFormat="0" applyAlignment="0" applyProtection="0"/>
    <xf numFmtId="0" fontId="36" fillId="21" borderId="212" applyNumberFormat="0" applyAlignment="0" applyProtection="0"/>
    <xf numFmtId="0" fontId="30" fillId="37" borderId="212" applyNumberFormat="0" applyAlignment="0" applyProtection="0"/>
    <xf numFmtId="0" fontId="47" fillId="0" borderId="215" applyNumberFormat="0" applyFill="0" applyAlignment="0" applyProtection="0"/>
    <xf numFmtId="0" fontId="42" fillId="37" borderId="214" applyNumberFormat="0" applyAlignment="0" applyProtection="0"/>
    <xf numFmtId="0" fontId="29" fillId="36" borderId="212" applyNumberFormat="0" applyAlignment="0" applyProtection="0"/>
    <xf numFmtId="0" fontId="42" fillId="36" borderId="214" applyNumberFormat="0" applyAlignment="0" applyProtection="0"/>
    <xf numFmtId="0" fontId="8" fillId="24" borderId="213" applyNumberFormat="0" applyFont="0" applyAlignment="0" applyProtection="0"/>
    <xf numFmtId="0" fontId="8" fillId="24" borderId="213" applyNumberFormat="0" applyFont="0" applyAlignment="0" applyProtection="0"/>
    <xf numFmtId="0" fontId="29" fillId="36" borderId="212" applyNumberFormat="0" applyAlignment="0" applyProtection="0"/>
    <xf numFmtId="0" fontId="29" fillId="36" borderId="212" applyNumberFormat="0" applyAlignment="0" applyProtection="0"/>
    <xf numFmtId="0" fontId="36" fillId="27" borderId="212" applyNumberFormat="0" applyAlignment="0" applyProtection="0"/>
    <xf numFmtId="0" fontId="42" fillId="36" borderId="214" applyNumberFormat="0" applyAlignment="0" applyProtection="0"/>
    <xf numFmtId="0" fontId="2" fillId="24" borderId="213" applyNumberFormat="0" applyFont="0" applyAlignment="0" applyProtection="0"/>
    <xf numFmtId="0" fontId="47" fillId="0" borderId="216" applyNumberFormat="0" applyFill="0" applyAlignment="0" applyProtection="0"/>
    <xf numFmtId="0" fontId="29" fillId="36" borderId="212" applyNumberFormat="0" applyAlignment="0" applyProtection="0"/>
    <xf numFmtId="0" fontId="30" fillId="37" borderId="212" applyNumberFormat="0" applyAlignment="0" applyProtection="0"/>
    <xf numFmtId="0" fontId="2" fillId="24" borderId="213" applyNumberFormat="0" applyFont="0" applyAlignment="0" applyProtection="0"/>
    <xf numFmtId="0" fontId="8" fillId="24" borderId="213" applyNumberFormat="0" applyFont="0" applyAlignment="0" applyProtection="0"/>
    <xf numFmtId="0" fontId="36" fillId="27" borderId="212" applyNumberFormat="0" applyAlignment="0" applyProtection="0"/>
    <xf numFmtId="0" fontId="36" fillId="21" borderId="212" applyNumberFormat="0" applyAlignment="0" applyProtection="0"/>
    <xf numFmtId="0" fontId="47" fillId="0" borderId="216" applyNumberFormat="0" applyFill="0" applyAlignment="0" applyProtection="0"/>
    <xf numFmtId="0" fontId="8" fillId="24" borderId="213" applyNumberFormat="0" applyFont="0" applyAlignment="0" applyProtection="0"/>
    <xf numFmtId="0" fontId="36" fillId="21" borderId="212" applyNumberFormat="0" applyAlignment="0" applyProtection="0"/>
    <xf numFmtId="0" fontId="8" fillId="24" borderId="213" applyNumberFormat="0" applyFont="0" applyAlignment="0" applyProtection="0"/>
    <xf numFmtId="0" fontId="36" fillId="21" borderId="212" applyNumberFormat="0" applyAlignment="0" applyProtection="0"/>
    <xf numFmtId="0" fontId="30" fillId="37" borderId="212" applyNumberFormat="0" applyAlignment="0" applyProtection="0"/>
    <xf numFmtId="0" fontId="47" fillId="0" borderId="215" applyNumberFormat="0" applyFill="0" applyAlignment="0" applyProtection="0"/>
    <xf numFmtId="0" fontId="36" fillId="27" borderId="212" applyNumberFormat="0" applyAlignment="0" applyProtection="0"/>
    <xf numFmtId="0" fontId="47" fillId="0" borderId="215" applyNumberFormat="0" applyFill="0" applyAlignment="0" applyProtection="0"/>
    <xf numFmtId="0" fontId="8" fillId="24" borderId="213" applyNumberFormat="0" applyFont="0" applyAlignment="0" applyProtection="0"/>
    <xf numFmtId="0" fontId="29" fillId="36" borderId="212" applyNumberFormat="0" applyAlignment="0" applyProtection="0"/>
    <xf numFmtId="0" fontId="36" fillId="27" borderId="212" applyNumberFormat="0" applyAlignment="0" applyProtection="0"/>
    <xf numFmtId="0" fontId="8" fillId="24" borderId="213" applyNumberFormat="0" applyFont="0" applyAlignment="0" applyProtection="0"/>
    <xf numFmtId="0" fontId="47" fillId="0" borderId="215" applyNumberFormat="0" applyFill="0" applyAlignment="0" applyProtection="0"/>
    <xf numFmtId="0" fontId="47" fillId="0" borderId="215" applyNumberFormat="0" applyFill="0" applyAlignment="0" applyProtection="0"/>
    <xf numFmtId="0" fontId="42" fillId="36" borderId="214" applyNumberFormat="0" applyAlignment="0" applyProtection="0"/>
    <xf numFmtId="0" fontId="47" fillId="0" borderId="215" applyNumberFormat="0" applyFill="0" applyAlignment="0" applyProtection="0"/>
    <xf numFmtId="0" fontId="2" fillId="24" borderId="213" applyNumberFormat="0" applyFont="0" applyAlignment="0" applyProtection="0"/>
    <xf numFmtId="0" fontId="2" fillId="24" borderId="213" applyNumberFormat="0" applyFon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42" fillId="37" borderId="214" applyNumberFormat="0" applyAlignment="0" applyProtection="0"/>
    <xf numFmtId="0" fontId="36" fillId="21" borderId="212" applyNumberFormat="0" applyAlignment="0" applyProtection="0"/>
    <xf numFmtId="0" fontId="36" fillId="21" borderId="212" applyNumberFormat="0" applyAlignment="0" applyProtection="0"/>
    <xf numFmtId="0" fontId="30" fillId="37" borderId="212" applyNumberFormat="0" applyAlignment="0" applyProtection="0"/>
    <xf numFmtId="0" fontId="29" fillId="36" borderId="212" applyNumberFormat="0" applyAlignment="0" applyProtection="0"/>
    <xf numFmtId="0" fontId="2" fillId="24" borderId="213" applyNumberFormat="0" applyFont="0" applyAlignment="0" applyProtection="0"/>
    <xf numFmtId="0" fontId="29" fillId="36" borderId="212" applyNumberFormat="0" applyAlignment="0" applyProtection="0"/>
    <xf numFmtId="0" fontId="42" fillId="36" borderId="214" applyNumberFormat="0" applyAlignment="0" applyProtection="0"/>
    <xf numFmtId="0" fontId="36" fillId="21" borderId="212" applyNumberFormat="0" applyAlignment="0" applyProtection="0"/>
    <xf numFmtId="0" fontId="47" fillId="0" borderId="215" applyNumberFormat="0" applyFill="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42" fillId="37" borderId="214" applyNumberFormat="0" applyAlignment="0" applyProtection="0"/>
    <xf numFmtId="0" fontId="36" fillId="27" borderId="212" applyNumberFormat="0" applyAlignment="0" applyProtection="0"/>
    <xf numFmtId="0" fontId="47" fillId="0" borderId="216" applyNumberFormat="0" applyFill="0" applyAlignment="0" applyProtection="0"/>
    <xf numFmtId="0" fontId="36" fillId="27" borderId="212" applyNumberFormat="0" applyAlignment="0" applyProtection="0"/>
    <xf numFmtId="0" fontId="47" fillId="0" borderId="215" applyNumberFormat="0" applyFill="0" applyAlignment="0" applyProtection="0"/>
    <xf numFmtId="0" fontId="47" fillId="0" borderId="216" applyNumberFormat="0" applyFill="0" applyAlignment="0" applyProtection="0"/>
    <xf numFmtId="0" fontId="42" fillId="36" borderId="214" applyNumberFormat="0" applyAlignment="0" applyProtection="0"/>
    <xf numFmtId="0" fontId="42" fillId="36" borderId="214" applyNumberFormat="0" applyAlignment="0" applyProtection="0"/>
    <xf numFmtId="0" fontId="29" fillId="36" borderId="212" applyNumberFormat="0" applyAlignment="0" applyProtection="0"/>
    <xf numFmtId="0" fontId="42" fillId="37" borderId="214" applyNumberFormat="0" applyAlignment="0" applyProtection="0"/>
    <xf numFmtId="0" fontId="36" fillId="27" borderId="212" applyNumberFormat="0" applyAlignment="0" applyProtection="0"/>
    <xf numFmtId="0" fontId="8" fillId="24" borderId="213" applyNumberFormat="0" applyFont="0" applyAlignment="0" applyProtection="0"/>
    <xf numFmtId="0" fontId="42" fillId="36" borderId="214" applyNumberFormat="0" applyAlignment="0" applyProtection="0"/>
    <xf numFmtId="0" fontId="2" fillId="24" borderId="213" applyNumberFormat="0" applyFont="0" applyAlignment="0" applyProtection="0"/>
    <xf numFmtId="0" fontId="36" fillId="27" borderId="212" applyNumberFormat="0" applyAlignment="0" applyProtection="0"/>
    <xf numFmtId="0" fontId="8" fillId="24" borderId="213" applyNumberFormat="0" applyFont="0" applyAlignment="0" applyProtection="0"/>
    <xf numFmtId="0" fontId="36" fillId="21" borderId="212" applyNumberFormat="0" applyAlignment="0" applyProtection="0"/>
    <xf numFmtId="0" fontId="8" fillId="24" borderId="213" applyNumberFormat="0" applyFont="0" applyAlignment="0" applyProtection="0"/>
    <xf numFmtId="0" fontId="2" fillId="24" borderId="213" applyNumberFormat="0" applyFont="0" applyAlignment="0" applyProtection="0"/>
    <xf numFmtId="0" fontId="47" fillId="0" borderId="215" applyNumberFormat="0" applyFill="0" applyAlignment="0" applyProtection="0"/>
    <xf numFmtId="0" fontId="36" fillId="21" borderId="212" applyNumberFormat="0" applyAlignment="0" applyProtection="0"/>
    <xf numFmtId="0" fontId="42" fillId="36" borderId="214" applyNumberFormat="0" applyAlignment="0" applyProtection="0"/>
    <xf numFmtId="0" fontId="8" fillId="24" borderId="213" applyNumberFormat="0" applyFont="0" applyAlignment="0" applyProtection="0"/>
    <xf numFmtId="0" fontId="42" fillId="37" borderId="214" applyNumberFormat="0" applyAlignment="0" applyProtection="0"/>
    <xf numFmtId="0" fontId="47" fillId="0" borderId="216" applyNumberFormat="0" applyFill="0" applyAlignment="0" applyProtection="0"/>
    <xf numFmtId="0" fontId="47" fillId="0" borderId="216" applyNumberFormat="0" applyFill="0" applyAlignment="0" applyProtection="0"/>
    <xf numFmtId="0" fontId="47" fillId="0" borderId="215" applyNumberFormat="0" applyFill="0" applyAlignment="0" applyProtection="0"/>
    <xf numFmtId="0" fontId="29" fillId="36" borderId="212" applyNumberFormat="0" applyAlignment="0" applyProtection="0"/>
    <xf numFmtId="0" fontId="47" fillId="0" borderId="215" applyNumberFormat="0" applyFill="0" applyAlignment="0" applyProtection="0"/>
    <xf numFmtId="0" fontId="36" fillId="21" borderId="212" applyNumberFormat="0" applyAlignment="0" applyProtection="0"/>
    <xf numFmtId="0" fontId="42" fillId="36" borderId="214" applyNumberFormat="0" applyAlignment="0" applyProtection="0"/>
    <xf numFmtId="0" fontId="29" fillId="36" borderId="212" applyNumberFormat="0" applyAlignment="0" applyProtection="0"/>
    <xf numFmtId="0" fontId="8" fillId="24" borderId="213" applyNumberFormat="0" applyFont="0" applyAlignment="0" applyProtection="0"/>
    <xf numFmtId="0" fontId="47" fillId="0" borderId="216" applyNumberFormat="0" applyFill="0" applyAlignment="0" applyProtection="0"/>
    <xf numFmtId="0" fontId="8" fillId="24" borderId="213" applyNumberFormat="0" applyFont="0" applyAlignment="0" applyProtection="0"/>
    <xf numFmtId="0" fontId="36" fillId="21" borderId="212" applyNumberFormat="0" applyAlignment="0" applyProtection="0"/>
    <xf numFmtId="0" fontId="42" fillId="36" borderId="214" applyNumberFormat="0" applyAlignment="0" applyProtection="0"/>
    <xf numFmtId="0" fontId="2" fillId="24" borderId="213" applyNumberFormat="0" applyFont="0" applyAlignment="0" applyProtection="0"/>
    <xf numFmtId="0" fontId="42" fillId="37" borderId="214" applyNumberFormat="0" applyAlignment="0" applyProtection="0"/>
    <xf numFmtId="0" fontId="36" fillId="21" borderId="212" applyNumberFormat="0" applyAlignment="0" applyProtection="0"/>
    <xf numFmtId="0" fontId="47" fillId="0" borderId="215" applyNumberFormat="0" applyFill="0" applyAlignment="0" applyProtection="0"/>
    <xf numFmtId="0" fontId="8" fillId="24" borderId="213" applyNumberFormat="0" applyFont="0" applyAlignment="0" applyProtection="0"/>
    <xf numFmtId="0" fontId="29" fillId="36" borderId="212" applyNumberFormat="0" applyAlignment="0" applyProtection="0"/>
    <xf numFmtId="0" fontId="29" fillId="36" borderId="212" applyNumberFormat="0" applyAlignment="0" applyProtection="0"/>
    <xf numFmtId="0" fontId="42" fillId="37" borderId="214" applyNumberFormat="0" applyAlignment="0" applyProtection="0"/>
    <xf numFmtId="0" fontId="29" fillId="36" borderId="212" applyNumberFormat="0" applyAlignment="0" applyProtection="0"/>
    <xf numFmtId="0" fontId="30" fillId="37" borderId="212" applyNumberFormat="0" applyAlignment="0" applyProtection="0"/>
    <xf numFmtId="0" fontId="8" fillId="24" borderId="213" applyNumberFormat="0" applyFont="0" applyAlignment="0" applyProtection="0"/>
    <xf numFmtId="0" fontId="42" fillId="36" borderId="214" applyNumberFormat="0" applyAlignment="0" applyProtection="0"/>
    <xf numFmtId="0" fontId="42" fillId="36" borderId="214" applyNumberFormat="0" applyAlignment="0" applyProtection="0"/>
    <xf numFmtId="0" fontId="30" fillId="37" borderId="212" applyNumberFormat="0" applyAlignment="0" applyProtection="0"/>
    <xf numFmtId="0" fontId="2" fillId="24" borderId="213" applyNumberFormat="0" applyFont="0" applyAlignment="0" applyProtection="0"/>
    <xf numFmtId="0" fontId="36" fillId="21" borderId="212" applyNumberFormat="0" applyAlignment="0" applyProtection="0"/>
    <xf numFmtId="0" fontId="36" fillId="21" borderId="212" applyNumberFormat="0" applyAlignment="0" applyProtection="0"/>
    <xf numFmtId="0" fontId="36" fillId="21" borderId="212" applyNumberFormat="0" applyAlignment="0" applyProtection="0"/>
    <xf numFmtId="0" fontId="2" fillId="24" borderId="213" applyNumberFormat="0" applyFont="0" applyAlignment="0" applyProtection="0"/>
    <xf numFmtId="0" fontId="30" fillId="37" borderId="212" applyNumberFormat="0" applyAlignment="0" applyProtection="0"/>
    <xf numFmtId="0" fontId="42" fillId="36" borderId="214" applyNumberFormat="0" applyAlignment="0" applyProtection="0"/>
    <xf numFmtId="0" fontId="36" fillId="21" borderId="212" applyNumberFormat="0" applyAlignment="0" applyProtection="0"/>
    <xf numFmtId="0" fontId="47" fillId="0" borderId="215" applyNumberFormat="0" applyFill="0" applyAlignment="0" applyProtection="0"/>
    <xf numFmtId="0" fontId="36" fillId="21" borderId="212" applyNumberFormat="0" applyAlignment="0" applyProtection="0"/>
    <xf numFmtId="0" fontId="36" fillId="27" borderId="212" applyNumberFormat="0" applyAlignment="0" applyProtection="0"/>
    <xf numFmtId="0" fontId="42" fillId="36" borderId="214" applyNumberFormat="0" applyAlignment="0" applyProtection="0"/>
    <xf numFmtId="0" fontId="36" fillId="27" borderId="212" applyNumberFormat="0" applyAlignment="0" applyProtection="0"/>
    <xf numFmtId="0" fontId="47" fillId="0" borderId="215" applyNumberFormat="0" applyFill="0" applyAlignment="0" applyProtection="0"/>
    <xf numFmtId="0" fontId="47" fillId="0" borderId="215" applyNumberFormat="0" applyFill="0" applyAlignment="0" applyProtection="0"/>
    <xf numFmtId="0" fontId="8" fillId="24" borderId="213" applyNumberFormat="0" applyFont="0" applyAlignment="0" applyProtection="0"/>
    <xf numFmtId="0" fontId="2" fillId="24" borderId="213" applyNumberFormat="0" applyFon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47" fillId="0" borderId="215" applyNumberFormat="0" applyFill="0" applyAlignment="0" applyProtection="0"/>
    <xf numFmtId="0" fontId="42" fillId="36" borderId="214" applyNumberFormat="0" applyAlignment="0" applyProtection="0"/>
    <xf numFmtId="0" fontId="42" fillId="36" borderId="214" applyNumberFormat="0" applyAlignment="0" applyProtection="0"/>
    <xf numFmtId="0" fontId="47" fillId="0" borderId="216" applyNumberFormat="0" applyFill="0" applyAlignment="0" applyProtection="0"/>
    <xf numFmtId="0" fontId="36" fillId="27" borderId="212" applyNumberFormat="0" applyAlignment="0" applyProtection="0"/>
    <xf numFmtId="0" fontId="8" fillId="24" borderId="213" applyNumberFormat="0" applyFon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47" fillId="0" borderId="215" applyNumberFormat="0" applyFill="0" applyAlignment="0" applyProtection="0"/>
    <xf numFmtId="0" fontId="42" fillId="37" borderId="214" applyNumberFormat="0" applyAlignment="0" applyProtection="0"/>
    <xf numFmtId="0" fontId="36" fillId="21" borderId="212" applyNumberFormat="0" applyAlignment="0" applyProtection="0"/>
    <xf numFmtId="0" fontId="29" fillId="36" borderId="212" applyNumberFormat="0" applyAlignment="0" applyProtection="0"/>
    <xf numFmtId="0" fontId="36" fillId="21" borderId="212" applyNumberFormat="0" applyAlignment="0" applyProtection="0"/>
    <xf numFmtId="0" fontId="42" fillId="36" borderId="214" applyNumberFormat="0" applyAlignment="0" applyProtection="0"/>
    <xf numFmtId="0" fontId="8" fillId="24" borderId="213" applyNumberFormat="0" applyFont="0" applyAlignment="0" applyProtection="0"/>
    <xf numFmtId="0" fontId="29" fillId="36" borderId="212" applyNumberFormat="0" applyAlignment="0" applyProtection="0"/>
    <xf numFmtId="0" fontId="47" fillId="0" borderId="216" applyNumberFormat="0" applyFill="0" applyAlignment="0" applyProtection="0"/>
    <xf numFmtId="0" fontId="36" fillId="21" borderId="212" applyNumberFormat="0" applyAlignment="0" applyProtection="0"/>
    <xf numFmtId="0" fontId="47" fillId="0" borderId="215" applyNumberFormat="0" applyFill="0" applyAlignment="0" applyProtection="0"/>
    <xf numFmtId="0" fontId="8" fillId="24" borderId="213" applyNumberFormat="0" applyFont="0" applyAlignment="0" applyProtection="0"/>
    <xf numFmtId="0" fontId="29" fillId="36" borderId="212" applyNumberFormat="0" applyAlignment="0" applyProtection="0"/>
    <xf numFmtId="0" fontId="30" fillId="37" borderId="212" applyNumberFormat="0" applyAlignment="0" applyProtection="0"/>
    <xf numFmtId="0" fontId="42" fillId="37" borderId="214" applyNumberFormat="0" applyAlignment="0" applyProtection="0"/>
    <xf numFmtId="0" fontId="42" fillId="36" borderId="214" applyNumberFormat="0" applyAlignment="0" applyProtection="0"/>
    <xf numFmtId="0" fontId="29" fillId="36" borderId="212" applyNumberFormat="0" applyAlignment="0" applyProtection="0"/>
    <xf numFmtId="0" fontId="29" fillId="36" borderId="212" applyNumberFormat="0" applyAlignment="0" applyProtection="0"/>
    <xf numFmtId="0" fontId="42" fillId="37" borderId="214" applyNumberFormat="0" applyAlignment="0" applyProtection="0"/>
    <xf numFmtId="0" fontId="8" fillId="24" borderId="213" applyNumberFormat="0" applyFont="0" applyAlignment="0" applyProtection="0"/>
    <xf numFmtId="0" fontId="42" fillId="36" borderId="214" applyNumberFormat="0" applyAlignment="0" applyProtection="0"/>
    <xf numFmtId="0" fontId="42" fillId="36" borderId="214" applyNumberFormat="0" applyAlignment="0" applyProtection="0"/>
    <xf numFmtId="0" fontId="30" fillId="37" borderId="212" applyNumberFormat="0" applyAlignment="0" applyProtection="0"/>
    <xf numFmtId="0" fontId="2" fillId="24" borderId="213" applyNumberFormat="0" applyFont="0" applyAlignment="0" applyProtection="0"/>
    <xf numFmtId="0" fontId="36" fillId="21" borderId="212" applyNumberFormat="0" applyAlignment="0" applyProtection="0"/>
    <xf numFmtId="0" fontId="36" fillId="21" borderId="212" applyNumberFormat="0" applyAlignment="0" applyProtection="0"/>
    <xf numFmtId="0" fontId="47" fillId="0" borderId="216" applyNumberFormat="0" applyFill="0" applyAlignment="0" applyProtection="0"/>
    <xf numFmtId="0" fontId="29" fillId="36" borderId="212" applyNumberFormat="0" applyAlignment="0" applyProtection="0"/>
    <xf numFmtId="0" fontId="36" fillId="21" borderId="212" applyNumberFormat="0" applyAlignment="0" applyProtection="0"/>
    <xf numFmtId="0" fontId="2" fillId="24" borderId="213" applyNumberFormat="0" applyFont="0" applyAlignment="0" applyProtection="0"/>
    <xf numFmtId="0" fontId="30" fillId="37" borderId="212" applyNumberFormat="0" applyAlignment="0" applyProtection="0"/>
    <xf numFmtId="0" fontId="30" fillId="37" borderId="212" applyNumberFormat="0" applyAlignment="0" applyProtection="0"/>
    <xf numFmtId="0" fontId="29" fillId="36" borderId="212" applyNumberFormat="0" applyAlignment="0" applyProtection="0"/>
    <xf numFmtId="0" fontId="42" fillId="36" borderId="214" applyNumberFormat="0" applyAlignment="0" applyProtection="0"/>
    <xf numFmtId="0" fontId="42" fillId="36" borderId="214" applyNumberFormat="0" applyAlignment="0" applyProtection="0"/>
    <xf numFmtId="0" fontId="42" fillId="37" borderId="214" applyNumberFormat="0" applyAlignment="0" applyProtection="0"/>
    <xf numFmtId="0" fontId="2" fillId="24" borderId="213" applyNumberFormat="0" applyFont="0" applyAlignment="0" applyProtection="0"/>
    <xf numFmtId="0" fontId="36" fillId="21" borderId="212" applyNumberFormat="0" applyAlignment="0" applyProtection="0"/>
    <xf numFmtId="0" fontId="30" fillId="37" borderId="212" applyNumberFormat="0" applyAlignment="0" applyProtection="0"/>
    <xf numFmtId="0" fontId="42" fillId="37" borderId="214" applyNumberFormat="0" applyAlignment="0" applyProtection="0"/>
    <xf numFmtId="0" fontId="29" fillId="36" borderId="212" applyNumberFormat="0" applyAlignment="0" applyProtection="0"/>
    <xf numFmtId="0" fontId="29" fillId="36" borderId="212" applyNumberFormat="0" applyAlignment="0" applyProtection="0"/>
    <xf numFmtId="0" fontId="42" fillId="37" borderId="214" applyNumberFormat="0" applyAlignment="0" applyProtection="0"/>
    <xf numFmtId="0" fontId="36" fillId="27" borderId="212" applyNumberFormat="0" applyAlignment="0" applyProtection="0"/>
    <xf numFmtId="0" fontId="36" fillId="27" borderId="212" applyNumberFormat="0" applyAlignment="0" applyProtection="0"/>
    <xf numFmtId="0" fontId="2" fillId="24" borderId="213" applyNumberFormat="0" applyFont="0" applyAlignment="0" applyProtection="0"/>
    <xf numFmtId="0" fontId="29" fillId="36" borderId="212" applyNumberFormat="0" applyAlignment="0" applyProtection="0"/>
    <xf numFmtId="0" fontId="42" fillId="37" borderId="214" applyNumberFormat="0" applyAlignment="0" applyProtection="0"/>
    <xf numFmtId="0" fontId="36" fillId="21" borderId="212" applyNumberFormat="0" applyAlignment="0" applyProtection="0"/>
    <xf numFmtId="0" fontId="29" fillId="36" borderId="212" applyNumberFormat="0" applyAlignment="0" applyProtection="0"/>
    <xf numFmtId="0" fontId="36" fillId="21" borderId="212" applyNumberFormat="0" applyAlignment="0" applyProtection="0"/>
    <xf numFmtId="0" fontId="36" fillId="21" borderId="212" applyNumberFormat="0" applyAlignment="0" applyProtection="0"/>
    <xf numFmtId="0" fontId="47" fillId="0" borderId="215" applyNumberFormat="0" applyFill="0" applyAlignment="0" applyProtection="0"/>
    <xf numFmtId="0" fontId="36" fillId="27" borderId="212" applyNumberFormat="0" applyAlignment="0" applyProtection="0"/>
    <xf numFmtId="0" fontId="36" fillId="21" borderId="212" applyNumberFormat="0" applyAlignment="0" applyProtection="0"/>
    <xf numFmtId="0" fontId="29" fillId="36" borderId="212" applyNumberFormat="0" applyAlignment="0" applyProtection="0"/>
    <xf numFmtId="0" fontId="36" fillId="27" borderId="212" applyNumberFormat="0" applyAlignment="0" applyProtection="0"/>
    <xf numFmtId="0" fontId="29" fillId="36" borderId="212" applyNumberFormat="0" applyAlignment="0" applyProtection="0"/>
    <xf numFmtId="0" fontId="36" fillId="21" borderId="212" applyNumberFormat="0" applyAlignment="0" applyProtection="0"/>
    <xf numFmtId="0" fontId="42" fillId="36" borderId="214" applyNumberFormat="0" applyAlignment="0" applyProtection="0"/>
    <xf numFmtId="0" fontId="42" fillId="37" borderId="214" applyNumberFormat="0" applyAlignment="0" applyProtection="0"/>
    <xf numFmtId="0" fontId="36" fillId="27" borderId="212" applyNumberFormat="0" applyAlignment="0" applyProtection="0"/>
    <xf numFmtId="0" fontId="47" fillId="0" borderId="216" applyNumberFormat="0" applyFill="0" applyAlignment="0" applyProtection="0"/>
    <xf numFmtId="0" fontId="8" fillId="24" borderId="213" applyNumberFormat="0" applyFont="0" applyAlignment="0" applyProtection="0"/>
    <xf numFmtId="0" fontId="42" fillId="37" borderId="214" applyNumberFormat="0" applyAlignment="0" applyProtection="0"/>
    <xf numFmtId="0" fontId="47" fillId="0" borderId="216" applyNumberFormat="0" applyFill="0" applyAlignment="0" applyProtection="0"/>
    <xf numFmtId="0" fontId="36" fillId="27" borderId="212" applyNumberFormat="0" applyAlignment="0" applyProtection="0"/>
    <xf numFmtId="0" fontId="47" fillId="0" borderId="216" applyNumberFormat="0" applyFill="0" applyAlignment="0" applyProtection="0"/>
    <xf numFmtId="0" fontId="42" fillId="36" borderId="214" applyNumberFormat="0" applyAlignment="0" applyProtection="0"/>
    <xf numFmtId="0" fontId="2" fillId="24" borderId="213" applyNumberFormat="0" applyFont="0" applyAlignment="0" applyProtection="0"/>
    <xf numFmtId="0" fontId="36" fillId="27" borderId="212" applyNumberFormat="0" applyAlignment="0" applyProtection="0"/>
    <xf numFmtId="0" fontId="42" fillId="37" borderId="214" applyNumberFormat="0" applyAlignment="0" applyProtection="0"/>
    <xf numFmtId="0" fontId="42" fillId="36" borderId="214" applyNumberFormat="0" applyAlignment="0" applyProtection="0"/>
    <xf numFmtId="0" fontId="2" fillId="24" borderId="213" applyNumberFormat="0" applyFont="0" applyAlignment="0" applyProtection="0"/>
    <xf numFmtId="0" fontId="29" fillId="36" borderId="212" applyNumberFormat="0" applyAlignment="0" applyProtection="0"/>
    <xf numFmtId="0" fontId="42" fillId="36" borderId="214" applyNumberFormat="0" applyAlignment="0" applyProtection="0"/>
    <xf numFmtId="0" fontId="29" fillId="36" borderId="212" applyNumberFormat="0" applyAlignment="0" applyProtection="0"/>
    <xf numFmtId="0" fontId="47" fillId="0" borderId="215" applyNumberFormat="0" applyFill="0" applyAlignment="0" applyProtection="0"/>
    <xf numFmtId="0" fontId="47" fillId="0" borderId="215" applyNumberFormat="0" applyFill="0" applyAlignment="0" applyProtection="0"/>
    <xf numFmtId="0" fontId="29" fillId="36" borderId="212" applyNumberFormat="0" applyAlignment="0" applyProtection="0"/>
    <xf numFmtId="0" fontId="29" fillId="36" borderId="212" applyNumberFormat="0" applyAlignment="0" applyProtection="0"/>
    <xf numFmtId="0" fontId="47" fillId="0" borderId="215" applyNumberFormat="0" applyFill="0" applyAlignment="0" applyProtection="0"/>
    <xf numFmtId="0" fontId="8" fillId="24" borderId="213" applyNumberFormat="0" applyFont="0" applyAlignment="0" applyProtection="0"/>
    <xf numFmtId="0" fontId="42" fillId="37" borderId="214" applyNumberFormat="0" applyAlignment="0" applyProtection="0"/>
    <xf numFmtId="0" fontId="36" fillId="21" borderId="212" applyNumberFormat="0" applyAlignment="0" applyProtection="0"/>
    <xf numFmtId="0" fontId="2" fillId="24" borderId="213" applyNumberFormat="0" applyFont="0" applyAlignment="0" applyProtection="0"/>
    <xf numFmtId="0" fontId="8" fillId="24" borderId="213" applyNumberFormat="0" applyFont="0" applyAlignment="0" applyProtection="0"/>
    <xf numFmtId="0" fontId="29" fillId="36" borderId="212" applyNumberFormat="0" applyAlignment="0" applyProtection="0"/>
    <xf numFmtId="0" fontId="36" fillId="21" borderId="212" applyNumberFormat="0" applyAlignment="0" applyProtection="0"/>
    <xf numFmtId="0" fontId="47" fillId="0" borderId="216" applyNumberFormat="0" applyFill="0" applyAlignment="0" applyProtection="0"/>
    <xf numFmtId="0" fontId="29" fillId="36" borderId="212" applyNumberFormat="0" applyAlignment="0" applyProtection="0"/>
    <xf numFmtId="0" fontId="47" fillId="0" borderId="216" applyNumberFormat="0" applyFill="0" applyAlignment="0" applyProtection="0"/>
    <xf numFmtId="0" fontId="2" fillId="24" borderId="213" applyNumberFormat="0" applyFont="0" applyAlignment="0" applyProtection="0"/>
    <xf numFmtId="0" fontId="2" fillId="24" borderId="213" applyNumberFormat="0" applyFont="0" applyAlignment="0" applyProtection="0"/>
    <xf numFmtId="0" fontId="8" fillId="24" borderId="213" applyNumberFormat="0" applyFont="0" applyAlignment="0" applyProtection="0"/>
    <xf numFmtId="0" fontId="36" fillId="27" borderId="212" applyNumberFormat="0" applyAlignment="0" applyProtection="0"/>
    <xf numFmtId="0" fontId="42" fillId="36" borderId="214" applyNumberFormat="0" applyAlignment="0" applyProtection="0"/>
    <xf numFmtId="0" fontId="47" fillId="0" borderId="216" applyNumberFormat="0" applyFill="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30" fillId="37" borderId="212" applyNumberFormat="0" applyAlignment="0" applyProtection="0"/>
    <xf numFmtId="0" fontId="8" fillId="24" borderId="213" applyNumberFormat="0" applyFont="0" applyAlignment="0" applyProtection="0"/>
    <xf numFmtId="0" fontId="42" fillId="36" borderId="214" applyNumberFormat="0" applyAlignment="0" applyProtection="0"/>
    <xf numFmtId="0" fontId="47" fillId="0" borderId="216" applyNumberFormat="0" applyFill="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30" fillId="37" borderId="212" applyNumberFormat="0" applyAlignment="0" applyProtection="0"/>
    <xf numFmtId="0" fontId="42" fillId="36" borderId="214" applyNumberForma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30" fillId="37" borderId="212" applyNumberFormat="0" applyAlignment="0" applyProtection="0"/>
    <xf numFmtId="0" fontId="42" fillId="36" borderId="214" applyNumberForma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30" fillId="37" borderId="212" applyNumberFormat="0" applyAlignment="0" applyProtection="0"/>
    <xf numFmtId="0" fontId="42" fillId="36" borderId="214" applyNumberForma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30" fillId="37" borderId="212" applyNumberFormat="0" applyAlignment="0" applyProtection="0"/>
    <xf numFmtId="0" fontId="42" fillId="36" borderId="214" applyNumberForma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42" fillId="36" borderId="214" applyNumberForma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42" fillId="36" borderId="214" applyNumberForma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36" fillId="21" borderId="212" applyNumberFormat="0" applyAlignment="0" applyProtection="0"/>
    <xf numFmtId="0" fontId="8" fillId="24" borderId="213" applyNumberFormat="0" applyFont="0" applyAlignment="0" applyProtection="0"/>
    <xf numFmtId="0" fontId="29" fillId="36" borderId="212" applyNumberFormat="0" applyAlignment="0" applyProtection="0"/>
    <xf numFmtId="0" fontId="36" fillId="21" borderId="212" applyNumberFormat="0" applyAlignment="0" applyProtection="0"/>
    <xf numFmtId="0" fontId="29" fillId="36" borderId="212" applyNumberFormat="0" applyAlignment="0" applyProtection="0"/>
    <xf numFmtId="0" fontId="36" fillId="21" borderId="212" applyNumberFormat="0" applyAlignment="0" applyProtection="0"/>
    <xf numFmtId="0" fontId="29" fillId="36" borderId="212" applyNumberFormat="0" applyAlignment="0" applyProtection="0"/>
    <xf numFmtId="0" fontId="29" fillId="36" borderId="212" applyNumberFormat="0" applyAlignment="0" applyProtection="0"/>
    <xf numFmtId="167"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cellStyleXfs>
  <cellXfs count="1108">
    <xf numFmtId="0" fontId="0" fillId="0" borderId="0" xfId="0"/>
    <xf numFmtId="0" fontId="3" fillId="6" borderId="3" xfId="0" applyFont="1" applyFill="1" applyBorder="1" applyAlignment="1">
      <alignment horizontal="left" vertical="center" wrapText="1"/>
    </xf>
    <xf numFmtId="0" fontId="3" fillId="6" borderId="5" xfId="0" applyFont="1" applyFill="1" applyBorder="1" applyAlignment="1">
      <alignment vertical="center"/>
    </xf>
    <xf numFmtId="0" fontId="3" fillId="6" borderId="9" xfId="0" applyFont="1" applyFill="1" applyBorder="1" applyAlignment="1">
      <alignment vertical="center"/>
    </xf>
    <xf numFmtId="0" fontId="4" fillId="6" borderId="9" xfId="0" applyFont="1" applyFill="1" applyBorder="1" applyAlignment="1">
      <alignment horizontal="right" vertical="center"/>
    </xf>
    <xf numFmtId="170" fontId="5" fillId="2" borderId="3" xfId="1"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170" fontId="5" fillId="2" borderId="5" xfId="1"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170" fontId="5" fillId="0" borderId="5" xfId="1"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6" borderId="3" xfId="0" applyFont="1" applyFill="1" applyBorder="1" applyAlignment="1">
      <alignment horizontal="justify" vertical="center" wrapText="1"/>
    </xf>
    <xf numFmtId="0" fontId="5" fillId="6" borderId="3" xfId="0" applyNumberFormat="1" applyFont="1" applyFill="1" applyBorder="1" applyAlignment="1">
      <alignment horizontal="center" vertical="center" wrapText="1"/>
    </xf>
    <xf numFmtId="170" fontId="5" fillId="0" borderId="3" xfId="1" applyNumberFormat="1" applyFont="1" applyFill="1" applyBorder="1" applyAlignment="1">
      <alignment horizontal="center" vertical="center"/>
    </xf>
    <xf numFmtId="0" fontId="5" fillId="0" borderId="5" xfId="0" applyNumberFormat="1" applyFont="1" applyFill="1" applyBorder="1" applyAlignment="1">
      <alignment horizontal="center" vertical="center" wrapText="1"/>
    </xf>
    <xf numFmtId="170" fontId="5" fillId="2" borderId="3" xfId="1" applyNumberFormat="1" applyFont="1" applyFill="1" applyBorder="1" applyAlignment="1">
      <alignment horizontal="center" vertical="center" wrapText="1"/>
    </xf>
    <xf numFmtId="170" fontId="5" fillId="2" borderId="3" xfId="1" applyNumberFormat="1" applyFont="1" applyFill="1" applyBorder="1" applyAlignment="1">
      <alignment horizontal="right" vertical="center"/>
    </xf>
    <xf numFmtId="170" fontId="5" fillId="0" borderId="3" xfId="1" applyNumberFormat="1" applyFont="1" applyFill="1" applyBorder="1" applyAlignment="1">
      <alignment horizontal="right" vertical="center"/>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6" fillId="0" borderId="3"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justify" vertical="center"/>
    </xf>
    <xf numFmtId="170" fontId="5" fillId="0" borderId="3" xfId="2" applyNumberFormat="1" applyFont="1" applyFill="1" applyBorder="1" applyAlignment="1">
      <alignment horizontal="justify" vertical="center"/>
    </xf>
    <xf numFmtId="170" fontId="5" fillId="0" borderId="5" xfId="2" applyNumberFormat="1" applyFont="1" applyFill="1" applyBorder="1" applyAlignment="1">
      <alignment horizontal="justify" vertical="center"/>
    </xf>
    <xf numFmtId="0" fontId="6" fillId="0" borderId="0" xfId="0" applyFont="1" applyFill="1" applyBorder="1"/>
    <xf numFmtId="0" fontId="5" fillId="0" borderId="11" xfId="0" applyFont="1" applyFill="1" applyBorder="1" applyAlignment="1">
      <alignment vertical="center" wrapText="1"/>
    </xf>
    <xf numFmtId="0" fontId="7" fillId="0" borderId="3" xfId="0" applyFont="1" applyFill="1" applyBorder="1" applyAlignment="1">
      <alignment horizontal="right" vertical="center"/>
    </xf>
    <xf numFmtId="0" fontId="5" fillId="0" borderId="8" xfId="0" applyFont="1" applyFill="1" applyBorder="1" applyAlignment="1">
      <alignment vertical="center" wrapText="1"/>
    </xf>
    <xf numFmtId="0" fontId="5" fillId="0" borderId="3" xfId="0" applyFont="1" applyFill="1" applyBorder="1" applyAlignment="1">
      <alignment horizontal="center" vertical="center"/>
    </xf>
    <xf numFmtId="3" fontId="5" fillId="0" borderId="3" xfId="0" applyNumberFormat="1" applyFont="1" applyFill="1" applyBorder="1" applyAlignment="1">
      <alignment horizontal="right" vertical="center" wrapText="1"/>
    </xf>
    <xf numFmtId="9" fontId="5" fillId="0" borderId="4" xfId="0" applyNumberFormat="1" applyFont="1" applyFill="1" applyBorder="1" applyAlignment="1">
      <alignment horizontal="center" vertical="center"/>
    </xf>
    <xf numFmtId="0" fontId="3" fillId="0" borderId="12" xfId="0" applyFont="1" applyFill="1" applyBorder="1" applyAlignment="1">
      <alignment vertical="center" wrapText="1"/>
    </xf>
    <xf numFmtId="0" fontId="5" fillId="0" borderId="2" xfId="0" applyFont="1" applyFill="1" applyBorder="1" applyAlignment="1">
      <alignment horizontal="justify" vertical="center" wrapText="1"/>
    </xf>
    <xf numFmtId="0" fontId="8" fillId="0" borderId="4" xfId="0" applyFont="1" applyFill="1" applyBorder="1" applyAlignment="1">
      <alignment horizontal="center" vertical="center"/>
    </xf>
    <xf numFmtId="0" fontId="7" fillId="0" borderId="3" xfId="0" applyFont="1" applyFill="1" applyBorder="1" applyAlignment="1">
      <alignment horizontal="right" vertical="center" wrapText="1"/>
    </xf>
    <xf numFmtId="170" fontId="5" fillId="0" borderId="3" xfId="2" applyNumberFormat="1" applyFont="1" applyFill="1" applyBorder="1" applyAlignment="1">
      <alignment vertical="center"/>
    </xf>
    <xf numFmtId="170" fontId="5" fillId="0" borderId="3" xfId="2" applyNumberFormat="1" applyFont="1" applyFill="1" applyBorder="1" applyAlignment="1">
      <alignment horizontal="center" vertical="center" wrapText="1"/>
    </xf>
    <xf numFmtId="3" fontId="5" fillId="0" borderId="3" xfId="0" applyNumberFormat="1" applyFont="1" applyFill="1" applyBorder="1" applyAlignment="1">
      <alignment vertical="center" wrapText="1"/>
    </xf>
    <xf numFmtId="3" fontId="6" fillId="0" borderId="3" xfId="0" applyNumberFormat="1" applyFont="1" applyFill="1" applyBorder="1" applyAlignment="1">
      <alignment vertical="center"/>
    </xf>
    <xf numFmtId="0" fontId="5" fillId="0" borderId="8" xfId="0" applyNumberFormat="1" applyFont="1" applyFill="1" applyBorder="1" applyAlignment="1">
      <alignment horizontal="center" vertical="center"/>
    </xf>
    <xf numFmtId="0" fontId="9" fillId="0" borderId="3" xfId="0" applyFont="1" applyFill="1" applyBorder="1" applyAlignment="1">
      <alignment horizontal="left" vertical="center"/>
    </xf>
    <xf numFmtId="170" fontId="5" fillId="0" borderId="8" xfId="2" applyNumberFormat="1" applyFont="1" applyFill="1" applyBorder="1" applyAlignment="1">
      <alignment horizontal="justify" vertical="center"/>
    </xf>
    <xf numFmtId="171" fontId="9" fillId="0" borderId="3" xfId="0" applyNumberFormat="1" applyFont="1" applyFill="1" applyBorder="1" applyAlignment="1">
      <alignment horizontal="left" vertical="center"/>
    </xf>
    <xf numFmtId="170" fontId="9" fillId="0" borderId="3" xfId="0" applyNumberFormat="1" applyFont="1" applyFill="1" applyBorder="1" applyAlignment="1">
      <alignment horizontal="left" vertical="center"/>
    </xf>
    <xf numFmtId="0" fontId="9" fillId="0" borderId="0" xfId="0" applyFont="1" applyFill="1" applyBorder="1" applyAlignment="1">
      <alignment vertical="center"/>
    </xf>
    <xf numFmtId="43" fontId="6" fillId="0" borderId="5" xfId="2" applyFont="1" applyFill="1" applyBorder="1"/>
    <xf numFmtId="170" fontId="5" fillId="0" borderId="5" xfId="2" applyNumberFormat="1" applyFont="1" applyFill="1" applyBorder="1" applyAlignment="1">
      <alignment vertical="center"/>
    </xf>
    <xf numFmtId="0" fontId="5" fillId="0" borderId="3" xfId="0" applyNumberFormat="1" applyFont="1" applyFill="1" applyBorder="1" applyAlignment="1">
      <alignment horizontal="justify" vertical="center" wrapText="1"/>
    </xf>
    <xf numFmtId="170" fontId="6" fillId="0" borderId="5" xfId="1" applyNumberFormat="1" applyFont="1" applyFill="1" applyBorder="1" applyAlignment="1">
      <alignment horizontal="center" vertical="center"/>
    </xf>
    <xf numFmtId="0" fontId="5" fillId="0" borderId="3" xfId="2" applyNumberFormat="1" applyFont="1" applyFill="1" applyBorder="1" applyAlignment="1">
      <alignment horizontal="center" vertical="center" wrapText="1"/>
    </xf>
    <xf numFmtId="0" fontId="8" fillId="0" borderId="3" xfId="0" applyFont="1" applyFill="1" applyBorder="1" applyAlignment="1">
      <alignment horizontal="justify" vertical="center" wrapText="1"/>
    </xf>
    <xf numFmtId="170" fontId="5" fillId="0" borderId="4" xfId="1" applyNumberFormat="1" applyFont="1" applyFill="1" applyBorder="1" applyAlignment="1">
      <alignment vertical="center"/>
    </xf>
    <xf numFmtId="0" fontId="5" fillId="0" borderId="5"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3" fontId="6" fillId="0" borderId="13" xfId="0" applyNumberFormat="1" applyFont="1" applyFill="1" applyBorder="1" applyAlignment="1">
      <alignment vertical="center"/>
    </xf>
    <xf numFmtId="43" fontId="6" fillId="0" borderId="5" xfId="2" applyFont="1" applyFill="1" applyBorder="1" applyAlignment="1">
      <alignment vertical="center"/>
    </xf>
    <xf numFmtId="3" fontId="5" fillId="0" borderId="4"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1" fontId="6" fillId="0" borderId="14" xfId="0"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2" applyNumberFormat="1" applyFont="1" applyFill="1" applyBorder="1" applyAlignment="1">
      <alignment horizontal="center" vertical="center"/>
    </xf>
    <xf numFmtId="1" fontId="6" fillId="0" borderId="15" xfId="0" applyNumberFormat="1"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3" xfId="0" applyFont="1" applyFill="1" applyBorder="1" applyAlignment="1">
      <alignment horizontal="justify" vertical="center"/>
    </xf>
    <xf numFmtId="0" fontId="5" fillId="0" borderId="7" xfId="0" applyFont="1" applyFill="1" applyBorder="1" applyAlignment="1">
      <alignment horizontal="center" vertical="top" wrapText="1"/>
    </xf>
    <xf numFmtId="0" fontId="5" fillId="0" borderId="3" xfId="0" applyFont="1" applyFill="1" applyBorder="1" applyAlignment="1">
      <alignment horizontal="justify" vertical="top" wrapText="1"/>
    </xf>
    <xf numFmtId="0" fontId="5" fillId="0" borderId="8" xfId="0" applyFont="1" applyFill="1" applyBorder="1" applyAlignment="1">
      <alignment horizontal="center" vertical="top" wrapText="1"/>
    </xf>
    <xf numFmtId="2" fontId="5" fillId="0" borderId="8" xfId="0" applyNumberFormat="1" applyFont="1" applyFill="1" applyBorder="1" applyAlignment="1">
      <alignment horizontal="center" vertical="center" wrapText="1"/>
    </xf>
    <xf numFmtId="43" fontId="5" fillId="0" borderId="3" xfId="2" applyFont="1" applyFill="1" applyBorder="1" applyAlignment="1">
      <alignment horizontal="center" vertical="center"/>
    </xf>
    <xf numFmtId="170" fontId="5" fillId="0" borderId="3" xfId="3" applyNumberFormat="1" applyFont="1" applyFill="1" applyBorder="1" applyAlignment="1">
      <alignment horizontal="center" vertical="center"/>
    </xf>
    <xf numFmtId="0" fontId="6" fillId="0" borderId="3" xfId="0" applyFont="1" applyFill="1" applyBorder="1"/>
    <xf numFmtId="0" fontId="3" fillId="0" borderId="3" xfId="0" applyFont="1" applyFill="1" applyBorder="1" applyAlignment="1">
      <alignment horizontal="justify" vertical="center" wrapText="1"/>
    </xf>
    <xf numFmtId="9" fontId="5" fillId="0" borderId="3" xfId="0" applyNumberFormat="1" applyFont="1" applyFill="1" applyBorder="1" applyAlignment="1">
      <alignment horizontal="center" vertical="center" wrapText="1"/>
    </xf>
    <xf numFmtId="170" fontId="5" fillId="0" borderId="4" xfId="2" applyNumberFormat="1" applyFont="1" applyFill="1" applyBorder="1" applyAlignment="1">
      <alignment horizontal="justify" vertical="center"/>
    </xf>
    <xf numFmtId="170" fontId="5" fillId="0" borderId="4" xfId="2" applyNumberFormat="1" applyFont="1" applyFill="1" applyBorder="1" applyAlignment="1">
      <alignment vertical="center"/>
    </xf>
    <xf numFmtId="10" fontId="5" fillId="0" borderId="3" xfId="0" applyNumberFormat="1" applyFont="1" applyFill="1" applyBorder="1" applyAlignment="1">
      <alignment horizontal="center" vertical="center" wrapText="1"/>
    </xf>
    <xf numFmtId="170" fontId="5" fillId="0" borderId="10" xfId="2" applyNumberFormat="1" applyFont="1" applyFill="1" applyBorder="1" applyAlignment="1">
      <alignment horizontal="justify" vertical="center"/>
    </xf>
    <xf numFmtId="170" fontId="3" fillId="0" borderId="3" xfId="2" applyNumberFormat="1" applyFont="1" applyFill="1" applyBorder="1" applyAlignment="1">
      <alignment horizontal="justify" vertical="center"/>
    </xf>
    <xf numFmtId="0" fontId="5" fillId="0" borderId="3" xfId="0" applyFont="1" applyFill="1" applyBorder="1" applyAlignment="1">
      <alignment vertical="center" wrapText="1"/>
    </xf>
    <xf numFmtId="3" fontId="5" fillId="0" borderId="3" xfId="0" applyNumberFormat="1" applyFont="1" applyFill="1" applyBorder="1" applyAlignment="1">
      <alignment horizontal="center" vertical="center"/>
    </xf>
    <xf numFmtId="0" fontId="6" fillId="0" borderId="3" xfId="0" applyFont="1" applyFill="1" applyBorder="1" applyAlignment="1"/>
    <xf numFmtId="10" fontId="5" fillId="0" borderId="3" xfId="0" applyNumberFormat="1" applyFont="1" applyFill="1" applyBorder="1" applyAlignment="1">
      <alignment vertical="center" wrapText="1"/>
    </xf>
    <xf numFmtId="3" fontId="6" fillId="0" borderId="3" xfId="0" applyNumberFormat="1" applyFont="1" applyFill="1" applyBorder="1" applyAlignment="1">
      <alignment horizontal="center" vertical="center"/>
    </xf>
    <xf numFmtId="170" fontId="5" fillId="0" borderId="11" xfId="2" applyNumberFormat="1" applyFont="1" applyFill="1" applyBorder="1" applyAlignment="1">
      <alignment vertical="center"/>
    </xf>
    <xf numFmtId="0" fontId="5" fillId="0" borderId="12" xfId="0" applyFont="1" applyFill="1" applyBorder="1" applyAlignment="1">
      <alignment horizontal="justify" vertical="center" wrapText="1"/>
    </xf>
    <xf numFmtId="10" fontId="5" fillId="0" borderId="12"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6" fillId="0" borderId="11" xfId="0" applyFont="1" applyFill="1" applyBorder="1" applyAlignment="1">
      <alignment horizontal="center"/>
    </xf>
    <xf numFmtId="0" fontId="6" fillId="0" borderId="11" xfId="0" applyFont="1" applyFill="1" applyBorder="1"/>
    <xf numFmtId="0" fontId="5" fillId="0" borderId="12" xfId="0" applyFont="1" applyFill="1" applyBorder="1" applyAlignment="1">
      <alignment vertical="center" wrapText="1"/>
    </xf>
    <xf numFmtId="10" fontId="5" fillId="0" borderId="11" xfId="0" applyNumberFormat="1" applyFont="1" applyFill="1" applyBorder="1" applyAlignment="1">
      <alignment vertical="center" wrapText="1"/>
    </xf>
    <xf numFmtId="0" fontId="5" fillId="0" borderId="7"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xf>
    <xf numFmtId="0" fontId="5" fillId="6" borderId="8" xfId="0" applyNumberFormat="1" applyFont="1" applyFill="1" applyBorder="1" applyAlignment="1">
      <alignment horizontal="center" vertical="center" wrapText="1"/>
    </xf>
    <xf numFmtId="170" fontId="5" fillId="0" borderId="0" xfId="2" applyNumberFormat="1" applyFont="1" applyFill="1" applyBorder="1" applyAlignment="1">
      <alignment horizontal="justify" vertical="center"/>
    </xf>
    <xf numFmtId="0" fontId="9" fillId="0" borderId="8" xfId="0" applyFont="1" applyFill="1" applyBorder="1" applyAlignment="1">
      <alignment horizontal="left" vertical="center"/>
    </xf>
    <xf numFmtId="0" fontId="3" fillId="6" borderId="2" xfId="0" applyFont="1" applyFill="1" applyBorder="1" applyAlignment="1">
      <alignment vertical="center"/>
    </xf>
    <xf numFmtId="170" fontId="5" fillId="0" borderId="11" xfId="2" applyNumberFormat="1" applyFont="1" applyFill="1" applyBorder="1" applyAlignment="1">
      <alignment horizontal="justify" vertical="center"/>
    </xf>
    <xf numFmtId="172" fontId="3" fillId="6" borderId="9" xfId="1" applyNumberFormat="1" applyFont="1" applyFill="1" applyBorder="1" applyAlignment="1">
      <alignment horizontal="center" vertical="center"/>
    </xf>
    <xf numFmtId="172" fontId="5" fillId="0" borderId="3" xfId="1" applyNumberFormat="1" applyFont="1" applyFill="1" applyBorder="1" applyAlignment="1">
      <alignment horizontal="center" vertical="center"/>
    </xf>
    <xf numFmtId="172" fontId="5" fillId="0" borderId="3" xfId="1" applyNumberFormat="1" applyFont="1" applyFill="1" applyBorder="1" applyAlignment="1">
      <alignment horizontal="center" vertical="center" wrapText="1"/>
    </xf>
    <xf numFmtId="172" fontId="5" fillId="0" borderId="5" xfId="1" applyNumberFormat="1" applyFont="1" applyFill="1" applyBorder="1" applyAlignment="1">
      <alignment horizontal="center" vertical="center"/>
    </xf>
    <xf numFmtId="172" fontId="6" fillId="0" borderId="3" xfId="1" applyNumberFormat="1" applyFont="1" applyFill="1" applyBorder="1" applyAlignment="1">
      <alignment horizontal="center" vertical="center"/>
    </xf>
    <xf numFmtId="172" fontId="5" fillId="2" borderId="3" xfId="1" applyNumberFormat="1" applyFont="1" applyFill="1" applyBorder="1" applyAlignment="1">
      <alignment horizontal="center" vertical="center"/>
    </xf>
    <xf numFmtId="172" fontId="5" fillId="0" borderId="4" xfId="1" applyNumberFormat="1" applyFont="1" applyFill="1" applyBorder="1" applyAlignment="1">
      <alignment horizontal="center" vertical="center"/>
    </xf>
    <xf numFmtId="172" fontId="6" fillId="0" borderId="3" xfId="1" applyNumberFormat="1" applyFont="1" applyFill="1" applyBorder="1" applyAlignment="1">
      <alignment horizontal="center"/>
    </xf>
    <xf numFmtId="172" fontId="5" fillId="0" borderId="11" xfId="1" applyNumberFormat="1" applyFont="1" applyFill="1" applyBorder="1" applyAlignment="1">
      <alignment horizontal="center" vertical="center"/>
    </xf>
    <xf numFmtId="172" fontId="5" fillId="2" borderId="5" xfId="1" applyNumberFormat="1" applyFont="1" applyFill="1" applyBorder="1" applyAlignment="1">
      <alignment horizontal="center" vertical="center"/>
    </xf>
    <xf numFmtId="0" fontId="5" fillId="6" borderId="8" xfId="0" applyFont="1" applyFill="1" applyBorder="1" applyAlignment="1">
      <alignment horizontal="justify" vertical="center" wrapText="1"/>
    </xf>
    <xf numFmtId="0" fontId="5" fillId="6" borderId="1" xfId="0" applyFont="1" applyFill="1" applyBorder="1" applyAlignment="1">
      <alignment horizontal="center" vertical="center" wrapText="1"/>
    </xf>
    <xf numFmtId="0" fontId="7" fillId="6" borderId="8" xfId="0" applyFont="1" applyFill="1" applyBorder="1" applyAlignment="1">
      <alignment horizontal="right" vertical="center" wrapText="1"/>
    </xf>
    <xf numFmtId="0" fontId="5" fillId="6" borderId="8" xfId="0" applyFont="1" applyFill="1" applyBorder="1" applyAlignment="1">
      <alignment horizontal="center" vertical="center" wrapText="1"/>
    </xf>
    <xf numFmtId="0" fontId="5" fillId="6" borderId="3" xfId="0" applyFont="1" applyFill="1" applyBorder="1" applyAlignment="1">
      <alignment horizontal="center" vertical="center" wrapText="1"/>
    </xf>
    <xf numFmtId="170" fontId="5" fillId="6" borderId="3" xfId="2" applyNumberFormat="1" applyFont="1" applyFill="1" applyBorder="1" applyAlignment="1">
      <alignment horizontal="justify" vertical="center"/>
    </xf>
    <xf numFmtId="0" fontId="3" fillId="6" borderId="3" xfId="0" applyFont="1" applyFill="1" applyBorder="1" applyAlignment="1">
      <alignment horizontal="center" vertical="center" wrapText="1"/>
    </xf>
    <xf numFmtId="0" fontId="3" fillId="6" borderId="3" xfId="0" applyFont="1" applyFill="1" applyBorder="1" applyAlignment="1">
      <alignment vertical="center"/>
    </xf>
    <xf numFmtId="167" fontId="5" fillId="0" borderId="3" xfId="1" applyNumberFormat="1" applyFont="1" applyFill="1" applyBorder="1" applyAlignment="1">
      <alignment horizontal="center" vertical="center"/>
    </xf>
    <xf numFmtId="4" fontId="5" fillId="0" borderId="3" xfId="0" applyNumberFormat="1" applyFont="1" applyFill="1" applyBorder="1" applyAlignment="1">
      <alignment horizontal="center" vertical="center" wrapText="1"/>
    </xf>
    <xf numFmtId="170" fontId="8" fillId="0" borderId="3" xfId="2" applyNumberFormat="1" applyFont="1" applyFill="1" applyBorder="1" applyAlignment="1">
      <alignment horizontal="justify" vertical="center"/>
    </xf>
    <xf numFmtId="43" fontId="6" fillId="0" borderId="3" xfId="0" applyNumberFormat="1" applyFont="1" applyFill="1" applyBorder="1" applyAlignment="1">
      <alignment vertical="center"/>
    </xf>
    <xf numFmtId="2" fontId="6" fillId="0" borderId="3" xfId="0" applyNumberFormat="1" applyFont="1" applyFill="1" applyBorder="1" applyAlignment="1">
      <alignment horizontal="center" vertical="center"/>
    </xf>
    <xf numFmtId="0" fontId="6" fillId="0" borderId="0" xfId="0" applyFont="1"/>
    <xf numFmtId="0" fontId="6" fillId="0" borderId="0" xfId="0" applyFont="1" applyFill="1"/>
    <xf numFmtId="0" fontId="6" fillId="0" borderId="0" xfId="0" applyFont="1" applyAlignment="1">
      <alignment horizontal="center"/>
    </xf>
    <xf numFmtId="0" fontId="6" fillId="0" borderId="0" xfId="0" applyFont="1" applyAlignment="1"/>
    <xf numFmtId="0" fontId="14" fillId="0" borderId="0" xfId="0" applyFont="1" applyBorder="1" applyAlignment="1">
      <alignment horizontal="center" vertical="center"/>
    </xf>
    <xf numFmtId="0" fontId="9" fillId="3" borderId="5" xfId="0" applyFont="1" applyFill="1" applyBorder="1" applyAlignment="1">
      <alignment horizontal="left" vertical="center"/>
    </xf>
    <xf numFmtId="0" fontId="9" fillId="3" borderId="9" xfId="0" applyFont="1" applyFill="1" applyBorder="1" applyAlignment="1">
      <alignment horizontal="left" vertical="center"/>
    </xf>
    <xf numFmtId="0" fontId="9" fillId="3" borderId="9" xfId="0" applyFont="1" applyFill="1" applyBorder="1" applyAlignment="1">
      <alignment horizontal="center" vertical="center"/>
    </xf>
    <xf numFmtId="0" fontId="4" fillId="3" borderId="9" xfId="0" applyFont="1" applyFill="1" applyBorder="1" applyAlignment="1">
      <alignment horizontal="right" vertical="center"/>
    </xf>
    <xf numFmtId="172" fontId="9" fillId="3" borderId="9" xfId="1" applyNumberFormat="1" applyFont="1" applyFill="1" applyBorder="1" applyAlignment="1">
      <alignment horizontal="center" vertical="center"/>
    </xf>
    <xf numFmtId="0" fontId="9" fillId="3" borderId="9" xfId="0" applyFont="1" applyFill="1" applyBorder="1" applyAlignment="1">
      <alignment vertical="center"/>
    </xf>
    <xf numFmtId="170" fontId="9" fillId="3" borderId="2" xfId="0" applyNumberFormat="1" applyFont="1" applyFill="1" applyBorder="1" applyAlignment="1">
      <alignment horizontal="left" vertical="center"/>
    </xf>
    <xf numFmtId="0" fontId="3" fillId="4" borderId="9" xfId="0" applyFont="1" applyFill="1" applyBorder="1" applyAlignment="1">
      <alignment vertical="center"/>
    </xf>
    <xf numFmtId="0" fontId="3" fillId="4" borderId="9" xfId="0" applyFont="1" applyFill="1" applyBorder="1" applyAlignment="1">
      <alignment horizontal="center" vertical="center"/>
    </xf>
    <xf numFmtId="0" fontId="4" fillId="4" borderId="9" xfId="0" applyFont="1" applyFill="1" applyBorder="1" applyAlignment="1">
      <alignment horizontal="right" vertical="center"/>
    </xf>
    <xf numFmtId="172" fontId="3" fillId="4" borderId="9" xfId="1" applyNumberFormat="1" applyFont="1" applyFill="1" applyBorder="1" applyAlignment="1">
      <alignment horizontal="center" vertical="center"/>
    </xf>
    <xf numFmtId="0" fontId="3" fillId="4" borderId="2" xfId="0" applyFont="1" applyFill="1" applyBorder="1" applyAlignment="1">
      <alignment vertical="center"/>
    </xf>
    <xf numFmtId="0" fontId="3" fillId="5" borderId="5" xfId="0" applyFont="1" applyFill="1" applyBorder="1" applyAlignment="1">
      <alignment horizontal="left" vertical="center"/>
    </xf>
    <xf numFmtId="0" fontId="3" fillId="5" borderId="9" xfId="0" applyFont="1" applyFill="1" applyBorder="1" applyAlignment="1">
      <alignment horizontal="left" vertical="center"/>
    </xf>
    <xf numFmtId="0" fontId="3" fillId="5" borderId="9" xfId="0" applyFont="1" applyFill="1" applyBorder="1" applyAlignment="1">
      <alignment vertical="center"/>
    </xf>
    <xf numFmtId="0" fontId="3" fillId="5" borderId="9" xfId="0" applyFont="1" applyFill="1" applyBorder="1" applyAlignment="1">
      <alignment horizontal="center" vertical="center"/>
    </xf>
    <xf numFmtId="0" fontId="4" fillId="5" borderId="9" xfId="0" applyFont="1" applyFill="1" applyBorder="1" applyAlignment="1">
      <alignment horizontal="right" vertical="center"/>
    </xf>
    <xf numFmtId="172" fontId="3" fillId="5" borderId="9" xfId="1" applyNumberFormat="1" applyFont="1" applyFill="1" applyBorder="1" applyAlignment="1">
      <alignment horizontal="center" vertical="center"/>
    </xf>
    <xf numFmtId="0" fontId="3" fillId="5" borderId="2" xfId="0" applyFont="1" applyFill="1" applyBorder="1" applyAlignment="1">
      <alignment vertical="center"/>
    </xf>
    <xf numFmtId="0" fontId="3" fillId="0" borderId="10" xfId="0" applyFont="1" applyFill="1" applyBorder="1" applyAlignment="1">
      <alignment horizontal="left" vertical="center"/>
    </xf>
    <xf numFmtId="0" fontId="3" fillId="0" borderId="9" xfId="0" applyFont="1" applyFill="1" applyBorder="1" applyAlignment="1">
      <alignment horizontal="center" vertical="center"/>
    </xf>
    <xf numFmtId="0" fontId="3" fillId="0" borderId="9" xfId="0" applyFont="1" applyFill="1" applyBorder="1" applyAlignment="1">
      <alignment vertical="center"/>
    </xf>
    <xf numFmtId="0" fontId="8" fillId="0" borderId="8" xfId="0" applyFont="1" applyFill="1" applyBorder="1" applyAlignment="1" applyProtection="1">
      <alignment horizontal="center" vertical="center" wrapText="1"/>
      <protection locked="0"/>
    </xf>
    <xf numFmtId="0" fontId="3" fillId="0" borderId="8" xfId="0" applyFont="1" applyFill="1" applyBorder="1" applyAlignment="1">
      <alignment vertical="center" wrapText="1"/>
    </xf>
    <xf numFmtId="0" fontId="5" fillId="0" borderId="3" xfId="0" applyFont="1" applyBorder="1" applyAlignment="1">
      <alignment horizontal="justify" vertical="center" wrapText="1"/>
    </xf>
    <xf numFmtId="0" fontId="5" fillId="7" borderId="3" xfId="0" applyFont="1" applyFill="1" applyBorder="1" applyAlignment="1">
      <alignment horizontal="justify" vertical="center" wrapText="1"/>
    </xf>
    <xf numFmtId="0" fontId="5" fillId="7" borderId="3" xfId="0" applyFont="1" applyFill="1" applyBorder="1" applyAlignment="1">
      <alignment horizontal="center" vertical="center" wrapText="1"/>
    </xf>
    <xf numFmtId="0" fontId="5" fillId="7" borderId="3" xfId="0" applyNumberFormat="1" applyFont="1" applyFill="1" applyBorder="1" applyAlignment="1">
      <alignment horizontal="center" vertical="center"/>
    </xf>
    <xf numFmtId="0" fontId="7" fillId="7" borderId="3" xfId="0" applyFont="1" applyFill="1" applyBorder="1" applyAlignment="1">
      <alignment horizontal="right" vertical="center" wrapText="1"/>
    </xf>
    <xf numFmtId="170" fontId="5" fillId="7" borderId="3" xfId="2" applyNumberFormat="1" applyFont="1" applyFill="1" applyBorder="1" applyAlignment="1">
      <alignment horizontal="justify" vertical="center"/>
    </xf>
    <xf numFmtId="0" fontId="6" fillId="0" borderId="0" xfId="0" applyFont="1" applyBorder="1"/>
    <xf numFmtId="0" fontId="3" fillId="0" borderId="1" xfId="0" applyFont="1" applyFill="1" applyBorder="1" applyAlignment="1">
      <alignment vertical="center" wrapText="1"/>
    </xf>
    <xf numFmtId="0" fontId="5" fillId="5" borderId="3"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3" xfId="0" applyNumberFormat="1" applyFont="1" applyFill="1" applyBorder="1" applyAlignment="1">
      <alignment horizontal="center" vertical="center"/>
    </xf>
    <xf numFmtId="0" fontId="7" fillId="5" borderId="3" xfId="0" applyFont="1" applyFill="1" applyBorder="1" applyAlignment="1">
      <alignment horizontal="right" vertical="center" wrapText="1"/>
    </xf>
    <xf numFmtId="170" fontId="5" fillId="5" borderId="3" xfId="2" applyNumberFormat="1" applyFont="1" applyFill="1" applyBorder="1" applyAlignment="1">
      <alignment horizontal="justify" vertical="center"/>
    </xf>
    <xf numFmtId="0" fontId="5" fillId="4" borderId="3" xfId="0" applyFont="1" applyFill="1" applyBorder="1" applyAlignment="1">
      <alignment horizontal="justify" vertical="center" wrapText="1"/>
    </xf>
    <xf numFmtId="0" fontId="5" fillId="4" borderId="3" xfId="0" applyFont="1" applyFill="1" applyBorder="1" applyAlignment="1">
      <alignment horizontal="center" vertical="center" wrapText="1"/>
    </xf>
    <xf numFmtId="0" fontId="5" fillId="4" borderId="3" xfId="0" applyNumberFormat="1" applyFont="1" applyFill="1" applyBorder="1" applyAlignment="1">
      <alignment horizontal="center" vertical="center"/>
    </xf>
    <xf numFmtId="0" fontId="7" fillId="4" borderId="3" xfId="0" applyFont="1" applyFill="1" applyBorder="1" applyAlignment="1">
      <alignment horizontal="right" vertical="center" wrapText="1"/>
    </xf>
    <xf numFmtId="170" fontId="5" fillId="4" borderId="3" xfId="2" applyNumberFormat="1" applyFont="1" applyFill="1" applyBorder="1" applyAlignment="1">
      <alignment horizontal="justify" vertical="center"/>
    </xf>
    <xf numFmtId="0" fontId="5" fillId="8" borderId="3" xfId="0" applyFont="1" applyFill="1" applyBorder="1" applyAlignment="1">
      <alignment horizontal="justify" vertical="center" wrapText="1"/>
    </xf>
    <xf numFmtId="0" fontId="5" fillId="8" borderId="3" xfId="0" applyFont="1" applyFill="1" applyBorder="1" applyAlignment="1">
      <alignment horizontal="center" vertical="center" wrapText="1"/>
    </xf>
    <xf numFmtId="0" fontId="5" fillId="8" borderId="3" xfId="0" applyNumberFormat="1" applyFont="1" applyFill="1" applyBorder="1" applyAlignment="1">
      <alignment horizontal="center" vertical="center"/>
    </xf>
    <xf numFmtId="0" fontId="7" fillId="8" borderId="3" xfId="0" applyFont="1" applyFill="1" applyBorder="1" applyAlignment="1">
      <alignment horizontal="right" vertical="center" wrapText="1"/>
    </xf>
    <xf numFmtId="170" fontId="5" fillId="8" borderId="3" xfId="2" applyNumberFormat="1" applyFont="1" applyFill="1" applyBorder="1" applyAlignment="1">
      <alignment horizontal="justify" vertical="center"/>
    </xf>
    <xf numFmtId="0" fontId="5" fillId="0" borderId="5"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5" fillId="0" borderId="9" xfId="0" applyNumberFormat="1" applyFont="1" applyFill="1" applyBorder="1" applyAlignment="1">
      <alignment horizontal="center" vertical="center"/>
    </xf>
    <xf numFmtId="0" fontId="7" fillId="0" borderId="9" xfId="0" applyFont="1" applyFill="1" applyBorder="1" applyAlignment="1">
      <alignment horizontal="right" vertical="center" wrapText="1"/>
    </xf>
    <xf numFmtId="170" fontId="5" fillId="0" borderId="9" xfId="2" applyNumberFormat="1" applyFont="1" applyFill="1" applyBorder="1" applyAlignment="1">
      <alignment horizontal="justify" vertical="center"/>
    </xf>
    <xf numFmtId="170" fontId="5" fillId="2" borderId="9" xfId="2" applyNumberFormat="1" applyFont="1" applyFill="1" applyBorder="1" applyAlignment="1">
      <alignment horizontal="justify" vertical="center"/>
    </xf>
    <xf numFmtId="172" fontId="5" fillId="0" borderId="9" xfId="1" applyNumberFormat="1" applyFont="1" applyFill="1" applyBorder="1" applyAlignment="1">
      <alignment horizontal="center" vertical="center"/>
    </xf>
    <xf numFmtId="170" fontId="5" fillId="0" borderId="9" xfId="2" applyNumberFormat="1" applyFont="1" applyFill="1" applyBorder="1" applyAlignment="1">
      <alignment vertical="center"/>
    </xf>
    <xf numFmtId="0" fontId="3" fillId="0" borderId="4" xfId="0" applyFont="1" applyFill="1" applyBorder="1" applyAlignment="1">
      <alignment vertical="center" wrapText="1"/>
    </xf>
    <xf numFmtId="0" fontId="3" fillId="0" borderId="9" xfId="0" applyFont="1" applyFill="1" applyBorder="1" applyAlignment="1">
      <alignment vertical="center" wrapText="1"/>
    </xf>
    <xf numFmtId="0" fontId="3" fillId="0" borderId="2" xfId="0" applyFont="1" applyFill="1" applyBorder="1" applyAlignment="1">
      <alignment vertical="center" wrapText="1"/>
    </xf>
    <xf numFmtId="0" fontId="3" fillId="7" borderId="5" xfId="0" applyFont="1" applyFill="1" applyBorder="1" applyAlignment="1">
      <alignment horizontal="justify" vertical="center" wrapText="1"/>
    </xf>
    <xf numFmtId="0" fontId="3" fillId="7" borderId="9" xfId="0" applyFont="1" applyFill="1" applyBorder="1" applyAlignment="1">
      <alignment vertical="center"/>
    </xf>
    <xf numFmtId="0" fontId="4" fillId="7" borderId="9" xfId="0" applyFont="1" applyFill="1" applyBorder="1" applyAlignment="1">
      <alignment horizontal="right" vertical="center"/>
    </xf>
    <xf numFmtId="172" fontId="3" fillId="7" borderId="9" xfId="1" applyNumberFormat="1" applyFont="1" applyFill="1" applyBorder="1" applyAlignment="1">
      <alignment horizontal="center" vertical="center"/>
    </xf>
    <xf numFmtId="0" fontId="3" fillId="7" borderId="2" xfId="0" applyFont="1" applyFill="1" applyBorder="1" applyAlignment="1">
      <alignment vertical="center"/>
    </xf>
    <xf numFmtId="0" fontId="5" fillId="9" borderId="5" xfId="0" applyFont="1" applyFill="1" applyBorder="1" applyAlignment="1">
      <alignment horizontal="justify" vertical="center" wrapText="1"/>
    </xf>
    <xf numFmtId="0" fontId="5" fillId="9" borderId="9" xfId="0" applyFont="1" applyFill="1" applyBorder="1" applyAlignment="1">
      <alignment horizontal="center" vertical="center" wrapText="1"/>
    </xf>
    <xf numFmtId="0" fontId="5" fillId="9" borderId="9" xfId="0" applyFont="1" applyFill="1" applyBorder="1" applyAlignment="1">
      <alignment horizontal="justify" vertical="center" wrapText="1"/>
    </xf>
    <xf numFmtId="0" fontId="5" fillId="9" borderId="9" xfId="0" applyNumberFormat="1" applyFont="1" applyFill="1" applyBorder="1" applyAlignment="1">
      <alignment horizontal="center" vertical="center"/>
    </xf>
    <xf numFmtId="0" fontId="5" fillId="9" borderId="9" xfId="0" applyNumberFormat="1" applyFont="1" applyFill="1" applyBorder="1" applyAlignment="1">
      <alignment horizontal="justify" vertical="center"/>
    </xf>
    <xf numFmtId="0" fontId="7" fillId="9" borderId="9" xfId="0" applyFont="1" applyFill="1" applyBorder="1" applyAlignment="1">
      <alignment horizontal="right" vertical="center" wrapText="1"/>
    </xf>
    <xf numFmtId="170" fontId="5" fillId="9" borderId="3" xfId="2" applyNumberFormat="1" applyFont="1" applyFill="1" applyBorder="1" applyAlignment="1">
      <alignment horizontal="justify" vertical="center"/>
    </xf>
    <xf numFmtId="170" fontId="5" fillId="0" borderId="2" xfId="2" applyNumberFormat="1" applyFont="1" applyFill="1" applyBorder="1" applyAlignment="1">
      <alignment horizontal="justify" vertical="center"/>
    </xf>
    <xf numFmtId="0" fontId="3" fillId="9" borderId="9" xfId="0" applyFont="1" applyFill="1" applyBorder="1" applyAlignment="1">
      <alignment horizontal="justify" vertical="center" wrapText="1"/>
    </xf>
    <xf numFmtId="0" fontId="3" fillId="9" borderId="9" xfId="0" applyFont="1" applyFill="1" applyBorder="1" applyAlignment="1">
      <alignment horizontal="left" vertical="center"/>
    </xf>
    <xf numFmtId="0" fontId="3" fillId="9" borderId="9" xfId="0" applyFont="1" applyFill="1" applyBorder="1" applyAlignment="1">
      <alignment vertical="center"/>
    </xf>
    <xf numFmtId="0" fontId="4" fillId="9" borderId="9" xfId="0" applyFont="1" applyFill="1" applyBorder="1" applyAlignment="1">
      <alignment horizontal="right" vertical="center"/>
    </xf>
    <xf numFmtId="172" fontId="3" fillId="9" borderId="9" xfId="1" applyNumberFormat="1" applyFont="1" applyFill="1" applyBorder="1" applyAlignment="1">
      <alignment horizontal="center" vertical="center"/>
    </xf>
    <xf numFmtId="0" fontId="3" fillId="9" borderId="2" xfId="0" applyFont="1" applyFill="1" applyBorder="1" applyAlignment="1">
      <alignment vertical="center"/>
    </xf>
    <xf numFmtId="0" fontId="5" fillId="5" borderId="9" xfId="0" applyFont="1" applyFill="1" applyBorder="1" applyAlignment="1">
      <alignment horizontal="justify" vertical="center" wrapText="1"/>
    </xf>
    <xf numFmtId="0" fontId="5" fillId="5" borderId="9" xfId="0" applyFont="1" applyFill="1" applyBorder="1" applyAlignment="1">
      <alignment horizontal="center" vertical="center" wrapText="1"/>
    </xf>
    <xf numFmtId="0" fontId="5" fillId="5" borderId="9" xfId="0" applyNumberFormat="1" applyFont="1" applyFill="1" applyBorder="1" applyAlignment="1">
      <alignment horizontal="center" vertical="center"/>
    </xf>
    <xf numFmtId="0" fontId="5" fillId="5" borderId="9" xfId="0" applyNumberFormat="1" applyFont="1" applyFill="1" applyBorder="1" applyAlignment="1">
      <alignment horizontal="justify" vertical="center"/>
    </xf>
    <xf numFmtId="0" fontId="7" fillId="5" borderId="9" xfId="0" applyFont="1" applyFill="1" applyBorder="1" applyAlignment="1">
      <alignment horizontal="right" vertical="center" wrapText="1"/>
    </xf>
    <xf numFmtId="170" fontId="5" fillId="5" borderId="9" xfId="2" applyNumberFormat="1" applyFont="1" applyFill="1" applyBorder="1" applyAlignment="1">
      <alignment horizontal="justify" vertical="center"/>
    </xf>
    <xf numFmtId="0" fontId="5" fillId="0" borderId="9" xfId="0" applyNumberFormat="1" applyFont="1" applyFill="1" applyBorder="1" applyAlignment="1">
      <alignment horizontal="justify" vertical="center"/>
    </xf>
    <xf numFmtId="0" fontId="5" fillId="0" borderId="4"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Border="1" applyAlignment="1">
      <alignment vertical="center" wrapText="1"/>
    </xf>
    <xf numFmtId="0" fontId="5" fillId="0" borderId="2" xfId="0" applyFont="1" applyBorder="1" applyAlignment="1">
      <alignment vertical="center" wrapText="1"/>
    </xf>
    <xf numFmtId="0" fontId="5" fillId="0" borderId="8" xfId="0" applyFont="1" applyBorder="1" applyAlignment="1">
      <alignment vertical="center" wrapText="1"/>
    </xf>
    <xf numFmtId="0" fontId="5" fillId="0" borderId="2" xfId="0" applyFont="1" applyBorder="1" applyAlignment="1">
      <alignment horizontal="center" vertical="center" wrapText="1"/>
    </xf>
    <xf numFmtId="0" fontId="5" fillId="7" borderId="4" xfId="0" applyFont="1" applyFill="1" applyBorder="1" applyAlignment="1">
      <alignment horizontal="justify" vertical="center" wrapText="1"/>
    </xf>
    <xf numFmtId="0" fontId="5" fillId="7" borderId="4" xfId="0" applyFont="1" applyFill="1" applyBorder="1" applyAlignment="1">
      <alignment horizontal="center" vertical="center" wrapText="1"/>
    </xf>
    <xf numFmtId="0" fontId="5" fillId="5" borderId="2" xfId="0" applyFont="1" applyFill="1" applyBorder="1" applyAlignment="1">
      <alignment horizontal="justify" vertical="center" wrapText="1"/>
    </xf>
    <xf numFmtId="0" fontId="5" fillId="5" borderId="5"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justify" vertical="center" wrapText="1"/>
    </xf>
    <xf numFmtId="0" fontId="5" fillId="5" borderId="4" xfId="0" applyFont="1" applyFill="1" applyBorder="1" applyAlignment="1">
      <alignment horizontal="center" vertical="center" wrapText="1"/>
    </xf>
    <xf numFmtId="0" fontId="3" fillId="5" borderId="2" xfId="0" applyFont="1" applyFill="1" applyBorder="1" applyAlignment="1">
      <alignment horizontal="justify" vertical="center" wrapText="1"/>
    </xf>
    <xf numFmtId="0" fontId="3" fillId="5" borderId="5" xfId="0" applyFont="1" applyFill="1" applyBorder="1" applyAlignment="1">
      <alignment horizontal="center" vertical="center"/>
    </xf>
    <xf numFmtId="0" fontId="3" fillId="11" borderId="4" xfId="0" applyFont="1" applyFill="1" applyBorder="1" applyAlignment="1">
      <alignment horizontal="justify" vertical="center" wrapText="1"/>
    </xf>
    <xf numFmtId="0" fontId="3" fillId="11" borderId="5" xfId="0" applyFont="1" applyFill="1" applyBorder="1" applyAlignment="1">
      <alignment horizontal="left" vertical="center"/>
    </xf>
    <xf numFmtId="0" fontId="3" fillId="11" borderId="9" xfId="0" applyFont="1" applyFill="1" applyBorder="1" applyAlignment="1">
      <alignment vertical="center"/>
    </xf>
    <xf numFmtId="0" fontId="4" fillId="11" borderId="9" xfId="0" applyFont="1" applyFill="1" applyBorder="1" applyAlignment="1">
      <alignment horizontal="right" vertical="center"/>
    </xf>
    <xf numFmtId="172" fontId="3" fillId="11" borderId="9" xfId="1" applyNumberFormat="1" applyFont="1" applyFill="1" applyBorder="1" applyAlignment="1">
      <alignment horizontal="center" vertical="center"/>
    </xf>
    <xf numFmtId="0" fontId="3" fillId="11" borderId="2" xfId="0" applyFont="1" applyFill="1" applyBorder="1" applyAlignment="1">
      <alignment vertical="center"/>
    </xf>
    <xf numFmtId="0" fontId="3" fillId="0" borderId="7" xfId="0" applyFont="1" applyFill="1" applyBorder="1" applyAlignment="1">
      <alignment vertical="center" wrapText="1"/>
    </xf>
    <xf numFmtId="0" fontId="9" fillId="2" borderId="0" xfId="0" applyFont="1" applyFill="1" applyBorder="1" applyAlignment="1">
      <alignment vertical="center"/>
    </xf>
    <xf numFmtId="0" fontId="9" fillId="2" borderId="3" xfId="0" applyFont="1" applyFill="1" applyBorder="1" applyAlignment="1">
      <alignment vertical="center"/>
    </xf>
    <xf numFmtId="0" fontId="3" fillId="5" borderId="9" xfId="0" applyFont="1" applyFill="1" applyBorder="1" applyAlignment="1">
      <alignment horizontal="justify" vertical="center" wrapText="1"/>
    </xf>
    <xf numFmtId="0" fontId="3" fillId="0" borderId="9" xfId="0" applyFont="1" applyFill="1" applyBorder="1" applyAlignment="1">
      <alignment horizontal="center" vertical="center" wrapText="1"/>
    </xf>
    <xf numFmtId="170" fontId="3" fillId="7" borderId="9" xfId="0" applyNumberFormat="1" applyFont="1" applyFill="1" applyBorder="1" applyAlignment="1">
      <alignment vertical="center"/>
    </xf>
    <xf numFmtId="0" fontId="8" fillId="0" borderId="3" xfId="0" applyFont="1" applyFill="1" applyBorder="1" applyAlignment="1" applyProtection="1">
      <alignment horizontal="center" vertical="center" wrapText="1"/>
      <protection locked="0"/>
    </xf>
    <xf numFmtId="0" fontId="5" fillId="0" borderId="3" xfId="0" applyFont="1" applyBorder="1" applyAlignment="1">
      <alignment vertical="center" wrapText="1"/>
    </xf>
    <xf numFmtId="172" fontId="5" fillId="7" borderId="3" xfId="1" applyNumberFormat="1" applyFont="1" applyFill="1" applyBorder="1" applyAlignment="1">
      <alignment horizontal="center" vertical="center"/>
    </xf>
    <xf numFmtId="170" fontId="5" fillId="7" borderId="3" xfId="2" applyNumberFormat="1" applyFont="1" applyFill="1" applyBorder="1" applyAlignment="1">
      <alignment vertical="center"/>
    </xf>
    <xf numFmtId="172" fontId="5" fillId="5" borderId="3" xfId="1" applyNumberFormat="1" applyFont="1" applyFill="1" applyBorder="1" applyAlignment="1">
      <alignment horizontal="center" vertical="center"/>
    </xf>
    <xf numFmtId="170" fontId="5" fillId="5" borderId="3" xfId="2" applyNumberFormat="1" applyFont="1" applyFill="1" applyBorder="1" applyAlignment="1">
      <alignment vertical="center"/>
    </xf>
    <xf numFmtId="172" fontId="5" fillId="4" borderId="3" xfId="1" applyNumberFormat="1" applyFont="1" applyFill="1" applyBorder="1" applyAlignment="1">
      <alignment horizontal="center" vertical="center"/>
    </xf>
    <xf numFmtId="170" fontId="5" fillId="4" borderId="3" xfId="2" applyNumberFormat="1" applyFont="1" applyFill="1" applyBorder="1" applyAlignment="1">
      <alignment vertical="center"/>
    </xf>
    <xf numFmtId="172" fontId="5" fillId="8" borderId="3" xfId="1" applyNumberFormat="1" applyFont="1" applyFill="1" applyBorder="1" applyAlignment="1">
      <alignment horizontal="center" vertical="center"/>
    </xf>
    <xf numFmtId="0" fontId="3" fillId="5" borderId="5" xfId="0" applyFont="1" applyFill="1" applyBorder="1" applyAlignment="1">
      <alignment horizontal="justify" vertical="center" wrapText="1"/>
    </xf>
    <xf numFmtId="0" fontId="5" fillId="7" borderId="3" xfId="0" applyNumberFormat="1" applyFont="1" applyFill="1" applyBorder="1" applyAlignment="1">
      <alignment horizontal="center" vertical="center" wrapText="1"/>
    </xf>
    <xf numFmtId="170" fontId="5" fillId="2" borderId="3" xfId="2" applyNumberFormat="1" applyFont="1" applyFill="1" applyBorder="1" applyAlignment="1">
      <alignment horizontal="justify" vertical="center"/>
    </xf>
    <xf numFmtId="0" fontId="5" fillId="0" borderId="5"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2" xfId="0" applyFont="1" applyFill="1" applyBorder="1" applyAlignment="1">
      <alignment vertical="center" wrapText="1"/>
    </xf>
    <xf numFmtId="0" fontId="3" fillId="7" borderId="3" xfId="0" applyFont="1" applyFill="1" applyBorder="1" applyAlignment="1">
      <alignment horizontal="justify" vertical="center" wrapText="1"/>
    </xf>
    <xf numFmtId="170" fontId="5" fillId="7" borderId="3" xfId="0" applyNumberFormat="1" applyFont="1" applyFill="1" applyBorder="1" applyAlignment="1">
      <alignment horizontal="justify" vertical="center" wrapText="1"/>
    </xf>
    <xf numFmtId="170" fontId="5" fillId="7" borderId="3" xfId="0" applyNumberFormat="1" applyFont="1" applyFill="1" applyBorder="1" applyAlignment="1">
      <alignment horizontal="center" vertical="center" wrapText="1"/>
    </xf>
    <xf numFmtId="0" fontId="5" fillId="5" borderId="3" xfId="0" applyNumberFormat="1" applyFont="1" applyFill="1" applyBorder="1" applyAlignment="1">
      <alignment horizontal="center" vertical="center" wrapText="1"/>
    </xf>
    <xf numFmtId="0" fontId="5" fillId="4" borderId="2" xfId="0" applyFont="1" applyFill="1" applyBorder="1" applyAlignment="1">
      <alignment horizontal="justify" vertical="center" wrapText="1"/>
    </xf>
    <xf numFmtId="0" fontId="5" fillId="4" borderId="3"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170" fontId="5" fillId="2" borderId="0" xfId="2" applyNumberFormat="1" applyFont="1" applyFill="1" applyBorder="1" applyAlignment="1">
      <alignment horizontal="justify" vertical="center"/>
    </xf>
    <xf numFmtId="0" fontId="3" fillId="5" borderId="3" xfId="0" applyFont="1" applyFill="1" applyBorder="1" applyAlignment="1">
      <alignment horizontal="justify" vertical="center" wrapText="1"/>
    </xf>
    <xf numFmtId="3" fontId="3" fillId="7" borderId="9" xfId="0" applyNumberFormat="1" applyFont="1" applyFill="1" applyBorder="1" applyAlignment="1">
      <alignment vertical="center"/>
    </xf>
    <xf numFmtId="0" fontId="5" fillId="12" borderId="3" xfId="0" applyFont="1" applyFill="1" applyBorder="1" applyAlignment="1">
      <alignment horizontal="justify" vertical="center" wrapText="1"/>
    </xf>
    <xf numFmtId="0" fontId="5" fillId="12" borderId="3" xfId="0" applyFont="1" applyFill="1" applyBorder="1" applyAlignment="1">
      <alignment horizontal="center" vertical="center" wrapText="1"/>
    </xf>
    <xf numFmtId="0" fontId="5" fillId="12" borderId="3" xfId="0" applyNumberFormat="1" applyFont="1" applyFill="1" applyBorder="1" applyAlignment="1">
      <alignment horizontal="center" vertical="center" wrapText="1"/>
    </xf>
    <xf numFmtId="0" fontId="7" fillId="12" borderId="3" xfId="0" applyFont="1" applyFill="1" applyBorder="1" applyAlignment="1">
      <alignment horizontal="right" vertical="center" wrapText="1"/>
    </xf>
    <xf numFmtId="170" fontId="5" fillId="12" borderId="3" xfId="0" applyNumberFormat="1" applyFont="1" applyFill="1" applyBorder="1" applyAlignment="1">
      <alignment horizontal="justify" vertical="center" wrapText="1"/>
    </xf>
    <xf numFmtId="170" fontId="5" fillId="12" borderId="3" xfId="2" applyNumberFormat="1" applyFont="1" applyFill="1" applyBorder="1" applyAlignment="1">
      <alignment horizontal="justify" vertical="center"/>
    </xf>
    <xf numFmtId="0" fontId="5" fillId="8" borderId="3" xfId="0" applyNumberFormat="1" applyFont="1" applyFill="1" applyBorder="1" applyAlignment="1">
      <alignment horizontal="center" vertical="center" wrapText="1"/>
    </xf>
    <xf numFmtId="0" fontId="3" fillId="7" borderId="5" xfId="0" applyFont="1" applyFill="1" applyBorder="1" applyAlignment="1">
      <alignment vertical="center"/>
    </xf>
    <xf numFmtId="170" fontId="3" fillId="7" borderId="9" xfId="0" applyNumberFormat="1" applyFont="1" applyFill="1" applyBorder="1" applyAlignment="1">
      <alignment vertical="center" wrapText="1"/>
    </xf>
    <xf numFmtId="0" fontId="5" fillId="0" borderId="9" xfId="0" applyFont="1" applyFill="1" applyBorder="1" applyAlignment="1">
      <alignment horizontal="left" vertical="center" wrapText="1"/>
    </xf>
    <xf numFmtId="0" fontId="3" fillId="11" borderId="9" xfId="0" applyFont="1" applyFill="1" applyBorder="1" applyAlignment="1">
      <alignment horizontal="left" vertical="center" wrapText="1"/>
    </xf>
    <xf numFmtId="0" fontId="5" fillId="7" borderId="3" xfId="2" applyNumberFormat="1" applyFont="1" applyFill="1" applyBorder="1" applyAlignment="1">
      <alignment horizontal="center" vertical="center"/>
    </xf>
    <xf numFmtId="0" fontId="5" fillId="0" borderId="9" xfId="2" applyNumberFormat="1" applyFont="1" applyFill="1" applyBorder="1" applyAlignment="1">
      <alignment horizontal="center" vertical="center"/>
    </xf>
    <xf numFmtId="170" fontId="5" fillId="0" borderId="1" xfId="2" applyNumberFormat="1" applyFont="1" applyFill="1" applyBorder="1" applyAlignment="1">
      <alignment horizontal="justify" vertical="center"/>
    </xf>
    <xf numFmtId="172" fontId="5" fillId="0" borderId="1" xfId="1" applyNumberFormat="1" applyFont="1" applyFill="1" applyBorder="1" applyAlignment="1">
      <alignment horizontal="center" vertical="center"/>
    </xf>
    <xf numFmtId="170" fontId="5" fillId="0" borderId="1" xfId="2" applyNumberFormat="1" applyFont="1" applyFill="1" applyBorder="1" applyAlignment="1">
      <alignment vertical="center"/>
    </xf>
    <xf numFmtId="172" fontId="5" fillId="0" borderId="0" xfId="1" applyNumberFormat="1" applyFont="1" applyFill="1" applyBorder="1" applyAlignment="1">
      <alignment horizontal="center" vertical="center"/>
    </xf>
    <xf numFmtId="170" fontId="5" fillId="0" borderId="0" xfId="2" applyNumberFormat="1" applyFont="1" applyFill="1" applyBorder="1" applyAlignment="1">
      <alignment vertical="center"/>
    </xf>
    <xf numFmtId="0" fontId="5" fillId="0" borderId="4" xfId="0" applyNumberFormat="1" applyFont="1" applyFill="1" applyBorder="1" applyAlignment="1">
      <alignment horizontal="center" vertical="center"/>
    </xf>
    <xf numFmtId="170" fontId="5" fillId="0" borderId="5" xfId="2" applyNumberFormat="1" applyFont="1" applyBorder="1" applyAlignment="1">
      <alignment horizontal="justify" vertical="center"/>
    </xf>
    <xf numFmtId="0" fontId="5" fillId="4" borderId="4" xfId="0" applyFont="1" applyFill="1" applyBorder="1" applyAlignment="1">
      <alignment horizontal="justify" vertical="center" wrapText="1"/>
    </xf>
    <xf numFmtId="0" fontId="5" fillId="4" borderId="4" xfId="0" applyFont="1" applyFill="1" applyBorder="1" applyAlignment="1">
      <alignment horizontal="center" vertical="center" wrapText="1"/>
    </xf>
    <xf numFmtId="0" fontId="5" fillId="0" borderId="11" xfId="0" applyFont="1" applyBorder="1" applyAlignment="1">
      <alignment vertical="center" wrapText="1"/>
    </xf>
    <xf numFmtId="0" fontId="5" fillId="7" borderId="4" xfId="0" applyNumberFormat="1" applyFont="1" applyFill="1" applyBorder="1" applyAlignment="1">
      <alignment horizontal="center" vertical="center"/>
    </xf>
    <xf numFmtId="0" fontId="7" fillId="7" borderId="4" xfId="0" applyFont="1" applyFill="1" applyBorder="1" applyAlignment="1">
      <alignment horizontal="right" vertical="center" wrapText="1"/>
    </xf>
    <xf numFmtId="170" fontId="5" fillId="7" borderId="4" xfId="2" applyNumberFormat="1" applyFont="1" applyFill="1" applyBorder="1" applyAlignment="1">
      <alignment horizontal="justify" vertical="center"/>
    </xf>
    <xf numFmtId="0" fontId="3" fillId="5" borderId="3" xfId="0" applyFont="1" applyFill="1" applyBorder="1" applyAlignment="1">
      <alignment horizontal="center" vertical="center" wrapText="1"/>
    </xf>
    <xf numFmtId="0" fontId="5" fillId="7" borderId="3" xfId="0" applyFont="1" applyFill="1" applyBorder="1" applyAlignment="1">
      <alignment horizontal="justify" vertical="center"/>
    </xf>
    <xf numFmtId="0" fontId="5" fillId="0" borderId="9" xfId="0" applyFont="1" applyFill="1" applyBorder="1" applyAlignment="1">
      <alignment horizontal="justify" vertical="center"/>
    </xf>
    <xf numFmtId="0" fontId="9" fillId="10" borderId="0" xfId="0" applyFont="1" applyFill="1" applyBorder="1" applyAlignment="1">
      <alignment vertical="center"/>
    </xf>
    <xf numFmtId="172" fontId="9" fillId="3" borderId="3" xfId="1" applyNumberFormat="1" applyFont="1" applyFill="1" applyBorder="1" applyAlignment="1">
      <alignment horizontal="center" vertical="center"/>
    </xf>
    <xf numFmtId="172" fontId="5" fillId="0" borderId="8" xfId="1" applyNumberFormat="1" applyFont="1" applyFill="1" applyBorder="1" applyAlignment="1">
      <alignment horizontal="center" vertical="center"/>
    </xf>
    <xf numFmtId="170" fontId="5" fillId="0" borderId="8" xfId="2" applyNumberFormat="1" applyFont="1" applyFill="1" applyBorder="1" applyAlignment="1">
      <alignment vertical="center"/>
    </xf>
    <xf numFmtId="0" fontId="9" fillId="0" borderId="6" xfId="0" applyFont="1" applyFill="1" applyBorder="1" applyAlignment="1">
      <alignment horizontal="left" vertical="center"/>
    </xf>
    <xf numFmtId="37" fontId="7" fillId="0" borderId="3" xfId="2" applyNumberFormat="1" applyFont="1" applyFill="1" applyBorder="1" applyAlignment="1">
      <alignment horizontal="right" vertical="center"/>
    </xf>
    <xf numFmtId="170" fontId="5" fillId="0" borderId="6" xfId="2" applyNumberFormat="1" applyFont="1" applyFill="1" applyBorder="1" applyAlignment="1">
      <alignment horizontal="justify" vertical="center"/>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3" fillId="0" borderId="3" xfId="0" applyFont="1" applyFill="1" applyBorder="1" applyAlignment="1">
      <alignment horizontal="justify" vertical="center"/>
    </xf>
    <xf numFmtId="0" fontId="3" fillId="0" borderId="3" xfId="0" applyFont="1" applyFill="1" applyBorder="1" applyAlignment="1">
      <alignment horizontal="center" vertical="center"/>
    </xf>
    <xf numFmtId="0" fontId="5" fillId="7" borderId="3"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8" xfId="0" applyFont="1" applyFill="1" applyBorder="1" applyAlignment="1">
      <alignment horizontal="justify" vertical="center"/>
    </xf>
    <xf numFmtId="0" fontId="3" fillId="0" borderId="8"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170" fontId="5" fillId="0" borderId="3" xfId="2" applyNumberFormat="1" applyFont="1" applyBorder="1" applyAlignment="1">
      <alignment horizontal="justify" vertical="center"/>
    </xf>
    <xf numFmtId="0" fontId="5" fillId="0" borderId="7" xfId="0" applyFont="1" applyBorder="1" applyAlignment="1">
      <alignment horizontal="center" vertical="center" wrapText="1"/>
    </xf>
    <xf numFmtId="0" fontId="3" fillId="5" borderId="3" xfId="0" applyFont="1" applyFill="1" applyBorder="1" applyAlignment="1">
      <alignment horizontal="justify" vertical="center"/>
    </xf>
    <xf numFmtId="0" fontId="3" fillId="5" borderId="3" xfId="0" applyFont="1" applyFill="1" applyBorder="1" applyAlignment="1">
      <alignment horizontal="center" vertical="center"/>
    </xf>
    <xf numFmtId="0" fontId="5" fillId="5" borderId="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11" borderId="5" xfId="0" applyFont="1" applyFill="1" applyBorder="1" applyAlignment="1">
      <alignment horizontal="left" vertical="center" wrapText="1"/>
    </xf>
    <xf numFmtId="170" fontId="5" fillId="2" borderId="3" xfId="2" applyNumberFormat="1" applyFont="1" applyFill="1" applyBorder="1" applyAlignment="1">
      <alignment vertical="center"/>
    </xf>
    <xf numFmtId="0" fontId="5" fillId="0" borderId="3" xfId="0" applyFont="1" applyBorder="1" applyAlignment="1">
      <alignment horizontal="center" vertical="center"/>
    </xf>
    <xf numFmtId="0" fontId="3" fillId="0" borderId="6" xfId="0" applyFont="1" applyFill="1" applyBorder="1" applyAlignment="1">
      <alignment vertical="center" wrapText="1"/>
    </xf>
    <xf numFmtId="0" fontId="3" fillId="4" borderId="3" xfId="0" applyFont="1" applyFill="1" applyBorder="1" applyAlignment="1">
      <alignment horizontal="justify" vertical="center"/>
    </xf>
    <xf numFmtId="0" fontId="3"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3" fillId="8" borderId="3" xfId="0" applyFont="1" applyFill="1" applyBorder="1" applyAlignment="1">
      <alignment horizontal="justify" vertical="center"/>
    </xf>
    <xf numFmtId="0" fontId="3" fillId="8" borderId="3" xfId="0" applyFont="1" applyFill="1" applyBorder="1" applyAlignment="1">
      <alignment horizontal="center" vertical="center"/>
    </xf>
    <xf numFmtId="0" fontId="5" fillId="8" borderId="3" xfId="0" applyFont="1" applyFill="1" applyBorder="1" applyAlignment="1">
      <alignment horizontal="center" vertical="center"/>
    </xf>
    <xf numFmtId="0" fontId="3" fillId="0" borderId="9" xfId="0" applyFont="1" applyFill="1" applyBorder="1" applyAlignment="1">
      <alignment horizontal="justify" vertical="center"/>
    </xf>
    <xf numFmtId="0" fontId="3" fillId="7" borderId="9" xfId="0" applyFont="1" applyFill="1" applyBorder="1" applyAlignment="1">
      <alignment horizontal="justify" vertical="center" wrapText="1"/>
    </xf>
    <xf numFmtId="0" fontId="5" fillId="2" borderId="3" xfId="0" applyNumberFormat="1" applyFont="1" applyFill="1" applyBorder="1" applyAlignment="1">
      <alignment horizontal="center" vertical="center" wrapText="1"/>
    </xf>
    <xf numFmtId="0" fontId="6" fillId="0" borderId="1" xfId="0" applyFont="1" applyFill="1" applyBorder="1"/>
    <xf numFmtId="0" fontId="3" fillId="7" borderId="8" xfId="0" applyFont="1" applyFill="1" applyBorder="1" applyAlignment="1">
      <alignment horizontal="justify" vertical="center" wrapText="1"/>
    </xf>
    <xf numFmtId="0" fontId="3" fillId="0" borderId="9" xfId="0" applyFont="1" applyFill="1" applyBorder="1" applyAlignment="1">
      <alignment horizontal="left" vertical="center" wrapText="1"/>
    </xf>
    <xf numFmtId="0" fontId="3" fillId="7" borderId="0" xfId="0" applyFont="1" applyFill="1" applyBorder="1" applyAlignment="1">
      <alignment vertical="center"/>
    </xf>
    <xf numFmtId="0" fontId="5" fillId="2" borderId="3" xfId="0" applyNumberFormat="1" applyFont="1" applyFill="1" applyBorder="1" applyAlignment="1">
      <alignment horizontal="justify" vertical="center" wrapText="1"/>
    </xf>
    <xf numFmtId="0" fontId="9"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Border="1" applyAlignment="1">
      <alignment vertical="center"/>
    </xf>
    <xf numFmtId="0" fontId="9" fillId="3" borderId="9"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4" fillId="3" borderId="9" xfId="0" applyFont="1" applyFill="1" applyBorder="1" applyAlignment="1">
      <alignment horizontal="right" vertical="center" wrapText="1"/>
    </xf>
    <xf numFmtId="172" fontId="9" fillId="3" borderId="9" xfId="1" applyNumberFormat="1" applyFont="1" applyFill="1" applyBorder="1" applyAlignment="1">
      <alignment horizontal="center" vertical="center" wrapText="1"/>
    </xf>
    <xf numFmtId="0" fontId="9" fillId="3" borderId="9" xfId="0" applyFont="1" applyFill="1" applyBorder="1" applyAlignment="1">
      <alignment vertical="center" wrapText="1"/>
    </xf>
    <xf numFmtId="170" fontId="9" fillId="3" borderId="2" xfId="0" applyNumberFormat="1" applyFont="1" applyFill="1" applyBorder="1" applyAlignment="1">
      <alignment horizontal="left" vertical="center" wrapText="1"/>
    </xf>
    <xf numFmtId="43" fontId="5" fillId="0" borderId="11" xfId="2" applyFont="1" applyFill="1" applyBorder="1" applyAlignment="1">
      <alignment horizontal="center" vertical="center"/>
    </xf>
    <xf numFmtId="170" fontId="5" fillId="0" borderId="11" xfId="3" applyNumberFormat="1" applyFont="1" applyFill="1" applyBorder="1" applyAlignment="1">
      <alignment horizontal="center" vertical="center"/>
    </xf>
    <xf numFmtId="172" fontId="5" fillId="0" borderId="5" xfId="1" applyNumberFormat="1" applyFont="1" applyFill="1" applyBorder="1" applyAlignment="1">
      <alignment horizontal="center" vertical="center" wrapText="1"/>
    </xf>
    <xf numFmtId="170" fontId="5" fillId="0" borderId="5" xfId="1" applyNumberFormat="1" applyFont="1" applyFill="1" applyBorder="1" applyAlignment="1">
      <alignment horizontal="center" vertical="center" wrapText="1"/>
    </xf>
    <xf numFmtId="3" fontId="5" fillId="0" borderId="3" xfId="2" applyNumberFormat="1" applyFont="1" applyFill="1" applyBorder="1" applyAlignment="1">
      <alignment vertical="center"/>
    </xf>
    <xf numFmtId="170" fontId="5" fillId="0" borderId="9" xfId="0" applyNumberFormat="1" applyFont="1" applyFill="1" applyBorder="1" applyAlignment="1">
      <alignment horizontal="justify" vertical="center" wrapText="1"/>
    </xf>
    <xf numFmtId="170" fontId="5" fillId="2" borderId="9" xfId="0" applyNumberFormat="1" applyFont="1" applyFill="1" applyBorder="1" applyAlignment="1">
      <alignment horizontal="justify" vertical="center" wrapText="1"/>
    </xf>
    <xf numFmtId="172" fontId="5" fillId="0" borderId="9" xfId="1" applyNumberFormat="1" applyFont="1" applyFill="1" applyBorder="1" applyAlignment="1">
      <alignment horizontal="center" vertical="center" wrapText="1"/>
    </xf>
    <xf numFmtId="170" fontId="5" fillId="0" borderId="9" xfId="0" applyNumberFormat="1" applyFont="1" applyFill="1" applyBorder="1" applyAlignment="1">
      <alignment vertical="center" wrapText="1"/>
    </xf>
    <xf numFmtId="3" fontId="5" fillId="7" borderId="3" xfId="0" applyNumberFormat="1" applyFont="1" applyFill="1" applyBorder="1" applyAlignment="1">
      <alignment horizontal="justify" vertical="center" wrapText="1"/>
    </xf>
    <xf numFmtId="170" fontId="5" fillId="5" borderId="3" xfId="0" applyNumberFormat="1" applyFont="1" applyFill="1" applyBorder="1" applyAlignment="1">
      <alignment horizontal="justify"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vertical="center" wrapText="1"/>
    </xf>
    <xf numFmtId="0" fontId="4" fillId="4" borderId="3" xfId="0" applyFont="1" applyFill="1" applyBorder="1" applyAlignment="1">
      <alignment horizontal="right" vertical="center" wrapText="1"/>
    </xf>
    <xf numFmtId="0" fontId="7" fillId="6" borderId="3" xfId="0" applyFont="1" applyFill="1" applyBorder="1" applyAlignment="1">
      <alignment horizontal="right" vertical="center" wrapText="1"/>
    </xf>
    <xf numFmtId="172" fontId="5" fillId="6" borderId="3" xfId="1" applyNumberFormat="1" applyFont="1" applyFill="1" applyBorder="1" applyAlignment="1">
      <alignment horizontal="center" vertical="center"/>
    </xf>
    <xf numFmtId="170" fontId="5" fillId="6" borderId="3" xfId="1" applyNumberFormat="1" applyFont="1" applyFill="1" applyBorder="1" applyAlignment="1">
      <alignment horizontal="center" vertical="center"/>
    </xf>
    <xf numFmtId="0" fontId="3" fillId="7" borderId="9" xfId="0" applyFont="1" applyFill="1" applyBorder="1" applyAlignment="1">
      <alignment horizontal="center" vertical="center" wrapText="1"/>
    </xf>
    <xf numFmtId="0" fontId="5" fillId="7" borderId="9" xfId="0" applyFont="1" applyFill="1" applyBorder="1" applyAlignment="1">
      <alignment horizontal="justify" vertical="center" wrapText="1"/>
    </xf>
    <xf numFmtId="0" fontId="5" fillId="7" borderId="9" xfId="0" applyNumberFormat="1" applyFont="1" applyFill="1" applyBorder="1" applyAlignment="1">
      <alignment horizontal="center" vertical="center" wrapText="1"/>
    </xf>
    <xf numFmtId="0" fontId="7" fillId="7" borderId="9" xfId="0" applyFont="1" applyFill="1" applyBorder="1" applyAlignment="1">
      <alignment horizontal="right" vertical="center" wrapText="1"/>
    </xf>
    <xf numFmtId="0" fontId="5" fillId="7" borderId="9" xfId="0" applyFont="1" applyFill="1" applyBorder="1" applyAlignment="1">
      <alignment horizontal="center" vertical="center" wrapText="1"/>
    </xf>
    <xf numFmtId="170" fontId="5" fillId="7" borderId="9" xfId="2" applyNumberFormat="1" applyFont="1" applyFill="1" applyBorder="1" applyAlignment="1">
      <alignment horizontal="justify" vertical="center"/>
    </xf>
    <xf numFmtId="0" fontId="3" fillId="0" borderId="9" xfId="0" applyFont="1" applyFill="1" applyBorder="1" applyAlignment="1">
      <alignment horizontal="justify" vertical="center" wrapText="1"/>
    </xf>
    <xf numFmtId="0" fontId="5" fillId="0" borderId="11" xfId="0" applyFont="1" applyFill="1" applyBorder="1" applyAlignment="1">
      <alignment vertical="center"/>
    </xf>
    <xf numFmtId="170" fontId="5" fillId="0" borderId="3" xfId="2" applyNumberFormat="1" applyFont="1" applyFill="1" applyBorder="1" applyAlignment="1">
      <alignment horizontal="justify" vertical="center" wrapText="1"/>
    </xf>
    <xf numFmtId="0" fontId="5" fillId="0" borderId="8" xfId="0" applyFont="1" applyFill="1" applyBorder="1" applyAlignment="1">
      <alignment vertical="center"/>
    </xf>
    <xf numFmtId="0" fontId="7" fillId="7" borderId="3" xfId="0" applyFont="1" applyFill="1" applyBorder="1" applyAlignment="1">
      <alignment horizontal="right" vertical="center"/>
    </xf>
    <xf numFmtId="170" fontId="5" fillId="7" borderId="3" xfId="0" applyNumberFormat="1" applyFont="1" applyFill="1" applyBorder="1" applyAlignment="1">
      <alignment horizontal="justify" vertical="center"/>
    </xf>
    <xf numFmtId="0" fontId="7" fillId="0" borderId="9" xfId="0" applyFont="1" applyFill="1" applyBorder="1" applyAlignment="1">
      <alignment horizontal="right" vertical="center"/>
    </xf>
    <xf numFmtId="170" fontId="5" fillId="0" borderId="9" xfId="0" applyNumberFormat="1" applyFont="1" applyFill="1" applyBorder="1" applyAlignment="1">
      <alignment horizontal="justify" vertical="center"/>
    </xf>
    <xf numFmtId="170" fontId="5" fillId="0" borderId="9" xfId="0" applyNumberFormat="1" applyFont="1" applyFill="1" applyBorder="1" applyAlignment="1">
      <alignment vertical="center"/>
    </xf>
    <xf numFmtId="0" fontId="3" fillId="7" borderId="3" xfId="0" applyFont="1" applyFill="1" applyBorder="1" applyAlignment="1">
      <alignment horizontal="justify" vertical="center"/>
    </xf>
    <xf numFmtId="0" fontId="5" fillId="2" borderId="8" xfId="0" applyNumberFormat="1" applyFont="1" applyFill="1" applyBorder="1" applyAlignment="1">
      <alignment horizontal="center" vertical="center" wrapText="1"/>
    </xf>
    <xf numFmtId="0" fontId="5" fillId="7" borderId="4" xfId="0" applyNumberFormat="1" applyFont="1" applyFill="1" applyBorder="1" applyAlignment="1">
      <alignment horizontal="center" vertical="center" wrapText="1"/>
    </xf>
    <xf numFmtId="0" fontId="5" fillId="5" borderId="4" xfId="0" applyNumberFormat="1" applyFont="1" applyFill="1" applyBorder="1" applyAlignment="1">
      <alignment horizontal="center" vertical="center" wrapText="1"/>
    </xf>
    <xf numFmtId="0" fontId="7" fillId="5" borderId="4" xfId="0" applyFont="1" applyFill="1" applyBorder="1" applyAlignment="1">
      <alignment horizontal="right" vertical="center" wrapText="1"/>
    </xf>
    <xf numFmtId="170" fontId="5" fillId="5" borderId="4" xfId="2" applyNumberFormat="1" applyFont="1" applyFill="1" applyBorder="1" applyAlignment="1">
      <alignment horizontal="justify" vertical="center"/>
    </xf>
    <xf numFmtId="0" fontId="5" fillId="4" borderId="4" xfId="0" applyNumberFormat="1" applyFont="1" applyFill="1" applyBorder="1" applyAlignment="1">
      <alignment horizontal="center" vertical="center" wrapText="1"/>
    </xf>
    <xf numFmtId="0" fontId="7" fillId="4" borderId="4" xfId="0" applyFont="1" applyFill="1" applyBorder="1" applyAlignment="1">
      <alignment horizontal="right" vertical="center" wrapText="1"/>
    </xf>
    <xf numFmtId="170" fontId="5" fillId="4" borderId="4" xfId="2" applyNumberFormat="1" applyFont="1" applyFill="1" applyBorder="1" applyAlignment="1">
      <alignment horizontal="justify" vertical="center"/>
    </xf>
    <xf numFmtId="43" fontId="5" fillId="7" borderId="3" xfId="2" applyNumberFormat="1" applyFont="1" applyFill="1" applyBorder="1" applyAlignment="1">
      <alignment horizontal="justify" vertical="center"/>
    </xf>
    <xf numFmtId="43" fontId="5" fillId="5" borderId="3" xfId="2" applyNumberFormat="1" applyFont="1" applyFill="1" applyBorder="1" applyAlignment="1">
      <alignment horizontal="justify" vertical="center"/>
    </xf>
    <xf numFmtId="170" fontId="5" fillId="7" borderId="3" xfId="1" applyNumberFormat="1" applyFont="1" applyFill="1" applyBorder="1" applyAlignment="1">
      <alignment horizontal="center" vertical="center"/>
    </xf>
    <xf numFmtId="170" fontId="5" fillId="5" borderId="3" xfId="1" applyNumberFormat="1" applyFont="1" applyFill="1" applyBorder="1" applyAlignment="1">
      <alignment horizontal="center" vertical="center"/>
    </xf>
    <xf numFmtId="170" fontId="5" fillId="4" borderId="3" xfId="1" applyNumberFormat="1" applyFont="1" applyFill="1" applyBorder="1" applyAlignment="1">
      <alignment horizontal="center" vertical="center"/>
    </xf>
    <xf numFmtId="170" fontId="5" fillId="8" borderId="3" xfId="1" applyNumberFormat="1" applyFont="1" applyFill="1" applyBorder="1" applyAlignment="1">
      <alignment horizontal="center" vertical="center"/>
    </xf>
    <xf numFmtId="43" fontId="3" fillId="7" borderId="2" xfId="0" applyNumberFormat="1" applyFont="1" applyFill="1" applyBorder="1" applyAlignment="1">
      <alignment vertical="center"/>
    </xf>
    <xf numFmtId="3" fontId="5" fillId="7" borderId="3" xfId="0" applyNumberFormat="1" applyFont="1" applyFill="1" applyBorder="1" applyAlignment="1">
      <alignment horizontal="center" vertical="center" wrapText="1"/>
    </xf>
    <xf numFmtId="4" fontId="5" fillId="7" borderId="3" xfId="0" applyNumberFormat="1" applyFont="1" applyFill="1" applyBorder="1" applyAlignment="1">
      <alignment horizontal="center" vertical="center" wrapText="1"/>
    </xf>
    <xf numFmtId="10" fontId="5" fillId="0" borderId="9" xfId="0" applyNumberFormat="1" applyFont="1" applyFill="1" applyBorder="1" applyAlignment="1">
      <alignment horizontal="center" vertical="center" wrapText="1"/>
    </xf>
    <xf numFmtId="3" fontId="5" fillId="0" borderId="9" xfId="0" applyNumberFormat="1" applyFont="1" applyFill="1" applyBorder="1" applyAlignment="1">
      <alignment horizontal="center" vertical="center" wrapText="1"/>
    </xf>
    <xf numFmtId="170" fontId="3" fillId="7" borderId="9" xfId="1" applyNumberFormat="1" applyFont="1" applyFill="1" applyBorder="1" applyAlignment="1">
      <alignment vertical="center"/>
    </xf>
    <xf numFmtId="167" fontId="3" fillId="7" borderId="2" xfId="1" applyFont="1" applyFill="1" applyBorder="1" applyAlignment="1">
      <alignment vertical="center"/>
    </xf>
    <xf numFmtId="3" fontId="5" fillId="0" borderId="3" xfId="0" applyNumberFormat="1" applyFont="1" applyFill="1" applyBorder="1" applyAlignment="1">
      <alignment horizontal="left" vertical="center" wrapText="1"/>
    </xf>
    <xf numFmtId="43" fontId="5" fillId="0" borderId="3" xfId="2" applyFont="1" applyFill="1" applyBorder="1" applyAlignment="1">
      <alignment horizontal="justify" vertical="center"/>
    </xf>
    <xf numFmtId="10" fontId="5" fillId="5" borderId="3" xfId="0" applyNumberFormat="1" applyFont="1" applyFill="1" applyBorder="1" applyAlignment="1">
      <alignment horizontal="center" vertical="center" wrapText="1"/>
    </xf>
    <xf numFmtId="3" fontId="5" fillId="5" borderId="3" xfId="0" applyNumberFormat="1" applyFont="1" applyFill="1" applyBorder="1" applyAlignment="1">
      <alignment horizontal="center" vertical="center" wrapText="1"/>
    </xf>
    <xf numFmtId="10" fontId="5" fillId="0" borderId="7" xfId="0" applyNumberFormat="1" applyFont="1" applyFill="1" applyBorder="1" applyAlignment="1">
      <alignment horizontal="center" vertical="center" wrapText="1"/>
    </xf>
    <xf numFmtId="0" fontId="5" fillId="7" borderId="2" xfId="0" applyFont="1" applyFill="1" applyBorder="1" applyAlignment="1">
      <alignment horizontal="justify" vertical="center" wrapText="1"/>
    </xf>
    <xf numFmtId="0" fontId="3" fillId="7" borderId="2" xfId="0" applyFont="1" applyFill="1" applyBorder="1" applyAlignment="1">
      <alignment horizontal="justify" vertical="center" wrapText="1"/>
    </xf>
    <xf numFmtId="3" fontId="5" fillId="7" borderId="3" xfId="0" applyNumberFormat="1" applyFont="1" applyFill="1" applyBorder="1" applyAlignment="1">
      <alignment horizontal="center" vertical="center"/>
    </xf>
    <xf numFmtId="9" fontId="5" fillId="0" borderId="8" xfId="0" applyNumberFormat="1" applyFont="1" applyFill="1" applyBorder="1" applyAlignment="1">
      <alignment vertical="center" wrapText="1"/>
    </xf>
    <xf numFmtId="10" fontId="5" fillId="0" borderId="3" xfId="0" applyNumberFormat="1" applyFont="1" applyBorder="1" applyAlignment="1">
      <alignment horizontal="center" vertical="center" wrapText="1"/>
    </xf>
    <xf numFmtId="0" fontId="5" fillId="0" borderId="1" xfId="0" applyFont="1" applyFill="1" applyBorder="1" applyAlignment="1">
      <alignment horizontal="justify" vertical="center" wrapText="1"/>
    </xf>
    <xf numFmtId="10"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7" fillId="0" borderId="0" xfId="0" applyFont="1" applyFill="1" applyBorder="1" applyAlignment="1">
      <alignment horizontal="right" vertical="center" wrapText="1"/>
    </xf>
    <xf numFmtId="0" fontId="5" fillId="0" borderId="0" xfId="0" applyFont="1" applyFill="1" applyBorder="1" applyAlignment="1">
      <alignment horizontal="justify" vertical="center" wrapText="1"/>
    </xf>
    <xf numFmtId="170" fontId="5" fillId="2" borderId="1" xfId="2" applyNumberFormat="1" applyFont="1" applyFill="1" applyBorder="1" applyAlignment="1">
      <alignment horizontal="justify" vertical="center"/>
    </xf>
    <xf numFmtId="170" fontId="5" fillId="0" borderId="7" xfId="2" applyNumberFormat="1" applyFont="1" applyFill="1" applyBorder="1" applyAlignment="1">
      <alignment horizontal="justify" vertical="center"/>
    </xf>
    <xf numFmtId="10" fontId="5" fillId="0" borderId="8" xfId="0" applyNumberFormat="1" applyFont="1" applyFill="1" applyBorder="1" applyAlignment="1">
      <alignment vertical="center" wrapText="1"/>
    </xf>
    <xf numFmtId="0" fontId="6" fillId="0" borderId="0" xfId="0" applyFont="1" applyFill="1" applyBorder="1" applyAlignment="1">
      <alignment horizontal="left" vertical="center" wrapText="1"/>
    </xf>
    <xf numFmtId="13" fontId="5" fillId="0" borderId="11" xfId="0" applyNumberFormat="1" applyFont="1" applyFill="1" applyBorder="1" applyAlignment="1">
      <alignment horizontal="center" vertical="center" wrapText="1"/>
    </xf>
    <xf numFmtId="10" fontId="5" fillId="0" borderId="8" xfId="0" applyNumberFormat="1" applyFont="1" applyBorder="1" applyAlignment="1">
      <alignment horizontal="center" vertical="center" wrapText="1"/>
    </xf>
    <xf numFmtId="0" fontId="6" fillId="0" borderId="0" xfId="0" applyFont="1" applyBorder="1" applyAlignment="1">
      <alignment horizontal="left" vertical="center" wrapText="1"/>
    </xf>
    <xf numFmtId="0" fontId="5" fillId="5" borderId="7" xfId="0" applyFont="1" applyFill="1" applyBorder="1" applyAlignment="1">
      <alignment horizontal="justify" vertical="center" wrapText="1"/>
    </xf>
    <xf numFmtId="3" fontId="5" fillId="5" borderId="3" xfId="0" applyNumberFormat="1" applyFont="1" applyFill="1" applyBorder="1" applyAlignment="1">
      <alignment horizontal="center" vertical="center"/>
    </xf>
    <xf numFmtId="170" fontId="5" fillId="0" borderId="3" xfId="2" applyNumberFormat="1" applyFont="1" applyFill="1" applyBorder="1" applyAlignment="1">
      <alignment vertical="center" wrapText="1"/>
    </xf>
    <xf numFmtId="0" fontId="5" fillId="7" borderId="3" xfId="0" applyFont="1" applyFill="1" applyBorder="1" applyAlignment="1">
      <alignment horizontal="right" vertical="center" wrapText="1"/>
    </xf>
    <xf numFmtId="172" fontId="5" fillId="7" borderId="3" xfId="1" applyNumberFormat="1" applyFont="1" applyFill="1" applyBorder="1" applyAlignment="1">
      <alignment horizontal="center" vertical="center" wrapText="1"/>
    </xf>
    <xf numFmtId="170" fontId="5" fillId="7" borderId="3" xfId="1" applyNumberFormat="1" applyFont="1" applyFill="1" applyBorder="1" applyAlignment="1">
      <alignment horizontal="right" vertical="center" wrapText="1"/>
    </xf>
    <xf numFmtId="3" fontId="5" fillId="2" borderId="3" xfId="0" applyNumberFormat="1" applyFont="1" applyFill="1" applyBorder="1" applyAlignment="1">
      <alignment horizontal="center" vertical="center"/>
    </xf>
    <xf numFmtId="170" fontId="5" fillId="2" borderId="3" xfId="2" applyNumberFormat="1" applyFont="1" applyFill="1" applyBorder="1" applyAlignment="1">
      <alignment horizontal="justify" vertical="center" wrapText="1"/>
    </xf>
    <xf numFmtId="172" fontId="5" fillId="0" borderId="3" xfId="1" applyNumberFormat="1" applyFont="1" applyBorder="1" applyAlignment="1">
      <alignment horizontal="center" vertical="center" wrapText="1"/>
    </xf>
    <xf numFmtId="0" fontId="5" fillId="0" borderId="5" xfId="0" applyFont="1" applyBorder="1" applyAlignment="1">
      <alignment horizontal="justify" vertical="center" wrapText="1"/>
    </xf>
    <xf numFmtId="167" fontId="5" fillId="7" borderId="3" xfId="1" applyFont="1" applyFill="1" applyBorder="1" applyAlignment="1">
      <alignment horizontal="justify" vertical="center" wrapText="1"/>
    </xf>
    <xf numFmtId="9" fontId="5" fillId="0" borderId="3" xfId="3" applyFont="1" applyFill="1" applyBorder="1" applyAlignment="1">
      <alignment horizontal="center" vertical="center" wrapText="1"/>
    </xf>
    <xf numFmtId="171" fontId="6" fillId="2" borderId="3" xfId="0" applyNumberFormat="1" applyFont="1" applyFill="1" applyBorder="1" applyAlignment="1">
      <alignment horizontal="right" vertical="center"/>
    </xf>
    <xf numFmtId="171" fontId="6" fillId="0" borderId="3" xfId="0" applyNumberFormat="1" applyFont="1" applyFill="1" applyBorder="1" applyAlignment="1">
      <alignment horizontal="right" vertical="center"/>
    </xf>
    <xf numFmtId="9" fontId="5" fillId="7" borderId="3" xfId="3" applyFont="1" applyFill="1" applyBorder="1" applyAlignment="1">
      <alignment horizontal="center" vertical="center" wrapText="1"/>
    </xf>
    <xf numFmtId="3" fontId="5" fillId="7" borderId="3" xfId="0" applyNumberFormat="1" applyFont="1" applyFill="1" applyBorder="1" applyAlignment="1">
      <alignment horizontal="right" vertical="center" wrapText="1"/>
    </xf>
    <xf numFmtId="3" fontId="5" fillId="0" borderId="3" xfId="0" applyNumberFormat="1" applyFont="1" applyBorder="1" applyAlignment="1">
      <alignment horizontal="center" vertical="center" wrapText="1"/>
    </xf>
    <xf numFmtId="3" fontId="6" fillId="0" borderId="4" xfId="0" applyNumberFormat="1" applyFont="1" applyFill="1" applyBorder="1" applyAlignment="1">
      <alignment horizontal="center" vertical="center"/>
    </xf>
    <xf numFmtId="170" fontId="6" fillId="2" borderId="3" xfId="0" applyNumberFormat="1" applyFont="1" applyFill="1" applyBorder="1" applyAlignment="1">
      <alignment horizontal="left" vertical="center" wrapText="1"/>
    </xf>
    <xf numFmtId="0" fontId="3" fillId="0" borderId="11"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5" fillId="0" borderId="3" xfId="0" applyFont="1" applyBorder="1" applyAlignment="1">
      <alignment horizontal="right" vertical="center" wrapText="1"/>
    </xf>
    <xf numFmtId="0" fontId="5" fillId="0" borderId="3" xfId="0" applyFont="1" applyFill="1" applyBorder="1" applyAlignment="1">
      <alignment horizontal="right" vertical="center" wrapText="1"/>
    </xf>
    <xf numFmtId="3" fontId="5" fillId="7" borderId="3"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5" fillId="5" borderId="2" xfId="0" applyFont="1" applyFill="1" applyBorder="1" applyAlignment="1">
      <alignment horizontal="right" vertical="center" wrapText="1"/>
    </xf>
    <xf numFmtId="0" fontId="5" fillId="5" borderId="3" xfId="0"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xf>
    <xf numFmtId="172" fontId="5" fillId="5" borderId="3" xfId="1" applyNumberFormat="1" applyFont="1" applyFill="1" applyBorder="1" applyAlignment="1">
      <alignment horizontal="center" vertical="center" wrapText="1"/>
    </xf>
    <xf numFmtId="0" fontId="6" fillId="0" borderId="0" xfId="0" applyFont="1" applyBorder="1" applyAlignment="1">
      <alignment horizontal="right"/>
    </xf>
    <xf numFmtId="49" fontId="5" fillId="10" borderId="2" xfId="0" applyNumberFormat="1" applyFont="1" applyFill="1" applyBorder="1" applyAlignment="1">
      <alignment horizontal="center" vertical="center" wrapText="1"/>
    </xf>
    <xf numFmtId="49" fontId="5" fillId="2" borderId="3" xfId="0" applyNumberFormat="1" applyFont="1" applyFill="1" applyBorder="1" applyAlignment="1">
      <alignment horizontal="justify" vertical="center" wrapText="1"/>
    </xf>
    <xf numFmtId="49" fontId="5" fillId="0" borderId="3" xfId="0" applyNumberFormat="1" applyFont="1" applyFill="1" applyBorder="1" applyAlignment="1">
      <alignment horizontal="justify" vertical="center" wrapText="1"/>
    </xf>
    <xf numFmtId="49" fontId="5" fillId="5" borderId="2" xfId="0" applyNumberFormat="1" applyFont="1" applyFill="1" applyBorder="1" applyAlignment="1">
      <alignment horizontal="justify" vertical="center" wrapText="1"/>
    </xf>
    <xf numFmtId="49" fontId="5" fillId="5" borderId="3" xfId="0" applyNumberFormat="1" applyFont="1" applyFill="1" applyBorder="1" applyAlignment="1">
      <alignment horizontal="center" vertical="center" wrapText="1"/>
    </xf>
    <xf numFmtId="49" fontId="5" fillId="5" borderId="3" xfId="0" applyNumberFormat="1" applyFont="1" applyFill="1" applyBorder="1" applyAlignment="1">
      <alignment horizontal="justify" vertical="center" wrapText="1"/>
    </xf>
    <xf numFmtId="0" fontId="6" fillId="2" borderId="0" xfId="0" applyFont="1" applyFill="1" applyBorder="1"/>
    <xf numFmtId="49" fontId="5" fillId="4" borderId="3" xfId="0" applyNumberFormat="1" applyFont="1" applyFill="1" applyBorder="1" applyAlignment="1">
      <alignment horizontal="justify" vertical="center" wrapText="1"/>
    </xf>
    <xf numFmtId="49" fontId="5" fillId="4" borderId="3" xfId="0" applyNumberFormat="1" applyFont="1" applyFill="1" applyBorder="1" applyAlignment="1">
      <alignment horizontal="center" vertical="center" wrapText="1"/>
    </xf>
    <xf numFmtId="10" fontId="5" fillId="4" borderId="3" xfId="0"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49" fontId="5" fillId="0" borderId="9" xfId="0" applyNumberFormat="1" applyFont="1" applyFill="1" applyBorder="1" applyAlignment="1">
      <alignment horizontal="justify" vertical="center" wrapText="1"/>
    </xf>
    <xf numFmtId="49" fontId="5" fillId="0" borderId="9" xfId="0" applyNumberFormat="1" applyFont="1" applyFill="1" applyBorder="1" applyAlignment="1">
      <alignment horizontal="center" vertical="center" wrapText="1"/>
    </xf>
    <xf numFmtId="49" fontId="5" fillId="10" borderId="4" xfId="0" applyNumberFormat="1" applyFont="1" applyFill="1" applyBorder="1" applyAlignment="1">
      <alignment vertical="center" wrapText="1"/>
    </xf>
    <xf numFmtId="49" fontId="5" fillId="10" borderId="11" xfId="0" applyNumberFormat="1" applyFont="1" applyFill="1" applyBorder="1" applyAlignment="1">
      <alignment vertical="center" wrapText="1"/>
    </xf>
    <xf numFmtId="0" fontId="5" fillId="2" borderId="2" xfId="0" applyFont="1" applyFill="1" applyBorder="1" applyAlignment="1">
      <alignment horizontal="center" vertical="center" wrapText="1"/>
    </xf>
    <xf numFmtId="170" fontId="5" fillId="2" borderId="5" xfId="2" applyNumberFormat="1" applyFont="1" applyFill="1" applyBorder="1" applyAlignment="1">
      <alignment horizontal="justify"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70" fontId="5" fillId="0" borderId="12" xfId="2" applyNumberFormat="1" applyFont="1" applyFill="1" applyBorder="1" applyAlignment="1">
      <alignment horizontal="justify" vertical="center"/>
    </xf>
    <xf numFmtId="49" fontId="5" fillId="0" borderId="11" xfId="0" applyNumberFormat="1" applyFont="1" applyFill="1" applyBorder="1" applyAlignment="1">
      <alignment vertical="center" wrapText="1"/>
    </xf>
    <xf numFmtId="0" fontId="8" fillId="2" borderId="3" xfId="0" applyFont="1" applyFill="1" applyBorder="1" applyAlignment="1">
      <alignment horizontal="justify" vertical="center" wrapText="1"/>
    </xf>
    <xf numFmtId="10" fontId="8" fillId="2" borderId="3" xfId="0" applyNumberFormat="1" applyFont="1" applyFill="1" applyBorder="1" applyAlignment="1">
      <alignment horizontal="center" vertical="center" wrapText="1"/>
    </xf>
    <xf numFmtId="9" fontId="6" fillId="0" borderId="3" xfId="0" applyNumberFormat="1" applyFont="1" applyBorder="1" applyAlignment="1">
      <alignment horizontal="center" vertical="center"/>
    </xf>
    <xf numFmtId="0" fontId="8" fillId="0" borderId="3" xfId="0" applyFont="1" applyFill="1" applyBorder="1" applyAlignment="1">
      <alignment horizontal="center" vertical="center" wrapText="1"/>
    </xf>
    <xf numFmtId="49" fontId="5" fillId="10" borderId="8" xfId="0" applyNumberFormat="1" applyFont="1" applyFill="1" applyBorder="1" applyAlignment="1">
      <alignment vertical="center" wrapText="1"/>
    </xf>
    <xf numFmtId="0" fontId="5" fillId="10" borderId="3" xfId="0" applyFont="1" applyFill="1" applyBorder="1" applyAlignment="1">
      <alignment horizontal="justify" vertical="center" wrapText="1"/>
    </xf>
    <xf numFmtId="0" fontId="8" fillId="0" borderId="3" xfId="0" applyFont="1" applyFill="1" applyBorder="1" applyAlignment="1">
      <alignment horizontal="center" vertical="center"/>
    </xf>
    <xf numFmtId="9" fontId="8" fillId="0" borderId="3" xfId="0" applyNumberFormat="1" applyFont="1" applyFill="1" applyBorder="1" applyAlignment="1">
      <alignment horizontal="center" vertical="center"/>
    </xf>
    <xf numFmtId="9" fontId="8" fillId="0" borderId="3" xfId="0" applyNumberFormat="1" applyFont="1" applyFill="1" applyBorder="1" applyAlignment="1">
      <alignment horizontal="center" vertical="center" wrapText="1"/>
    </xf>
    <xf numFmtId="49" fontId="5" fillId="10" borderId="3" xfId="0" applyNumberFormat="1" applyFont="1" applyFill="1" applyBorder="1" applyAlignment="1">
      <alignment horizontal="center" vertical="center" wrapText="1"/>
    </xf>
    <xf numFmtId="0" fontId="5" fillId="7" borderId="3" xfId="0" applyFont="1" applyFill="1" applyBorder="1" applyAlignment="1">
      <alignment vertical="center" wrapText="1"/>
    </xf>
    <xf numFmtId="0" fontId="5" fillId="5" borderId="3" xfId="0" applyFont="1" applyFill="1" applyBorder="1" applyAlignment="1">
      <alignment vertical="center" wrapText="1"/>
    </xf>
    <xf numFmtId="0" fontId="5" fillId="4" borderId="3" xfId="0" applyFont="1" applyFill="1" applyBorder="1" applyAlignment="1">
      <alignment vertical="center" wrapText="1"/>
    </xf>
    <xf numFmtId="0" fontId="5" fillId="8" borderId="3" xfId="0" applyFont="1" applyFill="1" applyBorder="1" applyAlignment="1">
      <alignment horizontal="justify" vertical="center"/>
    </xf>
    <xf numFmtId="170" fontId="4" fillId="8" borderId="3" xfId="2" applyNumberFormat="1" applyFont="1" applyFill="1" applyBorder="1" applyAlignment="1">
      <alignment horizontal="justify" vertical="center"/>
    </xf>
    <xf numFmtId="172" fontId="5" fillId="0" borderId="2" xfId="1" applyNumberFormat="1" applyFont="1" applyFill="1" applyBorder="1" applyAlignment="1">
      <alignment horizontal="justify" vertical="center"/>
    </xf>
    <xf numFmtId="9" fontId="8"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xf>
    <xf numFmtId="0" fontId="10" fillId="0" borderId="0" xfId="0" applyFont="1" applyBorder="1"/>
    <xf numFmtId="0" fontId="5" fillId="7" borderId="8" xfId="0" applyFont="1" applyFill="1" applyBorder="1" applyAlignment="1">
      <alignment horizontal="justify" vertical="center" wrapText="1"/>
    </xf>
    <xf numFmtId="0" fontId="5" fillId="7" borderId="8" xfId="0" applyFont="1" applyFill="1" applyBorder="1" applyAlignment="1">
      <alignment horizontal="center" vertical="center" wrapText="1"/>
    </xf>
    <xf numFmtId="0" fontId="6" fillId="0" borderId="4" xfId="0" applyFont="1" applyBorder="1" applyAlignment="1">
      <alignment horizontal="center"/>
    </xf>
    <xf numFmtId="0" fontId="6" fillId="0" borderId="4" xfId="0" applyFont="1" applyBorder="1"/>
    <xf numFmtId="172" fontId="5" fillId="0" borderId="3" xfId="1" applyNumberFormat="1" applyFont="1" applyBorder="1" applyAlignment="1">
      <alignment horizontal="center" vertical="center"/>
    </xf>
    <xf numFmtId="170" fontId="5" fillId="0" borderId="3" xfId="2" applyNumberFormat="1" applyFont="1" applyBorder="1" applyAlignment="1">
      <alignment vertical="center"/>
    </xf>
    <xf numFmtId="3" fontId="5" fillId="2" borderId="3"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176" fontId="5" fillId="0" borderId="3" xfId="0" applyNumberFormat="1" applyFont="1" applyFill="1" applyBorder="1" applyAlignment="1">
      <alignment horizontal="center" vertical="center" wrapText="1"/>
    </xf>
    <xf numFmtId="37" fontId="5" fillId="0" borderId="3" xfId="1" applyNumberFormat="1" applyFont="1" applyFill="1" applyBorder="1" applyAlignment="1">
      <alignment horizontal="center" vertical="center"/>
    </xf>
    <xf numFmtId="0" fontId="16" fillId="2" borderId="3" xfId="0" applyFont="1" applyFill="1" applyBorder="1" applyAlignment="1">
      <alignment horizontal="justify" vertical="center" wrapText="1"/>
    </xf>
    <xf numFmtId="9" fontId="8" fillId="2" borderId="3" xfId="0" applyNumberFormat="1" applyFont="1" applyFill="1" applyBorder="1" applyAlignment="1">
      <alignment horizontal="center" vertical="center"/>
    </xf>
    <xf numFmtId="10" fontId="8" fillId="0" borderId="3" xfId="0" applyNumberFormat="1" applyFont="1" applyFill="1" applyBorder="1" applyAlignment="1">
      <alignment horizontal="center" vertical="center" wrapText="1"/>
    </xf>
    <xf numFmtId="0" fontId="5" fillId="7" borderId="3" xfId="2" applyNumberFormat="1" applyFont="1" applyFill="1" applyBorder="1" applyAlignment="1">
      <alignment horizontal="center" vertical="center" wrapText="1"/>
    </xf>
    <xf numFmtId="0" fontId="5" fillId="0" borderId="4" xfId="0" applyFont="1" applyFill="1" applyBorder="1" applyAlignment="1">
      <alignment vertical="center"/>
    </xf>
    <xf numFmtId="1" fontId="5" fillId="0" borderId="3" xfId="3" applyNumberFormat="1" applyFont="1" applyFill="1" applyBorder="1" applyAlignment="1">
      <alignment horizontal="center" vertical="center" wrapText="1"/>
    </xf>
    <xf numFmtId="0" fontId="8" fillId="0" borderId="4" xfId="0" applyFont="1" applyFill="1" applyBorder="1" applyAlignment="1">
      <alignment vertical="center" wrapText="1"/>
    </xf>
    <xf numFmtId="9" fontId="8" fillId="0" borderId="4" xfId="0" applyNumberFormat="1" applyFont="1" applyFill="1" applyBorder="1" applyAlignment="1">
      <alignment vertical="center" wrapText="1"/>
    </xf>
    <xf numFmtId="9" fontId="5" fillId="0" borderId="4" xfId="0" applyNumberFormat="1" applyFont="1" applyFill="1" applyBorder="1" applyAlignment="1">
      <alignment vertical="center" wrapText="1"/>
    </xf>
    <xf numFmtId="0" fontId="5" fillId="2" borderId="9" xfId="0" applyFont="1" applyFill="1" applyBorder="1" applyAlignment="1">
      <alignment horizontal="center" vertical="center" wrapText="1"/>
    </xf>
    <xf numFmtId="0" fontId="8" fillId="2" borderId="3" xfId="0" applyFont="1" applyFill="1" applyBorder="1" applyAlignment="1">
      <alignment vertical="center" wrapText="1"/>
    </xf>
    <xf numFmtId="1" fontId="5" fillId="0" borderId="3" xfId="0" applyNumberFormat="1" applyFont="1" applyFill="1" applyBorder="1" applyAlignment="1">
      <alignment horizontal="center" vertical="center" wrapText="1"/>
    </xf>
    <xf numFmtId="0" fontId="8" fillId="0" borderId="3" xfId="0" applyFont="1" applyFill="1" applyBorder="1" applyAlignment="1">
      <alignment vertical="center" wrapText="1"/>
    </xf>
    <xf numFmtId="43" fontId="5" fillId="0" borderId="3" xfId="2" applyNumberFormat="1" applyFont="1" applyFill="1" applyBorder="1" applyAlignment="1">
      <alignment horizontal="justify" vertical="center"/>
    </xf>
    <xf numFmtId="0" fontId="6" fillId="0" borderId="3" xfId="0" applyFont="1" applyBorder="1"/>
    <xf numFmtId="9" fontId="5" fillId="2" borderId="3"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7" borderId="3" xfId="0" applyNumberFormat="1" applyFont="1" applyFill="1" applyBorder="1" applyAlignment="1">
      <alignment horizontal="center" vertical="center" wrapText="1"/>
    </xf>
    <xf numFmtId="1" fontId="5" fillId="5" borderId="3" xfId="0" applyNumberFormat="1" applyFont="1" applyFill="1" applyBorder="1" applyAlignment="1">
      <alignment horizontal="center" vertical="center" wrapText="1"/>
    </xf>
    <xf numFmtId="170" fontId="5" fillId="7" borderId="5" xfId="2" applyNumberFormat="1" applyFont="1" applyFill="1" applyBorder="1" applyAlignment="1">
      <alignment horizontal="justify" vertical="center"/>
    </xf>
    <xf numFmtId="0" fontId="3" fillId="7" borderId="3" xfId="0" applyFont="1" applyFill="1" applyBorder="1" applyAlignment="1">
      <alignment vertical="center"/>
    </xf>
    <xf numFmtId="176" fontId="5" fillId="0" borderId="3" xfId="3" applyNumberFormat="1" applyFont="1" applyFill="1" applyBorder="1" applyAlignment="1">
      <alignment horizontal="center" vertical="center" wrapText="1"/>
    </xf>
    <xf numFmtId="3" fontId="5" fillId="2" borderId="3" xfId="0" applyNumberFormat="1" applyFont="1" applyFill="1" applyBorder="1" applyAlignment="1">
      <alignment horizontal="right" vertical="center" wrapText="1"/>
    </xf>
    <xf numFmtId="170" fontId="5" fillId="0" borderId="3" xfId="2" applyNumberFormat="1" applyFont="1" applyFill="1" applyBorder="1" applyAlignment="1">
      <alignment horizontal="right" vertical="center"/>
    </xf>
    <xf numFmtId="0" fontId="3" fillId="5" borderId="3" xfId="0" applyFont="1" applyFill="1" applyBorder="1" applyAlignment="1">
      <alignment vertical="center"/>
    </xf>
    <xf numFmtId="1" fontId="8" fillId="2" borderId="3" xfId="0" applyNumberFormat="1" applyFont="1" applyFill="1" applyBorder="1" applyAlignment="1">
      <alignment horizontal="center" vertical="center" wrapText="1"/>
    </xf>
    <xf numFmtId="9" fontId="5" fillId="2" borderId="3" xfId="3" applyFont="1" applyFill="1" applyBorder="1" applyAlignment="1">
      <alignment horizontal="center" vertical="center" wrapText="1"/>
    </xf>
    <xf numFmtId="0" fontId="5" fillId="13" borderId="3" xfId="0" applyFont="1" applyFill="1" applyBorder="1" applyAlignment="1">
      <alignment horizontal="center" vertical="center" wrapText="1"/>
    </xf>
    <xf numFmtId="170" fontId="3" fillId="13" borderId="3" xfId="2" applyNumberFormat="1" applyFont="1" applyFill="1" applyBorder="1" applyAlignment="1">
      <alignment horizontal="justify" vertical="center"/>
    </xf>
    <xf numFmtId="0" fontId="5" fillId="2" borderId="0" xfId="0" applyFont="1" applyFill="1" applyBorder="1" applyAlignment="1">
      <alignment horizontal="justify"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right" vertical="center" wrapText="1"/>
    </xf>
    <xf numFmtId="170" fontId="3" fillId="2" borderId="0" xfId="2" applyNumberFormat="1" applyFont="1" applyFill="1" applyBorder="1" applyAlignment="1">
      <alignment horizontal="justify" vertical="center"/>
    </xf>
    <xf numFmtId="172" fontId="3" fillId="2" borderId="0" xfId="1" applyNumberFormat="1" applyFont="1" applyFill="1" applyBorder="1" applyAlignment="1">
      <alignment horizontal="center" vertical="center"/>
    </xf>
    <xf numFmtId="0" fontId="17" fillId="3" borderId="5" xfId="0" applyFont="1" applyFill="1" applyBorder="1" applyAlignment="1">
      <alignment horizontal="left" vertical="center"/>
    </xf>
    <xf numFmtId="0" fontId="17" fillId="3" borderId="9" xfId="0" applyFont="1" applyFill="1" applyBorder="1" applyAlignment="1">
      <alignment horizontal="left" vertical="center"/>
    </xf>
    <xf numFmtId="0" fontId="17" fillId="3" borderId="9" xfId="0" applyFont="1" applyFill="1" applyBorder="1" applyAlignment="1">
      <alignment horizontal="center" vertical="center"/>
    </xf>
    <xf numFmtId="172" fontId="17" fillId="3" borderId="9" xfId="1" applyNumberFormat="1" applyFont="1" applyFill="1" applyBorder="1" applyAlignment="1">
      <alignment horizontal="center" vertical="center"/>
    </xf>
    <xf numFmtId="0" fontId="17" fillId="3" borderId="9" xfId="0" applyFont="1" applyFill="1" applyBorder="1" applyAlignment="1">
      <alignment vertical="center"/>
    </xf>
    <xf numFmtId="0" fontId="3" fillId="4" borderId="3" xfId="0" applyFont="1" applyFill="1" applyBorder="1" applyAlignment="1">
      <alignment vertical="center"/>
    </xf>
    <xf numFmtId="172" fontId="8" fillId="0" borderId="3" xfId="1" applyNumberFormat="1" applyFont="1" applyFill="1" applyBorder="1" applyAlignment="1">
      <alignment horizontal="center" vertical="center"/>
    </xf>
    <xf numFmtId="170" fontId="6" fillId="0" borderId="3" xfId="2" applyNumberFormat="1" applyFont="1" applyFill="1" applyBorder="1" applyAlignment="1">
      <alignment horizontal="justify" vertical="center"/>
    </xf>
    <xf numFmtId="3" fontId="5" fillId="6" borderId="3" xfId="0" applyNumberFormat="1" applyFont="1" applyFill="1" applyBorder="1" applyAlignment="1">
      <alignment horizontal="center" vertical="center"/>
    </xf>
    <xf numFmtId="3" fontId="5" fillId="7" borderId="5" xfId="0" applyNumberFormat="1" applyFont="1" applyFill="1" applyBorder="1" applyAlignment="1">
      <alignment horizontal="center" vertical="center"/>
    </xf>
    <xf numFmtId="0" fontId="6" fillId="0" borderId="3" xfId="0" applyFont="1" applyFill="1" applyBorder="1" applyAlignment="1">
      <alignment horizontal="justify" vertical="center"/>
    </xf>
    <xf numFmtId="0" fontId="7" fillId="5" borderId="3" xfId="0" applyFont="1" applyFill="1" applyBorder="1" applyAlignment="1">
      <alignment horizontal="right" vertical="center"/>
    </xf>
    <xf numFmtId="0" fontId="5" fillId="5" borderId="3" xfId="0" applyFont="1" applyFill="1" applyBorder="1" applyAlignment="1">
      <alignment horizontal="justify" vertical="center"/>
    </xf>
    <xf numFmtId="0" fontId="3" fillId="5" borderId="9" xfId="0" applyNumberFormat="1" applyFont="1" applyFill="1" applyBorder="1" applyAlignment="1">
      <alignment horizontal="justify" vertical="center" wrapText="1"/>
    </xf>
    <xf numFmtId="3" fontId="5" fillId="0" borderId="3" xfId="2" applyNumberFormat="1" applyFont="1" applyFill="1" applyBorder="1" applyAlignment="1">
      <alignment horizontal="right" vertical="center"/>
    </xf>
    <xf numFmtId="0" fontId="5" fillId="7" borderId="4" xfId="0" applyFont="1" applyFill="1" applyBorder="1" applyAlignment="1">
      <alignment horizontal="center" vertical="center"/>
    </xf>
    <xf numFmtId="0" fontId="7" fillId="7" borderId="4" xfId="0" applyFont="1" applyFill="1" applyBorder="1" applyAlignment="1">
      <alignment horizontal="right" vertical="center"/>
    </xf>
    <xf numFmtId="0" fontId="5" fillId="7" borderId="4" xfId="0" applyFont="1" applyFill="1" applyBorder="1" applyAlignment="1">
      <alignment horizontal="justify" vertical="center"/>
    </xf>
    <xf numFmtId="172" fontId="5" fillId="7" borderId="4" xfId="1" applyNumberFormat="1" applyFont="1" applyFill="1" applyBorder="1" applyAlignment="1">
      <alignment horizontal="center" vertical="center"/>
    </xf>
    <xf numFmtId="170" fontId="5" fillId="7" borderId="4" xfId="2" applyNumberFormat="1" applyFont="1" applyFill="1" applyBorder="1" applyAlignment="1">
      <alignment vertical="center"/>
    </xf>
    <xf numFmtId="170" fontId="5" fillId="2" borderId="4" xfId="2" applyNumberFormat="1" applyFont="1" applyFill="1" applyBorder="1" applyAlignment="1">
      <alignment horizontal="justify" vertical="center"/>
    </xf>
    <xf numFmtId="3" fontId="5" fillId="0" borderId="4" xfId="0" applyNumberFormat="1" applyFont="1" applyFill="1" applyBorder="1" applyAlignment="1">
      <alignment horizontal="right" vertical="center"/>
    </xf>
    <xf numFmtId="0" fontId="5" fillId="5" borderId="4" xfId="0" applyFont="1" applyFill="1" applyBorder="1" applyAlignment="1">
      <alignment horizontal="center" vertical="center"/>
    </xf>
    <xf numFmtId="0" fontId="7" fillId="5" borderId="4" xfId="0" applyFont="1" applyFill="1" applyBorder="1" applyAlignment="1">
      <alignment horizontal="right" vertical="center"/>
    </xf>
    <xf numFmtId="0" fontId="5" fillId="5" borderId="4" xfId="0" applyFont="1" applyFill="1" applyBorder="1" applyAlignment="1">
      <alignment horizontal="justify" vertical="center"/>
    </xf>
    <xf numFmtId="172" fontId="5" fillId="5" borderId="4" xfId="1" applyNumberFormat="1" applyFont="1" applyFill="1" applyBorder="1" applyAlignment="1">
      <alignment horizontal="center" vertical="center"/>
    </xf>
    <xf numFmtId="170" fontId="5" fillId="5" borderId="4" xfId="2" applyNumberFormat="1" applyFont="1" applyFill="1" applyBorder="1" applyAlignment="1">
      <alignment vertical="center"/>
    </xf>
    <xf numFmtId="1" fontId="3" fillId="5" borderId="9" xfId="0" applyNumberFormat="1" applyFont="1" applyFill="1" applyBorder="1" applyAlignment="1">
      <alignment horizontal="justify" vertical="center" wrapText="1"/>
    </xf>
    <xf numFmtId="0" fontId="6" fillId="2" borderId="3" xfId="0" applyFont="1" applyFill="1" applyBorder="1" applyAlignment="1">
      <alignment horizontal="justify" vertical="center" wrapText="1"/>
    </xf>
    <xf numFmtId="172" fontId="5" fillId="7" borderId="3" xfId="1" applyNumberFormat="1" applyFont="1" applyFill="1" applyBorder="1" applyAlignment="1">
      <alignment horizontal="justify" vertical="center"/>
    </xf>
    <xf numFmtId="172" fontId="5" fillId="5" borderId="3" xfId="1" applyNumberFormat="1" applyFont="1" applyFill="1" applyBorder="1" applyAlignment="1">
      <alignment horizontal="justify" vertical="center"/>
    </xf>
    <xf numFmtId="0" fontId="7" fillId="4" borderId="3" xfId="0" applyFont="1" applyFill="1" applyBorder="1" applyAlignment="1">
      <alignment horizontal="right" vertical="center"/>
    </xf>
    <xf numFmtId="0" fontId="5" fillId="4" borderId="3" xfId="0" applyFont="1" applyFill="1" applyBorder="1" applyAlignment="1">
      <alignment horizontal="justify" vertical="center"/>
    </xf>
    <xf numFmtId="172" fontId="5" fillId="4" borderId="3" xfId="1" applyNumberFormat="1" applyFont="1" applyFill="1" applyBorder="1" applyAlignment="1">
      <alignment horizontal="justify" vertical="center"/>
    </xf>
    <xf numFmtId="0" fontId="7" fillId="8" borderId="3" xfId="0" applyFont="1" applyFill="1" applyBorder="1" applyAlignment="1">
      <alignment horizontal="right" vertical="center"/>
    </xf>
    <xf numFmtId="172" fontId="5" fillId="8" borderId="3" xfId="1" applyNumberFormat="1" applyFont="1" applyFill="1" applyBorder="1" applyAlignment="1">
      <alignment horizontal="justify" vertical="center"/>
    </xf>
    <xf numFmtId="0" fontId="5" fillId="2" borderId="0" xfId="0" applyFont="1" applyFill="1" applyBorder="1" applyAlignment="1">
      <alignment vertical="center" wrapText="1"/>
    </xf>
    <xf numFmtId="172" fontId="5" fillId="2" borderId="0" xfId="1" applyNumberFormat="1" applyFont="1" applyFill="1" applyBorder="1" applyAlignment="1">
      <alignment horizontal="center" vertical="center" wrapText="1"/>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170" fontId="9" fillId="3" borderId="3" xfId="0" applyNumberFormat="1" applyFont="1" applyFill="1" applyBorder="1" applyAlignment="1">
      <alignment horizontal="left" vertical="center"/>
    </xf>
    <xf numFmtId="0" fontId="3" fillId="4" borderId="9" xfId="0" applyFont="1" applyFill="1" applyBorder="1" applyAlignment="1">
      <alignment vertical="center" wrapText="1"/>
    </xf>
    <xf numFmtId="0" fontId="3" fillId="4" borderId="9" xfId="0" applyFont="1" applyFill="1" applyBorder="1" applyAlignment="1">
      <alignment horizontal="center" vertical="center" wrapText="1"/>
    </xf>
    <xf numFmtId="0" fontId="4" fillId="4" borderId="9" xfId="0" applyFont="1" applyFill="1" applyBorder="1" applyAlignment="1">
      <alignment horizontal="right" vertical="center" wrapText="1"/>
    </xf>
    <xf numFmtId="172" fontId="3" fillId="4" borderId="9" xfId="1" applyNumberFormat="1" applyFont="1" applyFill="1" applyBorder="1" applyAlignment="1">
      <alignment horizontal="center" vertical="center" wrapText="1"/>
    </xf>
    <xf numFmtId="0" fontId="3" fillId="0" borderId="3" xfId="0" applyFont="1" applyFill="1" applyBorder="1" applyAlignment="1">
      <alignment vertical="center"/>
    </xf>
    <xf numFmtId="0" fontId="3" fillId="5" borderId="9" xfId="0" applyFont="1" applyFill="1" applyBorder="1" applyAlignment="1">
      <alignment vertical="center" wrapText="1"/>
    </xf>
    <xf numFmtId="0" fontId="3" fillId="5" borderId="9" xfId="0" applyFont="1" applyFill="1" applyBorder="1" applyAlignment="1">
      <alignment horizontal="center" vertical="center" wrapText="1"/>
    </xf>
    <xf numFmtId="0" fontId="4" fillId="5" borderId="9" xfId="0" applyFont="1" applyFill="1" applyBorder="1" applyAlignment="1">
      <alignment horizontal="right" vertical="center" wrapText="1"/>
    </xf>
    <xf numFmtId="172" fontId="3" fillId="5" borderId="9" xfId="1" applyNumberFormat="1" applyFont="1" applyFill="1" applyBorder="1" applyAlignment="1">
      <alignment horizontal="center" vertical="center" wrapText="1"/>
    </xf>
    <xf numFmtId="0" fontId="3" fillId="5" borderId="3" xfId="0" applyFont="1" applyFill="1" applyBorder="1" applyAlignment="1">
      <alignment vertical="center" wrapText="1"/>
    </xf>
    <xf numFmtId="43" fontId="6" fillId="2" borderId="5" xfId="2" applyFont="1" applyFill="1" applyBorder="1"/>
    <xf numFmtId="172" fontId="19" fillId="0" borderId="15" xfId="1" applyNumberFormat="1" applyFont="1" applyFill="1" applyBorder="1" applyAlignment="1">
      <alignment horizontal="center" vertical="center" wrapText="1"/>
    </xf>
    <xf numFmtId="173" fontId="19" fillId="0" borderId="4" xfId="0" applyNumberFormat="1" applyFont="1" applyFill="1" applyBorder="1" applyAlignment="1">
      <alignment horizontal="center" vertical="center" wrapText="1"/>
    </xf>
    <xf numFmtId="170" fontId="5" fillId="4" borderId="5" xfId="2" applyNumberFormat="1" applyFont="1" applyFill="1" applyBorder="1" applyAlignment="1">
      <alignment horizontal="justify" vertical="center"/>
    </xf>
    <xf numFmtId="0" fontId="5" fillId="8" borderId="2" xfId="0" applyFont="1" applyFill="1" applyBorder="1" applyAlignment="1">
      <alignment horizontal="justify" vertical="center" wrapText="1"/>
    </xf>
    <xf numFmtId="0" fontId="5" fillId="2" borderId="0" xfId="0" applyNumberFormat="1" applyFont="1" applyFill="1" applyBorder="1" applyAlignment="1">
      <alignment horizontal="center" vertical="center" wrapText="1"/>
    </xf>
    <xf numFmtId="172" fontId="5" fillId="2" borderId="0" xfId="1" applyNumberFormat="1" applyFont="1" applyFill="1" applyBorder="1" applyAlignment="1">
      <alignment horizontal="center" vertical="center"/>
    </xf>
    <xf numFmtId="0" fontId="5"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5" fillId="14" borderId="3" xfId="0" applyFont="1" applyFill="1" applyBorder="1" applyAlignment="1">
      <alignment horizontal="justify" vertical="center" wrapText="1"/>
    </xf>
    <xf numFmtId="0" fontId="5" fillId="14" borderId="3" xfId="0" applyFont="1" applyFill="1" applyBorder="1" applyAlignment="1">
      <alignment horizontal="center" vertical="center" wrapText="1"/>
    </xf>
    <xf numFmtId="0" fontId="5" fillId="14" borderId="2" xfId="0" applyFont="1" applyFill="1" applyBorder="1" applyAlignment="1">
      <alignment horizontal="justify" vertical="center" wrapText="1"/>
    </xf>
    <xf numFmtId="0" fontId="5" fillId="14" borderId="3" xfId="0" applyNumberFormat="1" applyFont="1" applyFill="1" applyBorder="1" applyAlignment="1">
      <alignment horizontal="center" vertical="center"/>
    </xf>
    <xf numFmtId="0" fontId="7" fillId="14" borderId="3" xfId="0" applyFont="1" applyFill="1" applyBorder="1" applyAlignment="1">
      <alignment horizontal="right" vertical="center" wrapText="1"/>
    </xf>
    <xf numFmtId="170" fontId="5" fillId="14" borderId="3" xfId="2" applyNumberFormat="1" applyFont="1" applyFill="1" applyBorder="1" applyAlignment="1">
      <alignment horizontal="justify" vertical="center"/>
    </xf>
    <xf numFmtId="172" fontId="5" fillId="14" borderId="3" xfId="1" applyNumberFormat="1" applyFont="1" applyFill="1" applyBorder="1" applyAlignment="1">
      <alignment horizontal="center" vertical="center"/>
    </xf>
    <xf numFmtId="0" fontId="6" fillId="0" borderId="0" xfId="0" applyFont="1" applyBorder="1" applyAlignment="1">
      <alignment horizontal="justify" wrapText="1"/>
    </xf>
    <xf numFmtId="0" fontId="6" fillId="0" borderId="0" xfId="0" applyFont="1" applyBorder="1" applyAlignment="1">
      <alignment horizontal="center" wrapText="1"/>
    </xf>
    <xf numFmtId="0" fontId="6" fillId="0" borderId="0" xfId="0" applyFont="1" applyBorder="1" applyAlignment="1">
      <alignment wrapText="1"/>
    </xf>
    <xf numFmtId="0" fontId="6" fillId="0" borderId="0"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xf>
    <xf numFmtId="0" fontId="6" fillId="0" borderId="0" xfId="0" applyNumberFormat="1" applyFont="1" applyBorder="1" applyAlignment="1">
      <alignment horizontal="center" vertical="center"/>
    </xf>
    <xf numFmtId="0" fontId="6" fillId="0" borderId="0" xfId="0" applyFont="1" applyFill="1" applyBorder="1" applyAlignment="1">
      <alignment horizontal="justify" vertical="center" wrapText="1"/>
    </xf>
    <xf numFmtId="170" fontId="6" fillId="0" borderId="0" xfId="2" applyNumberFormat="1" applyFont="1" applyBorder="1"/>
    <xf numFmtId="170" fontId="6" fillId="2" borderId="0" xfId="2" applyNumberFormat="1" applyFont="1" applyFill="1" applyBorder="1"/>
    <xf numFmtId="172" fontId="6" fillId="0" borderId="0" xfId="1" applyNumberFormat="1" applyFont="1" applyBorder="1" applyAlignment="1">
      <alignment horizontal="center"/>
    </xf>
    <xf numFmtId="170" fontId="6" fillId="0" borderId="0" xfId="2" applyNumberFormat="1" applyFont="1" applyBorder="1" applyAlignment="1"/>
    <xf numFmtId="0" fontId="7" fillId="0" borderId="0" xfId="0" applyFont="1" applyAlignment="1">
      <alignment horizontal="right"/>
    </xf>
    <xf numFmtId="0" fontId="6" fillId="2" borderId="0" xfId="0" applyFont="1" applyFill="1"/>
    <xf numFmtId="172" fontId="6" fillId="0" borderId="0" xfId="1" applyNumberFormat="1" applyFont="1" applyAlignment="1">
      <alignment horizontal="center"/>
    </xf>
    <xf numFmtId="170" fontId="6" fillId="0" borderId="0" xfId="0" applyNumberFormat="1" applyFont="1"/>
    <xf numFmtId="170" fontId="5" fillId="0" borderId="4" xfId="1" applyNumberFormat="1" applyFont="1" applyFill="1" applyBorder="1" applyAlignment="1">
      <alignment horizontal="center" vertical="center"/>
    </xf>
    <xf numFmtId="3" fontId="5" fillId="7" borderId="8" xfId="0" applyNumberFormat="1" applyFont="1" applyFill="1" applyBorder="1" applyAlignment="1">
      <alignment horizontal="center" vertical="center" wrapText="1"/>
    </xf>
    <xf numFmtId="3" fontId="5" fillId="7" borderId="8" xfId="0" applyNumberFormat="1" applyFont="1" applyFill="1" applyBorder="1" applyAlignment="1">
      <alignment horizontal="center" vertical="center"/>
    </xf>
    <xf numFmtId="0" fontId="7" fillId="7" borderId="8" xfId="0" applyFont="1" applyFill="1" applyBorder="1" applyAlignment="1">
      <alignment horizontal="right" vertical="center" wrapText="1"/>
    </xf>
    <xf numFmtId="170" fontId="5" fillId="7" borderId="8" xfId="2" applyNumberFormat="1" applyFont="1" applyFill="1" applyBorder="1" applyAlignment="1">
      <alignment horizontal="justify" vertical="center"/>
    </xf>
    <xf numFmtId="172" fontId="5" fillId="7" borderId="8" xfId="1" applyNumberFormat="1" applyFont="1" applyFill="1" applyBorder="1" applyAlignment="1">
      <alignment horizontal="center" vertical="center"/>
    </xf>
    <xf numFmtId="0" fontId="3" fillId="0" borderId="4" xfId="0" applyFont="1" applyFill="1" applyBorder="1" applyAlignment="1">
      <alignment vertical="center"/>
    </xf>
    <xf numFmtId="0" fontId="3" fillId="0" borderId="11" xfId="0" applyFont="1" applyFill="1" applyBorder="1" applyAlignment="1">
      <alignment vertical="center"/>
    </xf>
    <xf numFmtId="0" fontId="3" fillId="0" borderId="8" xfId="0" applyFont="1" applyFill="1" applyBorder="1" applyAlignment="1">
      <alignment vertical="center"/>
    </xf>
    <xf numFmtId="0" fontId="3" fillId="7" borderId="1" xfId="0" applyFont="1" applyFill="1" applyBorder="1" applyAlignment="1">
      <alignment vertical="center"/>
    </xf>
    <xf numFmtId="0" fontId="3" fillId="6" borderId="3" xfId="0" applyFont="1" applyFill="1" applyBorder="1" applyAlignment="1">
      <alignment vertical="center" wrapText="1"/>
    </xf>
    <xf numFmtId="10" fontId="5" fillId="6" borderId="3" xfId="0" applyNumberFormat="1" applyFont="1" applyFill="1" applyBorder="1" applyAlignment="1">
      <alignment horizontal="center" vertical="center" wrapText="1"/>
    </xf>
    <xf numFmtId="9" fontId="5" fillId="6" borderId="3" xfId="0" applyNumberFormat="1" applyFont="1" applyFill="1" applyBorder="1" applyAlignment="1">
      <alignment horizontal="center" vertical="center" wrapText="1"/>
    </xf>
    <xf numFmtId="0" fontId="5" fillId="6" borderId="5" xfId="1" applyNumberFormat="1" applyFont="1" applyFill="1" applyBorder="1" applyAlignment="1">
      <alignment horizontal="center" vertical="center" wrapText="1"/>
    </xf>
    <xf numFmtId="0" fontId="5" fillId="6" borderId="9" xfId="0" applyFont="1" applyFill="1" applyBorder="1" applyAlignment="1">
      <alignment horizontal="justify" vertical="center" wrapText="1"/>
    </xf>
    <xf numFmtId="0" fontId="5" fillId="6" borderId="9" xfId="0" applyNumberFormat="1" applyFont="1" applyFill="1" applyBorder="1" applyAlignment="1">
      <alignment horizontal="center" vertical="center" wrapText="1"/>
    </xf>
    <xf numFmtId="170" fontId="5" fillId="6" borderId="9" xfId="0" applyNumberFormat="1" applyFont="1" applyFill="1" applyBorder="1" applyAlignment="1">
      <alignment horizontal="justify" vertical="center" wrapText="1"/>
    </xf>
    <xf numFmtId="0" fontId="5" fillId="6" borderId="9" xfId="0" applyFont="1" applyFill="1" applyBorder="1" applyAlignment="1">
      <alignment horizontal="center" vertical="center" wrapText="1"/>
    </xf>
    <xf numFmtId="0" fontId="5" fillId="0" borderId="6" xfId="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Border="1" applyAlignment="1">
      <alignment horizontal="right" vertical="center"/>
    </xf>
    <xf numFmtId="170" fontId="5" fillId="0" borderId="1" xfId="0" applyNumberFormat="1" applyFont="1" applyFill="1" applyBorder="1" applyAlignment="1">
      <alignment horizontal="justify" vertical="center" wrapText="1"/>
    </xf>
    <xf numFmtId="170" fontId="5" fillId="0" borderId="1" xfId="1" applyNumberFormat="1" applyFont="1" applyFill="1" applyBorder="1" applyAlignment="1">
      <alignment horizontal="center" vertical="center"/>
    </xf>
    <xf numFmtId="0" fontId="5" fillId="6" borderId="2" xfId="0" applyFont="1" applyFill="1" applyBorder="1" applyAlignment="1">
      <alignment vertical="center" wrapText="1"/>
    </xf>
    <xf numFmtId="0" fontId="7" fillId="6" borderId="9" xfId="0" applyFont="1" applyFill="1" applyBorder="1" applyAlignment="1">
      <alignment horizontal="right" vertical="center"/>
    </xf>
    <xf numFmtId="170" fontId="5" fillId="6" borderId="3" xfId="2" applyNumberFormat="1" applyFont="1" applyFill="1" applyBorder="1" applyAlignment="1">
      <alignment vertical="center"/>
    </xf>
    <xf numFmtId="3" fontId="5" fillId="0" borderId="3" xfId="0" applyNumberFormat="1" applyFont="1" applyFill="1" applyBorder="1" applyAlignment="1">
      <alignment vertical="center"/>
    </xf>
    <xf numFmtId="1" fontId="7" fillId="0" borderId="3" xfId="0" applyNumberFormat="1" applyFont="1" applyFill="1" applyBorder="1" applyAlignment="1">
      <alignment horizontal="right" vertical="center" wrapText="1"/>
    </xf>
    <xf numFmtId="4" fontId="6" fillId="0" borderId="3" xfId="0" applyNumberFormat="1" applyFont="1" applyFill="1" applyBorder="1" applyAlignment="1">
      <alignment horizontal="center" vertical="center"/>
    </xf>
    <xf numFmtId="4" fontId="6" fillId="0" borderId="4" xfId="0" applyNumberFormat="1" applyFont="1" applyFill="1" applyBorder="1" applyAlignment="1">
      <alignment horizontal="center" vertical="center"/>
    </xf>
    <xf numFmtId="4" fontId="5" fillId="2" borderId="3" xfId="0" applyNumberFormat="1" applyFont="1" applyFill="1" applyBorder="1" applyAlignment="1">
      <alignment horizontal="center" vertical="center"/>
    </xf>
    <xf numFmtId="4" fontId="5" fillId="0" borderId="3" xfId="3" applyNumberFormat="1" applyFont="1" applyFill="1" applyBorder="1" applyAlignment="1">
      <alignment horizontal="center" vertical="center" wrapText="1"/>
    </xf>
    <xf numFmtId="2" fontId="8" fillId="0" borderId="3" xfId="0" applyNumberFormat="1" applyFont="1" applyFill="1" applyBorder="1" applyAlignment="1">
      <alignment horizontal="center" vertical="center"/>
    </xf>
    <xf numFmtId="1" fontId="6" fillId="0" borderId="3" xfId="0" applyNumberFormat="1" applyFont="1" applyFill="1" applyBorder="1" applyAlignment="1">
      <alignment horizontal="center" vertical="center"/>
    </xf>
    <xf numFmtId="2" fontId="5" fillId="0" borderId="3"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2" fontId="5" fillId="0" borderId="3"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 fontId="5" fillId="0" borderId="8" xfId="0" applyNumberFormat="1" applyFont="1" applyFill="1" applyBorder="1" applyAlignment="1">
      <alignment horizontal="center" vertical="center"/>
    </xf>
    <xf numFmtId="4" fontId="5" fillId="0" borderId="4" xfId="0" applyNumberFormat="1" applyFont="1" applyFill="1" applyBorder="1" applyAlignment="1">
      <alignment horizontal="center" vertical="center"/>
    </xf>
    <xf numFmtId="0" fontId="8" fillId="0" borderId="146" xfId="0" applyFont="1" applyFill="1" applyBorder="1" applyAlignment="1" applyProtection="1">
      <alignment horizontal="center" vertical="center" wrapText="1"/>
      <protection locked="0"/>
    </xf>
    <xf numFmtId="177" fontId="8" fillId="0" borderId="3" xfId="17" applyNumberFormat="1" applyFont="1" applyFill="1" applyBorder="1" applyAlignment="1" applyProtection="1">
      <alignment horizontal="center" vertical="center" wrapText="1"/>
      <protection locked="0"/>
    </xf>
    <xf numFmtId="1" fontId="5" fillId="0" borderId="8" xfId="2" applyNumberFormat="1" applyFont="1" applyFill="1" applyBorder="1" applyAlignment="1">
      <alignment horizontal="center" vertical="center" wrapText="1"/>
    </xf>
    <xf numFmtId="0" fontId="49" fillId="0" borderId="8" xfId="0" applyNumberFormat="1" applyFont="1" applyFill="1" applyBorder="1" applyAlignment="1">
      <alignment horizontal="center" vertical="center" wrapText="1"/>
    </xf>
    <xf numFmtId="0" fontId="50" fillId="0" borderId="0" xfId="0" applyFont="1" applyBorder="1" applyAlignment="1">
      <alignment horizontal="center" vertical="center"/>
    </xf>
    <xf numFmtId="43" fontId="13" fillId="3" borderId="3" xfId="0" applyNumberFormat="1" applyFont="1" applyFill="1" applyBorder="1" applyAlignment="1">
      <alignment horizontal="left" vertical="center"/>
    </xf>
    <xf numFmtId="170" fontId="6" fillId="0" borderId="0" xfId="1" applyNumberFormat="1" applyFont="1"/>
    <xf numFmtId="3" fontId="3" fillId="4" borderId="3" xfId="0" applyNumberFormat="1" applyFont="1" applyFill="1" applyBorder="1" applyAlignment="1">
      <alignment vertical="center" wrapText="1"/>
    </xf>
    <xf numFmtId="0" fontId="3" fillId="0" borderId="3" xfId="0" applyFont="1" applyBorder="1" applyAlignment="1">
      <alignment vertical="center"/>
    </xf>
    <xf numFmtId="0" fontId="3" fillId="0" borderId="3" xfId="0" applyFont="1" applyBorder="1" applyAlignment="1">
      <alignment horizontal="left" vertical="center"/>
    </xf>
    <xf numFmtId="3" fontId="3" fillId="10" borderId="3" xfId="0" applyNumberFormat="1" applyFont="1" applyFill="1" applyBorder="1" applyAlignment="1">
      <alignment horizontal="left" vertical="center" wrapText="1"/>
    </xf>
    <xf numFmtId="4" fontId="5" fillId="7" borderId="3" xfId="0" applyNumberFormat="1" applyFont="1" applyFill="1" applyBorder="1" applyAlignment="1">
      <alignment horizontal="right" vertical="center" wrapText="1"/>
    </xf>
    <xf numFmtId="0" fontId="5" fillId="0" borderId="3" xfId="0" applyFont="1" applyFill="1" applyBorder="1" applyAlignment="1">
      <alignment horizontal="justify" vertical="center" wrapText="1"/>
    </xf>
    <xf numFmtId="0" fontId="8" fillId="0" borderId="0" xfId="4" applyFont="1" applyAlignment="1">
      <alignment horizontal="center" vertical="center"/>
    </xf>
    <xf numFmtId="0" fontId="8" fillId="0" borderId="0" xfId="4" applyFont="1" applyAlignment="1">
      <alignment vertical="center"/>
    </xf>
    <xf numFmtId="0" fontId="7" fillId="0" borderId="0" xfId="4" applyFont="1" applyAlignment="1">
      <alignment vertical="center"/>
    </xf>
    <xf numFmtId="0" fontId="8" fillId="0" borderId="3" xfId="4" applyFont="1" applyFill="1" applyBorder="1" applyAlignment="1">
      <alignment horizontal="center" vertical="center"/>
    </xf>
    <xf numFmtId="0" fontId="8" fillId="0" borderId="2" xfId="4" applyBorder="1" applyAlignment="1">
      <alignment vertical="center"/>
    </xf>
    <xf numFmtId="2" fontId="22" fillId="2" borderId="3" xfId="4" applyNumberFormat="1" applyFont="1" applyFill="1" applyBorder="1" applyAlignment="1">
      <alignment horizontal="justify" vertical="center" wrapText="1"/>
    </xf>
    <xf numFmtId="0" fontId="8" fillId="0" borderId="0" xfId="4" applyFont="1" applyFill="1" applyAlignment="1">
      <alignment vertical="center"/>
    </xf>
    <xf numFmtId="0" fontId="8" fillId="0" borderId="3" xfId="4" applyBorder="1" applyAlignment="1">
      <alignment vertical="center"/>
    </xf>
    <xf numFmtId="0" fontId="6" fillId="0" borderId="3" xfId="4" applyFont="1" applyFill="1" applyBorder="1" applyAlignment="1">
      <alignment vertical="center"/>
    </xf>
    <xf numFmtId="2" fontId="5" fillId="0" borderId="3" xfId="4" applyNumberFormat="1" applyFont="1" applyFill="1" applyBorder="1" applyAlignment="1">
      <alignment horizontal="justify" vertical="center" wrapText="1"/>
    </xf>
    <xf numFmtId="2" fontId="5" fillId="0" borderId="3" xfId="246" applyNumberFormat="1" applyFont="1" applyFill="1" applyBorder="1" applyAlignment="1">
      <alignment horizontal="justify" vertical="center" wrapText="1"/>
    </xf>
    <xf numFmtId="0" fontId="6" fillId="0" borderId="3" xfId="4" applyFont="1" applyFill="1" applyBorder="1" applyAlignment="1">
      <alignment vertical="center" wrapText="1"/>
    </xf>
    <xf numFmtId="2" fontId="8" fillId="0" borderId="3" xfId="4" applyNumberFormat="1" applyFont="1" applyFill="1" applyBorder="1" applyAlignment="1">
      <alignment horizontal="justify" vertical="center" wrapText="1"/>
    </xf>
    <xf numFmtId="2" fontId="6" fillId="0" borderId="3" xfId="4" applyNumberFormat="1" applyFont="1" applyFill="1" applyBorder="1" applyAlignment="1">
      <alignment horizontal="justify" vertical="center" wrapText="1"/>
    </xf>
    <xf numFmtId="3" fontId="5" fillId="0" borderId="3" xfId="4" applyNumberFormat="1" applyFont="1" applyFill="1" applyBorder="1" applyAlignment="1">
      <alignment horizontal="justify" vertical="center" wrapText="1"/>
    </xf>
    <xf numFmtId="1" fontId="6" fillId="0" borderId="3" xfId="0" applyNumberFormat="1" applyFont="1" applyFill="1" applyBorder="1" applyAlignment="1">
      <alignment horizontal="left" vertical="center" wrapText="1"/>
    </xf>
    <xf numFmtId="2" fontId="3" fillId="0" borderId="3" xfId="4" applyNumberFormat="1" applyFont="1" applyFill="1" applyBorder="1" applyAlignment="1">
      <alignment horizontal="left" vertical="center" wrapText="1"/>
    </xf>
    <xf numFmtId="2" fontId="5" fillId="0" borderId="3" xfId="4" applyNumberFormat="1" applyFont="1" applyFill="1" applyBorder="1" applyAlignment="1">
      <alignment vertical="top" wrapText="1"/>
    </xf>
    <xf numFmtId="4" fontId="8" fillId="0" borderId="0" xfId="4" applyNumberFormat="1" applyFont="1" applyAlignment="1">
      <alignment vertical="center"/>
    </xf>
    <xf numFmtId="4" fontId="8" fillId="0" borderId="0" xfId="4" applyNumberFormat="1" applyFont="1" applyFill="1" applyAlignment="1">
      <alignment vertical="center"/>
    </xf>
    <xf numFmtId="4" fontId="8" fillId="0" borderId="3" xfId="4" applyNumberFormat="1" applyFont="1" applyFill="1" applyBorder="1" applyAlignment="1">
      <alignment vertical="center"/>
    </xf>
    <xf numFmtId="4" fontId="8" fillId="0" borderId="3" xfId="246" applyNumberFormat="1" applyFont="1" applyFill="1" applyBorder="1" applyAlignment="1">
      <alignment vertical="center"/>
    </xf>
    <xf numFmtId="4" fontId="5" fillId="0" borderId="3" xfId="1360" applyNumberFormat="1" applyFont="1" applyFill="1" applyBorder="1" applyAlignment="1">
      <alignment horizontal="right" vertical="center"/>
    </xf>
    <xf numFmtId="4" fontId="53" fillId="0" borderId="0" xfId="4" applyNumberFormat="1" applyFont="1" applyFill="1" applyAlignment="1">
      <alignment vertical="center"/>
    </xf>
    <xf numFmtId="172" fontId="13" fillId="0" borderId="3" xfId="1" applyNumberFormat="1" applyFont="1" applyFill="1" applyBorder="1" applyAlignment="1">
      <alignment vertical="center"/>
    </xf>
    <xf numFmtId="170" fontId="5" fillId="7" borderId="0" xfId="2" applyNumberFormat="1" applyFont="1" applyFill="1" applyBorder="1" applyAlignment="1">
      <alignment horizontal="justify" vertical="center"/>
    </xf>
    <xf numFmtId="164" fontId="6" fillId="0" borderId="3" xfId="1361" applyFont="1" applyFill="1" applyBorder="1"/>
    <xf numFmtId="43" fontId="5" fillId="0" borderId="2" xfId="2" applyNumberFormat="1" applyFont="1" applyFill="1" applyBorder="1" applyAlignment="1">
      <alignment horizontal="justify" vertical="center"/>
    </xf>
    <xf numFmtId="43" fontId="3" fillId="5" borderId="2" xfId="0" applyNumberFormat="1" applyFont="1" applyFill="1" applyBorder="1" applyAlignment="1">
      <alignment vertical="center"/>
    </xf>
    <xf numFmtId="43" fontId="5" fillId="0" borderId="3" xfId="1" applyNumberFormat="1" applyFont="1" applyFill="1" applyBorder="1" applyAlignment="1">
      <alignment horizontal="justify" vertical="center"/>
    </xf>
    <xf numFmtId="43" fontId="3" fillId="7" borderId="3" xfId="0" applyNumberFormat="1" applyFont="1" applyFill="1" applyBorder="1" applyAlignment="1">
      <alignment vertical="center"/>
    </xf>
    <xf numFmtId="43" fontId="3" fillId="5"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4" xfId="0" applyFont="1" applyFill="1" applyBorder="1" applyAlignment="1">
      <alignment horizontal="right" vertical="center"/>
    </xf>
    <xf numFmtId="0" fontId="6" fillId="0" borderId="4" xfId="0" applyFont="1" applyFill="1" applyBorder="1" applyAlignment="1">
      <alignment horizontal="justify" vertical="center" wrapText="1"/>
    </xf>
    <xf numFmtId="0" fontId="8"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7" borderId="9" xfId="0" applyFont="1" applyFill="1" applyBorder="1" applyAlignment="1">
      <alignment horizontal="left" vertical="center"/>
    </xf>
    <xf numFmtId="170" fontId="20" fillId="0" borderId="0" xfId="2" applyNumberFormat="1" applyFont="1" applyBorder="1" applyAlignment="1">
      <alignment horizont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8" fillId="2" borderId="11"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5" fillId="0" borderId="4" xfId="0" applyFont="1" applyBorder="1" applyAlignment="1">
      <alignment horizontal="justify" vertical="center" wrapText="1"/>
    </xf>
    <xf numFmtId="0" fontId="5" fillId="0" borderId="8" xfId="0" applyFont="1" applyBorder="1" applyAlignment="1">
      <alignment horizontal="justify" vertical="center" wrapText="1"/>
    </xf>
    <xf numFmtId="0" fontId="7" fillId="0" borderId="4" xfId="0" applyFont="1" applyFill="1" applyBorder="1" applyAlignment="1">
      <alignment horizontal="right" vertical="center" wrapText="1"/>
    </xf>
    <xf numFmtId="0" fontId="7" fillId="0" borderId="8" xfId="0" applyFont="1" applyFill="1" applyBorder="1" applyAlignment="1">
      <alignment horizontal="right" vertical="center" wrapText="1"/>
    </xf>
    <xf numFmtId="0" fontId="3" fillId="7" borderId="9" xfId="0" applyFont="1" applyFill="1" applyBorder="1" applyAlignment="1">
      <alignment horizontal="center" vertical="center"/>
    </xf>
    <xf numFmtId="0" fontId="3" fillId="4" borderId="3"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170" fontId="5" fillId="0" borderId="4" xfId="0" applyNumberFormat="1" applyFont="1" applyFill="1" applyBorder="1" applyAlignment="1">
      <alignment horizontal="justify" vertical="center" wrapText="1"/>
    </xf>
    <xf numFmtId="0" fontId="5" fillId="2" borderId="7" xfId="0" applyFont="1" applyFill="1" applyBorder="1" applyAlignment="1">
      <alignment horizontal="center" vertical="center" wrapText="1"/>
    </xf>
    <xf numFmtId="0" fontId="8" fillId="2" borderId="4" xfId="0" applyFont="1" applyFill="1" applyBorder="1" applyAlignment="1">
      <alignment horizontal="justify" vertical="center" wrapText="1"/>
    </xf>
    <xf numFmtId="0" fontId="8" fillId="2" borderId="8" xfId="0" applyFont="1" applyFill="1" applyBorder="1" applyAlignment="1">
      <alignment horizontal="justify" vertical="center" wrapText="1"/>
    </xf>
    <xf numFmtId="9" fontId="5" fillId="2" borderId="8" xfId="0" applyNumberFormat="1"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9" fontId="5" fillId="0"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justify" vertical="center" wrapText="1"/>
    </xf>
    <xf numFmtId="0" fontId="5" fillId="2" borderId="8" xfId="0" applyFont="1" applyFill="1" applyBorder="1" applyAlignment="1">
      <alignment horizontal="justify" vertical="center" wrapText="1"/>
    </xf>
    <xf numFmtId="0" fontId="5" fillId="2" borderId="1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Fill="1" applyBorder="1" applyAlignment="1">
      <alignment horizontal="justify" vertical="center"/>
    </xf>
    <xf numFmtId="10" fontId="5" fillId="0" borderId="4" xfId="0" applyNumberFormat="1" applyFont="1" applyFill="1" applyBorder="1" applyAlignment="1">
      <alignment horizontal="center" vertical="center" wrapText="1"/>
    </xf>
    <xf numFmtId="10" fontId="5" fillId="0" borderId="8" xfId="0" applyNumberFormat="1" applyFont="1" applyFill="1" applyBorder="1" applyAlignment="1">
      <alignment horizontal="center" vertical="center" wrapText="1"/>
    </xf>
    <xf numFmtId="0" fontId="5" fillId="0" borderId="11" xfId="0" applyFont="1" applyBorder="1" applyAlignment="1">
      <alignment horizontal="justify" vertical="center" wrapText="1"/>
    </xf>
    <xf numFmtId="0" fontId="3" fillId="7" borderId="5" xfId="0" applyFont="1" applyFill="1" applyBorder="1" applyAlignment="1">
      <alignment horizontal="left" vertical="center"/>
    </xf>
    <xf numFmtId="0" fontId="5" fillId="0" borderId="4"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2" borderId="8" xfId="0" applyFont="1" applyFill="1" applyBorder="1" applyAlignment="1">
      <alignment horizontal="justify" vertical="center"/>
    </xf>
    <xf numFmtId="16" fontId="5" fillId="2" borderId="8" xfId="0" applyNumberFormat="1" applyFont="1" applyFill="1" applyBorder="1" applyAlignment="1">
      <alignment horizontal="center" vertical="center" wrapText="1"/>
    </xf>
    <xf numFmtId="16" fontId="5" fillId="0" borderId="8" xfId="0" applyNumberFormat="1" applyFont="1" applyFill="1" applyBorder="1" applyAlignment="1">
      <alignment horizontal="center" vertical="center" wrapText="1"/>
    </xf>
    <xf numFmtId="0" fontId="5" fillId="0" borderId="4" xfId="0" applyNumberFormat="1" applyFont="1" applyFill="1" applyBorder="1" applyAlignment="1">
      <alignment horizontal="justify"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43" fontId="6" fillId="0" borderId="3" xfId="0" applyNumberFormat="1" applyFont="1" applyFill="1" applyBorder="1" applyAlignment="1">
      <alignment horizontal="center" vertical="center"/>
    </xf>
    <xf numFmtId="185" fontId="6" fillId="0" borderId="5" xfId="0" applyNumberFormat="1" applyFont="1" applyFill="1" applyBorder="1" applyAlignment="1">
      <alignment horizontal="center" vertical="center" wrapText="1"/>
    </xf>
    <xf numFmtId="0" fontId="5" fillId="0" borderId="217" xfId="0" applyFont="1" applyFill="1" applyBorder="1" applyAlignment="1">
      <alignment horizontal="center" vertical="center" wrapText="1"/>
    </xf>
    <xf numFmtId="170" fontId="5" fillId="0" borderId="146" xfId="2" applyNumberFormat="1" applyFont="1" applyFill="1" applyBorder="1" applyAlignment="1">
      <alignment horizontal="justify" vertical="center"/>
    </xf>
    <xf numFmtId="0" fontId="5" fillId="0" borderId="0" xfId="0" applyFont="1" applyFill="1" applyBorder="1" applyAlignment="1">
      <alignment vertical="center" wrapText="1"/>
    </xf>
    <xf numFmtId="0" fontId="5" fillId="0" borderId="0" xfId="0" applyFont="1" applyBorder="1" applyAlignment="1">
      <alignment horizontal="justify" vertical="center" wrapText="1"/>
    </xf>
    <xf numFmtId="0" fontId="5" fillId="0" borderId="0" xfId="0" applyFont="1" applyBorder="1" applyAlignment="1">
      <alignment horizontal="center" vertical="center" wrapText="1"/>
    </xf>
    <xf numFmtId="0" fontId="5" fillId="7" borderId="0" xfId="0" applyFont="1" applyFill="1" applyBorder="1" applyAlignment="1">
      <alignment horizontal="justify" vertical="center" wrapText="1"/>
    </xf>
    <xf numFmtId="0" fontId="5" fillId="7" borderId="0" xfId="0" applyFont="1" applyFill="1" applyBorder="1" applyAlignment="1">
      <alignment horizontal="center" vertical="center" wrapText="1"/>
    </xf>
    <xf numFmtId="0" fontId="5" fillId="7" borderId="0" xfId="0" applyNumberFormat="1" applyFont="1" applyFill="1" applyBorder="1" applyAlignment="1">
      <alignment horizontal="center" vertical="center"/>
    </xf>
    <xf numFmtId="0" fontId="7" fillId="7" borderId="0" xfId="0" applyFont="1" applyFill="1" applyBorder="1" applyAlignment="1">
      <alignment horizontal="right" vertical="center" wrapText="1"/>
    </xf>
    <xf numFmtId="3" fontId="5" fillId="0" borderId="8" xfId="0" applyNumberFormat="1" applyFont="1" applyFill="1" applyBorder="1" applyAlignment="1">
      <alignment horizontal="center" vertical="center" wrapText="1"/>
    </xf>
    <xf numFmtId="172" fontId="5" fillId="0" borderId="8" xfId="1" applyNumberFormat="1" applyFont="1" applyFill="1" applyBorder="1" applyAlignment="1">
      <alignment horizontal="center" vertical="center" wrapText="1"/>
    </xf>
    <xf numFmtId="3" fontId="5" fillId="0" borderId="8" xfId="0" applyNumberFormat="1" applyFont="1" applyFill="1" applyBorder="1" applyAlignment="1">
      <alignment vertical="center" wrapText="1"/>
    </xf>
    <xf numFmtId="0" fontId="4" fillId="5" borderId="3" xfId="0" applyFont="1" applyFill="1" applyBorder="1" applyAlignment="1">
      <alignment horizontal="right" vertical="center"/>
    </xf>
    <xf numFmtId="172" fontId="3" fillId="5" borderId="3" xfId="1" applyNumberFormat="1" applyFont="1" applyFill="1" applyBorder="1" applyAlignment="1">
      <alignment horizontal="center" vertical="center"/>
    </xf>
    <xf numFmtId="0" fontId="3" fillId="6" borderId="3" xfId="0" applyFont="1" applyFill="1" applyBorder="1" applyAlignment="1">
      <alignment horizontal="justify" vertical="center" wrapText="1"/>
    </xf>
    <xf numFmtId="172" fontId="3" fillId="6" borderId="3" xfId="1"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3" fontId="8" fillId="0" borderId="3" xfId="0" applyNumberFormat="1" applyFont="1" applyFill="1" applyBorder="1" applyAlignment="1">
      <alignment vertical="center"/>
    </xf>
    <xf numFmtId="170" fontId="11" fillId="0" borderId="3" xfId="2" applyNumberFormat="1" applyFont="1" applyFill="1" applyBorder="1" applyAlignment="1">
      <alignment horizontal="justify" vertical="center"/>
    </xf>
    <xf numFmtId="3" fontId="6" fillId="0" borderId="0" xfId="1" applyNumberFormat="1" applyFont="1" applyFill="1" applyBorder="1" applyAlignment="1">
      <alignment horizontal="right" vertical="center"/>
    </xf>
    <xf numFmtId="9" fontId="5" fillId="2" borderId="4" xfId="3" applyFont="1" applyFill="1" applyBorder="1" applyAlignment="1">
      <alignment horizontal="center" vertical="center" wrapText="1"/>
    </xf>
    <xf numFmtId="170" fontId="5" fillId="0" borderId="4" xfId="2" applyNumberFormat="1" applyFont="1" applyBorder="1" applyAlignment="1">
      <alignment horizontal="justify" vertical="center"/>
    </xf>
    <xf numFmtId="172" fontId="5" fillId="0" borderId="4" xfId="1" applyNumberFormat="1" applyFont="1" applyBorder="1" applyAlignment="1">
      <alignment horizontal="center" vertical="center"/>
    </xf>
    <xf numFmtId="170" fontId="5" fillId="0" borderId="4" xfId="2" applyNumberFormat="1" applyFont="1" applyBorder="1" applyAlignment="1">
      <alignment vertical="center"/>
    </xf>
    <xf numFmtId="170" fontId="5" fillId="0" borderId="146" xfId="2" applyNumberFormat="1" applyFont="1" applyBorder="1" applyAlignment="1">
      <alignment horizontal="justify" vertical="center"/>
    </xf>
    <xf numFmtId="43" fontId="5" fillId="0" borderId="4" xfId="2" applyNumberFormat="1" applyFont="1" applyFill="1" applyBorder="1" applyAlignment="1">
      <alignment horizontal="justify" vertical="center"/>
    </xf>
    <xf numFmtId="0" fontId="5" fillId="0" borderId="6" xfId="0" applyFont="1" applyFill="1" applyBorder="1" applyAlignment="1">
      <alignment horizontal="justify" vertical="center" wrapText="1"/>
    </xf>
    <xf numFmtId="0" fontId="5" fillId="0" borderId="12" xfId="0" applyFont="1" applyBorder="1" applyAlignment="1">
      <alignment horizontal="center" vertical="center" wrapText="1"/>
    </xf>
    <xf numFmtId="0" fontId="5" fillId="7" borderId="11" xfId="0" applyFont="1" applyFill="1" applyBorder="1" applyAlignment="1">
      <alignment horizontal="justify" vertical="center" wrapText="1"/>
    </xf>
    <xf numFmtId="0" fontId="5" fillId="7" borderId="11" xfId="0" applyFont="1" applyFill="1" applyBorder="1" applyAlignment="1">
      <alignment horizontal="center" vertical="center" wrapText="1"/>
    </xf>
    <xf numFmtId="0" fontId="5" fillId="7" borderId="11" xfId="0" applyFont="1" applyFill="1" applyBorder="1" applyAlignment="1">
      <alignment horizontal="center" vertical="center"/>
    </xf>
    <xf numFmtId="0" fontId="7" fillId="7" borderId="11" xfId="0" applyFont="1" applyFill="1" applyBorder="1" applyAlignment="1">
      <alignment horizontal="right" vertical="center"/>
    </xf>
    <xf numFmtId="0" fontId="5" fillId="7" borderId="11" xfId="0" applyFont="1" applyFill="1" applyBorder="1" applyAlignment="1">
      <alignment horizontal="justify" vertical="center"/>
    </xf>
    <xf numFmtId="170" fontId="5" fillId="7" borderId="11" xfId="2" applyNumberFormat="1" applyFont="1" applyFill="1" applyBorder="1" applyAlignment="1">
      <alignment horizontal="justify" vertical="center"/>
    </xf>
    <xf numFmtId="172" fontId="5" fillId="7" borderId="11" xfId="1" applyNumberFormat="1" applyFont="1" applyFill="1" applyBorder="1" applyAlignment="1">
      <alignment horizontal="center" vertical="center"/>
    </xf>
    <xf numFmtId="170" fontId="5" fillId="7" borderId="11" xfId="2" applyNumberFormat="1" applyFont="1" applyFill="1" applyBorder="1" applyAlignment="1">
      <alignment vertical="center"/>
    </xf>
    <xf numFmtId="0" fontId="6" fillId="0" borderId="0" xfId="0" applyFont="1" applyFill="1" applyBorder="1" applyAlignment="1">
      <alignment vertical="center" wrapText="1"/>
    </xf>
    <xf numFmtId="4" fontId="54" fillId="0" borderId="3" xfId="0" applyNumberFormat="1" applyFont="1" applyFill="1" applyBorder="1" applyAlignment="1">
      <alignment vertical="center"/>
    </xf>
    <xf numFmtId="175" fontId="6" fillId="0" borderId="3" xfId="0" applyNumberFormat="1" applyFont="1" applyFill="1" applyBorder="1" applyAlignment="1">
      <alignment vertical="center"/>
    </xf>
    <xf numFmtId="3" fontId="5" fillId="0" borderId="3" xfId="0" applyNumberFormat="1" applyFont="1" applyFill="1" applyBorder="1" applyAlignment="1">
      <alignment horizontal="left" vertical="center"/>
    </xf>
    <xf numFmtId="172" fontId="6" fillId="0" borderId="0" xfId="1" applyNumberFormat="1" applyFont="1" applyFill="1" applyBorder="1" applyAlignment="1">
      <alignment horizontal="center"/>
    </xf>
    <xf numFmtId="0" fontId="6" fillId="0" borderId="0" xfId="0" applyFont="1" applyFill="1" applyBorder="1" applyAlignment="1"/>
    <xf numFmtId="173" fontId="18" fillId="6" borderId="3" xfId="0" applyNumberFormat="1" applyFont="1" applyFill="1" applyBorder="1" applyAlignment="1">
      <alignment horizontal="center" vertical="center" wrapText="1"/>
    </xf>
    <xf numFmtId="173" fontId="18" fillId="0" borderId="0" xfId="0" applyNumberFormat="1" applyFont="1" applyFill="1" applyBorder="1" applyAlignment="1">
      <alignment horizontal="center" vertical="center" wrapText="1"/>
    </xf>
    <xf numFmtId="173" fontId="18" fillId="0" borderId="3" xfId="0" applyNumberFormat="1" applyFont="1"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8" xfId="0" applyFont="1" applyFill="1" applyBorder="1" applyAlignment="1">
      <alignment horizontal="center" vertical="center" wrapText="1"/>
    </xf>
    <xf numFmtId="0" fontId="5" fillId="4" borderId="8" xfId="0" applyNumberFormat="1" applyFont="1" applyFill="1" applyBorder="1" applyAlignment="1">
      <alignment horizontal="center" vertical="center"/>
    </xf>
    <xf numFmtId="0" fontId="7" fillId="4" borderId="8" xfId="0" applyFont="1" applyFill="1" applyBorder="1" applyAlignment="1">
      <alignment horizontal="right" vertical="center" wrapText="1"/>
    </xf>
    <xf numFmtId="170" fontId="5" fillId="4" borderId="8" xfId="2" applyNumberFormat="1" applyFont="1" applyFill="1" applyBorder="1" applyAlignment="1">
      <alignment horizontal="justify" vertical="center"/>
    </xf>
    <xf numFmtId="0" fontId="5" fillId="5" borderId="217" xfId="0" applyFont="1" applyFill="1" applyBorder="1" applyAlignment="1">
      <alignment horizontal="justify" vertical="center" wrapText="1"/>
    </xf>
    <xf numFmtId="0" fontId="9" fillId="2" borderId="2" xfId="0" applyFont="1" applyFill="1" applyBorder="1" applyAlignment="1">
      <alignment vertical="center"/>
    </xf>
    <xf numFmtId="0" fontId="3" fillId="4" borderId="5" xfId="0" applyFont="1" applyFill="1" applyBorder="1" applyAlignment="1">
      <alignment horizontal="left" vertical="center" wrapText="1"/>
    </xf>
    <xf numFmtId="0" fontId="3" fillId="0" borderId="146" xfId="0" applyFont="1" applyFill="1" applyBorder="1" applyAlignment="1">
      <alignment vertical="center" wrapText="1"/>
    </xf>
    <xf numFmtId="170" fontId="5" fillId="5" borderId="2" xfId="2" applyNumberFormat="1" applyFont="1" applyFill="1" applyBorder="1" applyAlignment="1">
      <alignment horizontal="justify" vertical="center"/>
    </xf>
    <xf numFmtId="0" fontId="5" fillId="0" borderId="218" xfId="0" applyFont="1" applyFill="1" applyBorder="1" applyAlignment="1">
      <alignment horizontal="justify" vertical="center" wrapText="1"/>
    </xf>
    <xf numFmtId="0" fontId="5" fillId="0" borderId="218" xfId="0" applyFont="1" applyFill="1" applyBorder="1" applyAlignment="1">
      <alignment horizontal="center" vertical="center" wrapText="1"/>
    </xf>
    <xf numFmtId="0" fontId="5" fillId="0" borderId="146" xfId="0" applyFont="1" applyFill="1" applyBorder="1" applyAlignment="1">
      <alignment horizontal="justify" vertical="center" wrapText="1"/>
    </xf>
    <xf numFmtId="0" fontId="5" fillId="0" borderId="218" xfId="0" applyNumberFormat="1" applyFont="1" applyFill="1" applyBorder="1" applyAlignment="1">
      <alignment horizontal="center" vertical="center"/>
    </xf>
    <xf numFmtId="0" fontId="7" fillId="0" borderId="218" xfId="0" applyFont="1" applyFill="1" applyBorder="1" applyAlignment="1">
      <alignment horizontal="right" vertical="center" wrapText="1"/>
    </xf>
    <xf numFmtId="170" fontId="5" fillId="0" borderId="218" xfId="2" applyNumberFormat="1" applyFont="1" applyFill="1" applyBorder="1" applyAlignment="1">
      <alignment horizontal="justify" vertical="center"/>
    </xf>
    <xf numFmtId="170" fontId="5" fillId="2" borderId="218" xfId="2" applyNumberFormat="1" applyFont="1" applyFill="1" applyBorder="1" applyAlignment="1">
      <alignment horizontal="justify" vertical="center"/>
    </xf>
    <xf numFmtId="172" fontId="5" fillId="0" borderId="218" xfId="1" applyNumberFormat="1" applyFont="1" applyFill="1" applyBorder="1" applyAlignment="1">
      <alignment horizontal="center" vertical="center"/>
    </xf>
    <xf numFmtId="172" fontId="5" fillId="0" borderId="217" xfId="1" applyNumberFormat="1" applyFont="1" applyFill="1" applyBorder="1" applyAlignment="1">
      <alignment horizontal="justify" vertical="center"/>
    </xf>
    <xf numFmtId="0" fontId="9" fillId="3" borderId="146" xfId="0" applyFont="1" applyFill="1" applyBorder="1" applyAlignment="1">
      <alignment horizontal="left" vertical="center"/>
    </xf>
    <xf numFmtId="0" fontId="9" fillId="3" borderId="218" xfId="0" applyFont="1" applyFill="1" applyBorder="1" applyAlignment="1">
      <alignment horizontal="left" vertical="center"/>
    </xf>
    <xf numFmtId="0" fontId="9" fillId="3" borderId="218" xfId="0" applyFont="1" applyFill="1" applyBorder="1" applyAlignment="1">
      <alignment horizontal="center" vertical="center"/>
    </xf>
    <xf numFmtId="0" fontId="4" fillId="3" borderId="218" xfId="0" applyFont="1" applyFill="1" applyBorder="1" applyAlignment="1">
      <alignment horizontal="right" vertical="center"/>
    </xf>
    <xf numFmtId="172" fontId="9" fillId="3" borderId="218" xfId="1" applyNumberFormat="1" applyFont="1" applyFill="1" applyBorder="1" applyAlignment="1">
      <alignment horizontal="center" vertical="center"/>
    </xf>
    <xf numFmtId="0" fontId="9" fillId="3" borderId="218" xfId="0" applyFont="1" applyFill="1" applyBorder="1" applyAlignment="1">
      <alignment vertical="center"/>
    </xf>
    <xf numFmtId="170" fontId="9" fillId="3" borderId="217" xfId="0" applyNumberFormat="1" applyFont="1" applyFill="1" applyBorder="1" applyAlignment="1">
      <alignment horizontal="left" vertical="center"/>
    </xf>
    <xf numFmtId="0" fontId="3" fillId="0" borderId="217" xfId="0" applyFont="1" applyFill="1" applyBorder="1" applyAlignment="1">
      <alignment vertical="center" wrapText="1"/>
    </xf>
    <xf numFmtId="0" fontId="3" fillId="0" borderId="218" xfId="0" applyFont="1" applyFill="1" applyBorder="1" applyAlignment="1">
      <alignment vertical="center" wrapText="1"/>
    </xf>
    <xf numFmtId="43" fontId="6" fillId="0" borderId="0" xfId="0" applyNumberFormat="1" applyFont="1" applyFill="1" applyBorder="1" applyAlignment="1">
      <alignment vertical="center"/>
    </xf>
    <xf numFmtId="0" fontId="3" fillId="7" borderId="146" xfId="0" applyFont="1" applyFill="1" applyBorder="1" applyAlignment="1">
      <alignment vertical="center"/>
    </xf>
    <xf numFmtId="0" fontId="3" fillId="7" borderId="218" xfId="0" applyFont="1" applyFill="1" applyBorder="1" applyAlignment="1">
      <alignment vertical="center"/>
    </xf>
    <xf numFmtId="170" fontId="5" fillId="7" borderId="2" xfId="0" applyNumberFormat="1" applyFont="1" applyFill="1" applyBorder="1" applyAlignment="1">
      <alignment vertical="center" wrapText="1"/>
    </xf>
    <xf numFmtId="0" fontId="5" fillId="0" borderId="218" xfId="2" applyNumberFormat="1" applyFont="1" applyFill="1" applyBorder="1" applyAlignment="1">
      <alignment horizontal="center" vertical="center"/>
    </xf>
    <xf numFmtId="172" fontId="3" fillId="7" borderId="218" xfId="1" applyNumberFormat="1" applyFont="1" applyFill="1" applyBorder="1" applyAlignment="1">
      <alignment horizontal="center" vertical="center"/>
    </xf>
    <xf numFmtId="0" fontId="3" fillId="5" borderId="218" xfId="0" applyFont="1" applyFill="1" applyBorder="1" applyAlignment="1">
      <alignment horizontal="center" vertical="center"/>
    </xf>
    <xf numFmtId="0" fontId="3" fillId="5" borderId="218" xfId="0" applyFont="1" applyFill="1" applyBorder="1" applyAlignment="1">
      <alignment vertical="center"/>
    </xf>
    <xf numFmtId="0" fontId="4" fillId="5" borderId="218" xfId="0" applyFont="1" applyFill="1" applyBorder="1" applyAlignment="1">
      <alignment horizontal="right" vertical="center"/>
    </xf>
    <xf numFmtId="172" fontId="3" fillId="5" borderId="218" xfId="1" applyNumberFormat="1" applyFont="1" applyFill="1" applyBorder="1" applyAlignment="1">
      <alignment horizontal="center" vertical="center"/>
    </xf>
    <xf numFmtId="0" fontId="3" fillId="5" borderId="217" xfId="0" applyFont="1" applyFill="1" applyBorder="1" applyAlignment="1">
      <alignment vertical="center"/>
    </xf>
    <xf numFmtId="0" fontId="3" fillId="0" borderId="218" xfId="0" applyFont="1" applyFill="1" applyBorder="1" applyAlignment="1">
      <alignment horizontal="center" vertical="center" wrapText="1"/>
    </xf>
    <xf numFmtId="0" fontId="3" fillId="0" borderId="218" xfId="0" applyFont="1" applyFill="1" applyBorder="1" applyAlignment="1">
      <alignment horizontal="left" vertical="center" wrapText="1"/>
    </xf>
    <xf numFmtId="0" fontId="3" fillId="4" borderId="5" xfId="0" applyFont="1" applyFill="1" applyBorder="1" applyAlignment="1">
      <alignment horizontal="justify" vertical="center" wrapText="1"/>
    </xf>
    <xf numFmtId="0" fontId="5" fillId="0" borderId="10" xfId="0" applyFont="1" applyBorder="1" applyAlignment="1">
      <alignment vertical="center" wrapText="1"/>
    </xf>
    <xf numFmtId="170" fontId="5" fillId="7" borderId="12" xfId="2" applyNumberFormat="1" applyFont="1" applyFill="1" applyBorder="1" applyAlignment="1">
      <alignment horizontal="justify" vertical="center"/>
    </xf>
    <xf numFmtId="170" fontId="5" fillId="0" borderId="218" xfId="2" applyNumberFormat="1" applyFont="1" applyFill="1" applyBorder="1" applyAlignment="1">
      <alignment vertical="center"/>
    </xf>
    <xf numFmtId="0" fontId="5" fillId="0" borderId="218" xfId="0" applyFont="1" applyFill="1" applyBorder="1" applyAlignment="1">
      <alignment horizontal="center" vertical="center"/>
    </xf>
    <xf numFmtId="0" fontId="3" fillId="7" borderId="217" xfId="0" applyFont="1" applyFill="1" applyBorder="1" applyAlignment="1">
      <alignment vertical="center"/>
    </xf>
    <xf numFmtId="170" fontId="5" fillId="0" borderId="2" xfId="2" applyNumberFormat="1" applyFont="1" applyFill="1" applyBorder="1" applyAlignment="1">
      <alignment vertical="center"/>
    </xf>
    <xf numFmtId="0" fontId="5" fillId="0" borderId="217" xfId="0" applyFont="1" applyFill="1" applyBorder="1" applyAlignment="1">
      <alignment vertical="center" wrapText="1"/>
    </xf>
    <xf numFmtId="170" fontId="5" fillId="0" borderId="2" xfId="0" applyNumberFormat="1" applyFont="1" applyFill="1" applyBorder="1" applyAlignment="1">
      <alignment horizontal="justify" vertical="center" wrapText="1"/>
    </xf>
    <xf numFmtId="170" fontId="5" fillId="7" borderId="2" xfId="2" applyNumberFormat="1" applyFont="1" applyFill="1" applyBorder="1" applyAlignment="1">
      <alignment horizontal="justify" vertical="center"/>
    </xf>
    <xf numFmtId="170" fontId="5" fillId="0" borderId="2" xfId="0" applyNumberFormat="1" applyFont="1" applyFill="1" applyBorder="1" applyAlignment="1">
      <alignment horizontal="justify" vertical="center"/>
    </xf>
    <xf numFmtId="170" fontId="5" fillId="0" borderId="146" xfId="1" applyNumberFormat="1" applyFont="1" applyFill="1" applyBorder="1" applyAlignment="1">
      <alignment horizontal="center" vertical="center"/>
    </xf>
    <xf numFmtId="4" fontId="5" fillId="0" borderId="218" xfId="0" applyNumberFormat="1" applyFont="1" applyFill="1" applyBorder="1" applyAlignment="1">
      <alignment horizontal="center" vertical="center" wrapText="1"/>
    </xf>
    <xf numFmtId="3" fontId="5" fillId="0" borderId="218" xfId="0" applyNumberFormat="1" applyFont="1" applyFill="1" applyBorder="1" applyAlignment="1">
      <alignment horizontal="center" vertical="center" wrapText="1"/>
    </xf>
    <xf numFmtId="0" fontId="3" fillId="7" borderId="218" xfId="0" applyFont="1" applyFill="1" applyBorder="1" applyAlignment="1">
      <alignment horizontal="justify" vertical="center" wrapText="1"/>
    </xf>
    <xf numFmtId="0" fontId="5" fillId="0" borderId="217" xfId="0" applyFont="1" applyFill="1" applyBorder="1" applyAlignment="1">
      <alignment horizontal="justify" vertical="center" wrapText="1"/>
    </xf>
    <xf numFmtId="0" fontId="5" fillId="0" borderId="217" xfId="0" applyNumberFormat="1"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protection locked="0"/>
    </xf>
    <xf numFmtId="0" fontId="5" fillId="2" borderId="217" xfId="0" applyFont="1" applyFill="1" applyBorder="1" applyAlignment="1">
      <alignment horizontal="center" vertical="center" wrapText="1"/>
    </xf>
    <xf numFmtId="0" fontId="5" fillId="0" borderId="218" xfId="0" applyFont="1" applyBorder="1" applyAlignment="1">
      <alignment horizontal="center" vertical="center" wrapText="1"/>
    </xf>
    <xf numFmtId="0" fontId="11" fillId="0" borderId="146" xfId="0" applyNumberFormat="1" applyFont="1" applyFill="1" applyBorder="1" applyAlignment="1" applyProtection="1">
      <alignment horizontal="center" vertical="center" wrapText="1"/>
      <protection locked="0"/>
    </xf>
    <xf numFmtId="0" fontId="3" fillId="5" borderId="218" xfId="0" applyFont="1" applyFill="1" applyBorder="1" applyAlignment="1">
      <alignment horizontal="justify" vertical="center" wrapText="1"/>
    </xf>
    <xf numFmtId="0" fontId="3" fillId="5" borderId="218" xfId="0" applyNumberFormat="1" applyFont="1" applyFill="1" applyBorder="1" applyAlignment="1">
      <alignment horizontal="justify" vertical="center" wrapText="1"/>
    </xf>
    <xf numFmtId="0" fontId="5" fillId="2" borderId="10" xfId="0" applyFont="1" applyFill="1" applyBorder="1" applyAlignment="1">
      <alignment horizontal="justify" vertical="center" wrapText="1"/>
    </xf>
    <xf numFmtId="171" fontId="23" fillId="0" borderId="12" xfId="0" applyNumberFormat="1" applyFont="1" applyFill="1" applyBorder="1" applyAlignment="1" applyProtection="1">
      <alignment vertical="center"/>
    </xf>
    <xf numFmtId="0" fontId="5" fillId="0" borderId="217" xfId="0" applyFont="1" applyBorder="1" applyAlignment="1">
      <alignment horizontal="center" vertical="center" wrapText="1"/>
    </xf>
    <xf numFmtId="0" fontId="5" fillId="2" borderId="10" xfId="0" applyFont="1" applyFill="1" applyBorder="1" applyAlignment="1">
      <alignment vertical="center" wrapText="1"/>
    </xf>
    <xf numFmtId="172" fontId="7" fillId="2" borderId="12" xfId="1" applyNumberFormat="1" applyFont="1" applyFill="1" applyBorder="1" applyAlignment="1">
      <alignment vertical="center" wrapText="1"/>
    </xf>
    <xf numFmtId="0" fontId="5" fillId="0" borderId="4" xfId="1" applyNumberFormat="1" applyFont="1" applyFill="1" applyBorder="1" applyAlignment="1">
      <alignment horizontal="center" vertical="center" wrapText="1"/>
    </xf>
    <xf numFmtId="173" fontId="18" fillId="0" borderId="4" xfId="0" applyNumberFormat="1" applyFont="1" applyFill="1" applyBorder="1" applyAlignment="1">
      <alignment horizontal="center" vertical="center" wrapText="1"/>
    </xf>
    <xf numFmtId="170" fontId="3" fillId="7" borderId="2" xfId="0" applyNumberFormat="1" applyFont="1" applyFill="1" applyBorder="1" applyAlignment="1">
      <alignment vertical="center"/>
    </xf>
    <xf numFmtId="170" fontId="5" fillId="2" borderId="12" xfId="2" applyNumberFormat="1" applyFont="1" applyFill="1" applyBorder="1" applyAlignment="1">
      <alignment horizontal="justify" vertical="center"/>
    </xf>
    <xf numFmtId="0" fontId="6" fillId="0" borderId="10" xfId="0" applyFont="1" applyBorder="1" applyAlignment="1">
      <alignment horizontal="justify" wrapText="1"/>
    </xf>
    <xf numFmtId="43" fontId="10" fillId="0" borderId="12" xfId="2" applyNumberFormat="1" applyFont="1" applyBorder="1"/>
    <xf numFmtId="170" fontId="21" fillId="15" borderId="5" xfId="2" applyNumberFormat="1" applyFont="1" applyFill="1" applyBorder="1" applyAlignment="1">
      <alignment vertical="center"/>
    </xf>
    <xf numFmtId="170" fontId="21" fillId="15" borderId="9" xfId="2" applyNumberFormat="1" applyFont="1" applyFill="1" applyBorder="1" applyAlignment="1">
      <alignment vertical="center"/>
    </xf>
    <xf numFmtId="170" fontId="21" fillId="15" borderId="2" xfId="2" applyNumberFormat="1" applyFont="1" applyFill="1" applyBorder="1" applyAlignment="1">
      <alignment vertical="center"/>
    </xf>
    <xf numFmtId="0" fontId="8" fillId="0" borderId="146" xfId="4" applyFont="1" applyBorder="1" applyAlignment="1">
      <alignment horizontal="center" vertical="center"/>
    </xf>
    <xf numFmtId="0" fontId="7" fillId="0" borderId="10" xfId="4" applyFont="1" applyBorder="1" applyAlignment="1">
      <alignment vertical="center"/>
    </xf>
    <xf numFmtId="0" fontId="7" fillId="0" borderId="6" xfId="4" applyFont="1" applyBorder="1" applyAlignment="1">
      <alignment vertical="center"/>
    </xf>
    <xf numFmtId="4" fontId="7" fillId="0" borderId="1" xfId="4" applyNumberFormat="1" applyFont="1" applyBorder="1" applyAlignment="1">
      <alignment vertical="center"/>
    </xf>
    <xf numFmtId="4" fontId="7" fillId="0" borderId="7" xfId="4" applyNumberFormat="1" applyFont="1" applyBorder="1" applyAlignment="1">
      <alignment vertical="center"/>
    </xf>
    <xf numFmtId="0" fontId="51" fillId="41" borderId="8" xfId="4" applyFont="1" applyFill="1" applyBorder="1" applyAlignment="1">
      <alignment vertical="center"/>
    </xf>
    <xf numFmtId="0" fontId="52" fillId="41" borderId="8" xfId="4" applyFont="1" applyFill="1" applyBorder="1" applyAlignment="1">
      <alignment horizontal="center" vertical="center"/>
    </xf>
    <xf numFmtId="0" fontId="9" fillId="0" borderId="1" xfId="4" applyFont="1" applyBorder="1" applyAlignment="1">
      <alignment horizontal="center" vertical="center"/>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9" fontId="8" fillId="0" borderId="3" xfId="0" applyNumberFormat="1" applyFont="1" applyFill="1" applyBorder="1" applyAlignment="1">
      <alignment horizontal="center" vertical="center"/>
    </xf>
    <xf numFmtId="9" fontId="8" fillId="0" borderId="3" xfId="0" applyNumberFormat="1" applyFont="1" applyFill="1" applyBorder="1" applyAlignment="1">
      <alignment horizontal="center" vertical="center" wrapText="1"/>
    </xf>
    <xf numFmtId="0" fontId="7" fillId="0" borderId="3" xfId="0" applyFont="1" applyFill="1" applyBorder="1" applyAlignment="1">
      <alignment horizontal="right" vertical="center"/>
    </xf>
    <xf numFmtId="0" fontId="6" fillId="0" borderId="3" xfId="0" applyFont="1" applyFill="1" applyBorder="1" applyAlignment="1">
      <alignment horizontal="justify" vertical="center" wrapText="1"/>
    </xf>
    <xf numFmtId="0" fontId="5" fillId="0" borderId="2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8" xfId="0" applyFont="1" applyFill="1" applyBorder="1" applyAlignment="1">
      <alignment horizontal="center" vertical="center" wrapText="1"/>
    </xf>
    <xf numFmtId="9" fontId="8" fillId="0" borderId="4" xfId="0" applyNumberFormat="1" applyFont="1" applyFill="1" applyBorder="1" applyAlignment="1">
      <alignment horizontal="center" vertical="center"/>
    </xf>
    <xf numFmtId="9" fontId="8" fillId="0" borderId="11" xfId="0" applyNumberFormat="1" applyFont="1" applyFill="1" applyBorder="1" applyAlignment="1">
      <alignment horizontal="center" vertical="center"/>
    </xf>
    <xf numFmtId="9" fontId="8" fillId="0" borderId="8" xfId="0" applyNumberFormat="1" applyFont="1" applyFill="1" applyBorder="1" applyAlignment="1">
      <alignment horizontal="center" vertical="center"/>
    </xf>
    <xf numFmtId="9" fontId="8" fillId="0" borderId="4" xfId="0" applyNumberFormat="1" applyFont="1" applyFill="1" applyBorder="1" applyAlignment="1">
      <alignment horizontal="center" vertical="center" wrapText="1"/>
    </xf>
    <xf numFmtId="9" fontId="8" fillId="0" borderId="11" xfId="0" applyNumberFormat="1" applyFont="1" applyFill="1" applyBorder="1" applyAlignment="1">
      <alignment horizontal="center" vertical="center" wrapText="1"/>
    </xf>
    <xf numFmtId="9" fontId="8" fillId="0" borderId="8"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4" xfId="0" applyFont="1" applyFill="1" applyBorder="1" applyAlignment="1">
      <alignment horizontal="right" vertical="center"/>
    </xf>
    <xf numFmtId="0" fontId="7" fillId="0" borderId="11" xfId="0" applyFont="1" applyFill="1" applyBorder="1" applyAlignment="1">
      <alignment horizontal="right" vertical="center"/>
    </xf>
    <xf numFmtId="0" fontId="7" fillId="0" borderId="8" xfId="0" applyFont="1" applyFill="1" applyBorder="1" applyAlignment="1">
      <alignment horizontal="right" vertical="center"/>
    </xf>
    <xf numFmtId="0" fontId="6" fillId="0" borderId="4" xfId="0" applyFont="1" applyFill="1" applyBorder="1" applyAlignment="1">
      <alignment horizontal="justify" vertical="center" wrapText="1"/>
    </xf>
    <xf numFmtId="0" fontId="6" fillId="0" borderId="11"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3" fillId="7" borderId="9" xfId="0" applyFont="1" applyFill="1" applyBorder="1" applyAlignment="1">
      <alignment horizontal="left" vertical="center"/>
    </xf>
    <xf numFmtId="0" fontId="8" fillId="0" borderId="4" xfId="0" applyFont="1" applyFill="1" applyBorder="1" applyAlignment="1">
      <alignment horizontal="justify" vertical="center" wrapText="1"/>
    </xf>
    <xf numFmtId="0" fontId="8" fillId="0" borderId="8" xfId="0" applyFont="1" applyFill="1" applyBorder="1" applyAlignment="1">
      <alignment horizontal="justify" vertical="center" wrapText="1"/>
    </xf>
    <xf numFmtId="170" fontId="20" fillId="0" borderId="0" xfId="2" applyNumberFormat="1" applyFont="1" applyBorder="1" applyAlignment="1">
      <alignment horizont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5" fillId="0" borderId="4" xfId="0" applyFont="1" applyBorder="1" applyAlignment="1">
      <alignment horizontal="justify" vertical="center" wrapText="1"/>
    </xf>
    <xf numFmtId="0" fontId="5" fillId="0" borderId="8" xfId="0" applyFont="1" applyBorder="1" applyAlignment="1">
      <alignment horizontal="justify" vertical="center" wrapText="1"/>
    </xf>
    <xf numFmtId="9" fontId="5" fillId="0" borderId="4" xfId="0" applyNumberFormat="1" applyFont="1" applyBorder="1" applyAlignment="1">
      <alignment horizontal="center" vertical="center" wrapText="1"/>
    </xf>
    <xf numFmtId="9" fontId="5" fillId="0" borderId="8" xfId="0" applyNumberFormat="1" applyFont="1" applyBorder="1" applyAlignment="1">
      <alignment horizontal="center" vertical="center" wrapText="1"/>
    </xf>
    <xf numFmtId="0" fontId="7" fillId="0" borderId="4" xfId="0" applyFont="1" applyFill="1" applyBorder="1" applyAlignment="1">
      <alignment horizontal="right" vertical="center" wrapText="1"/>
    </xf>
    <xf numFmtId="0" fontId="7" fillId="0" borderId="8" xfId="0" applyFont="1" applyFill="1" applyBorder="1" applyAlignment="1">
      <alignment horizontal="right" vertical="center" wrapText="1"/>
    </xf>
    <xf numFmtId="0" fontId="3" fillId="7" borderId="9" xfId="0" applyFont="1" applyFill="1" applyBorder="1" applyAlignment="1">
      <alignment horizontal="center" vertical="center"/>
    </xf>
    <xf numFmtId="0" fontId="3" fillId="4"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170" fontId="5" fillId="0" borderId="4" xfId="0" applyNumberFormat="1" applyFont="1" applyFill="1" applyBorder="1" applyAlignment="1">
      <alignment horizontal="justify" vertical="center" wrapText="1"/>
    </xf>
    <xf numFmtId="170" fontId="5" fillId="0" borderId="11" xfId="0" applyNumberFormat="1" applyFont="1" applyFill="1" applyBorder="1" applyAlignment="1">
      <alignment horizontal="justify" vertical="center" wrapText="1"/>
    </xf>
    <xf numFmtId="170" fontId="5" fillId="0" borderId="8" xfId="0" applyNumberFormat="1" applyFont="1" applyFill="1" applyBorder="1" applyAlignment="1">
      <alignment horizontal="justify" vertical="center" wrapText="1"/>
    </xf>
    <xf numFmtId="0" fontId="7" fillId="0" borderId="11" xfId="0" applyFont="1" applyFill="1" applyBorder="1" applyAlignment="1">
      <alignment horizontal="right" vertical="center" wrapText="1"/>
    </xf>
    <xf numFmtId="0" fontId="3" fillId="13" borderId="3" xfId="0" applyFont="1" applyFill="1" applyBorder="1" applyAlignment="1">
      <alignment horizontal="left" vertical="center" wrapText="1"/>
    </xf>
    <xf numFmtId="3" fontId="5" fillId="0" borderId="4" xfId="0" applyNumberFormat="1" applyFont="1" applyFill="1" applyBorder="1" applyAlignment="1">
      <alignment horizontal="justify" vertical="center"/>
    </xf>
    <xf numFmtId="3" fontId="5" fillId="0" borderId="8" xfId="0" applyNumberFormat="1" applyFont="1" applyFill="1" applyBorder="1" applyAlignment="1">
      <alignment horizontal="justify" vertical="center"/>
    </xf>
    <xf numFmtId="1" fontId="5" fillId="0" borderId="4" xfId="3" applyNumberFormat="1" applyFont="1" applyFill="1" applyBorder="1" applyAlignment="1">
      <alignment horizontal="center" vertical="center" wrapText="1"/>
    </xf>
    <xf numFmtId="1" fontId="5" fillId="0" borderId="8" xfId="3" applyNumberFormat="1" applyFont="1" applyFill="1" applyBorder="1" applyAlignment="1">
      <alignment horizontal="center" vertical="center" wrapText="1"/>
    </xf>
    <xf numFmtId="0" fontId="5" fillId="2" borderId="2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2" borderId="4" xfId="0" applyFont="1" applyFill="1" applyBorder="1" applyAlignment="1">
      <alignment horizontal="justify" vertical="center" wrapText="1"/>
    </xf>
    <xf numFmtId="0" fontId="8" fillId="2" borderId="11" xfId="0" applyFont="1" applyFill="1" applyBorder="1" applyAlignment="1">
      <alignment horizontal="justify" vertical="center" wrapText="1"/>
    </xf>
    <xf numFmtId="0" fontId="8" fillId="2" borderId="8" xfId="0" applyFont="1" applyFill="1" applyBorder="1" applyAlignment="1">
      <alignment horizontal="justify" vertical="center" wrapText="1"/>
    </xf>
    <xf numFmtId="10" fontId="8" fillId="2" borderId="4" xfId="0" applyNumberFormat="1" applyFont="1" applyFill="1" applyBorder="1" applyAlignment="1">
      <alignment horizontal="center" vertical="center" wrapText="1"/>
    </xf>
    <xf numFmtId="10" fontId="8" fillId="2" borderId="11" xfId="0" applyNumberFormat="1" applyFont="1" applyFill="1" applyBorder="1" applyAlignment="1">
      <alignment horizontal="center" vertical="center" wrapText="1"/>
    </xf>
    <xf numFmtId="10" fontId="8" fillId="2" borderId="8" xfId="0" applyNumberFormat="1" applyFont="1" applyFill="1" applyBorder="1" applyAlignment="1">
      <alignment horizontal="center" vertical="center" wrapText="1"/>
    </xf>
    <xf numFmtId="9" fontId="5" fillId="2" borderId="4" xfId="0" applyNumberFormat="1" applyFont="1" applyFill="1" applyBorder="1" applyAlignment="1">
      <alignment horizontal="center" vertical="center" wrapText="1"/>
    </xf>
    <xf numFmtId="9" fontId="5" fillId="2" borderId="11"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1" fontId="5" fillId="2" borderId="8" xfId="0" applyNumberFormat="1" applyFont="1" applyFill="1" applyBorder="1" applyAlignment="1">
      <alignment horizontal="center" vertical="center" wrapText="1"/>
    </xf>
    <xf numFmtId="0" fontId="8" fillId="2" borderId="217" xfId="0" applyFont="1" applyFill="1" applyBorder="1" applyAlignment="1">
      <alignment horizontal="center" vertical="center" wrapText="1"/>
    </xf>
    <xf numFmtId="0" fontId="8" fillId="2" borderId="7" xfId="0"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9" fontId="5" fillId="0" borderId="8"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8" xfId="0" applyFont="1" applyFill="1" applyBorder="1" applyAlignment="1">
      <alignment horizontal="center" vertical="center"/>
    </xf>
    <xf numFmtId="0" fontId="16" fillId="2" borderId="4" xfId="0" applyFont="1" applyFill="1" applyBorder="1" applyAlignment="1">
      <alignment horizontal="justify" vertical="center" wrapText="1"/>
    </xf>
    <xf numFmtId="0" fontId="16" fillId="2" borderId="8" xfId="0" applyFont="1" applyFill="1" applyBorder="1" applyAlignment="1">
      <alignment horizontal="justify" vertical="center" wrapText="1"/>
    </xf>
    <xf numFmtId="9" fontId="8" fillId="2" borderId="4"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170" fontId="8" fillId="0" borderId="4" xfId="1" applyNumberFormat="1" applyFont="1" applyFill="1" applyBorder="1" applyAlignment="1">
      <alignment vertical="center" wrapText="1"/>
    </xf>
    <xf numFmtId="170" fontId="8" fillId="0" borderId="8" xfId="1" applyNumberFormat="1" applyFont="1" applyFill="1" applyBorder="1" applyAlignment="1">
      <alignment vertical="center" wrapText="1"/>
    </xf>
    <xf numFmtId="170" fontId="5" fillId="0" borderId="4" xfId="1" applyNumberFormat="1" applyFont="1" applyFill="1" applyBorder="1" applyAlignment="1">
      <alignment vertical="center" wrapText="1"/>
    </xf>
    <xf numFmtId="170" fontId="5" fillId="0" borderId="8" xfId="1" applyNumberFormat="1" applyFont="1" applyFill="1" applyBorder="1" applyAlignment="1">
      <alignment vertical="center" wrapText="1"/>
    </xf>
    <xf numFmtId="0" fontId="5" fillId="2" borderId="4" xfId="0" applyFont="1" applyFill="1" applyBorder="1" applyAlignment="1">
      <alignment horizontal="justify" vertical="center" wrapText="1"/>
    </xf>
    <xf numFmtId="0" fontId="5" fillId="2" borderId="11" xfId="0" applyFont="1" applyFill="1" applyBorder="1" applyAlignment="1">
      <alignment horizontal="justify" vertical="center" wrapText="1"/>
    </xf>
    <xf numFmtId="0" fontId="5" fillId="2" borderId="8" xfId="0" applyFont="1" applyFill="1" applyBorder="1" applyAlignment="1">
      <alignment horizontal="justify" vertical="center" wrapText="1"/>
    </xf>
    <xf numFmtId="0" fontId="8"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1" fontId="5" fillId="0" borderId="11" xfId="3" applyNumberFormat="1" applyFont="1" applyFill="1" applyBorder="1" applyAlignment="1">
      <alignment horizontal="center" vertical="center" wrapText="1"/>
    </xf>
    <xf numFmtId="0" fontId="7" fillId="2" borderId="4" xfId="0" applyFont="1" applyFill="1" applyBorder="1" applyAlignment="1">
      <alignment horizontal="right" vertical="center" wrapText="1"/>
    </xf>
    <xf numFmtId="0" fontId="7" fillId="2" borderId="11" xfId="0" applyFont="1" applyFill="1" applyBorder="1" applyAlignment="1">
      <alignment horizontal="right" vertical="center" wrapText="1"/>
    </xf>
    <xf numFmtId="0" fontId="7" fillId="2" borderId="8" xfId="0" applyFont="1" applyFill="1" applyBorder="1" applyAlignment="1">
      <alignment horizontal="right" vertical="center" wrapText="1"/>
    </xf>
    <xf numFmtId="0" fontId="5" fillId="0" borderId="8" xfId="0" applyFont="1" applyBorder="1" applyAlignment="1">
      <alignment horizontal="center" vertical="center" wrapText="1"/>
    </xf>
    <xf numFmtId="0" fontId="5" fillId="0" borderId="4" xfId="0" applyFont="1" applyFill="1" applyBorder="1" applyAlignment="1">
      <alignment horizontal="justify" vertical="center"/>
    </xf>
    <xf numFmtId="0" fontId="5" fillId="0" borderId="11" xfId="0" applyFont="1" applyFill="1" applyBorder="1" applyAlignment="1">
      <alignment horizontal="justify" vertical="center"/>
    </xf>
    <xf numFmtId="0" fontId="5" fillId="0" borderId="8" xfId="0" applyFont="1" applyFill="1" applyBorder="1" applyAlignment="1">
      <alignment horizontal="justify" vertical="center"/>
    </xf>
    <xf numFmtId="49" fontId="5" fillId="0" borderId="217"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4" xfId="0" applyNumberFormat="1" applyFont="1" applyFill="1" applyBorder="1" applyAlignment="1">
      <alignment horizontal="justify" vertical="center" wrapText="1"/>
    </xf>
    <xf numFmtId="49" fontId="5" fillId="0" borderId="8" xfId="0" applyNumberFormat="1" applyFont="1" applyFill="1" applyBorder="1" applyAlignment="1">
      <alignment horizontal="justify" vertical="center" wrapText="1"/>
    </xf>
    <xf numFmtId="10" fontId="5" fillId="0" borderId="4" xfId="0" applyNumberFormat="1" applyFont="1" applyFill="1" applyBorder="1" applyAlignment="1">
      <alignment horizontal="center" vertical="center" wrapText="1"/>
    </xf>
    <xf numFmtId="10" fontId="5" fillId="0" borderId="8" xfId="0" applyNumberFormat="1" applyFont="1" applyFill="1" applyBorder="1" applyAlignment="1">
      <alignment horizontal="center" vertical="center" wrapText="1"/>
    </xf>
    <xf numFmtId="0" fontId="5" fillId="0" borderId="11" xfId="0" applyFont="1" applyBorder="1" applyAlignment="1">
      <alignment horizontal="justify" vertical="center" wrapText="1"/>
    </xf>
    <xf numFmtId="3" fontId="5" fillId="2" borderId="4" xfId="0" applyNumberFormat="1" applyFont="1" applyFill="1" applyBorder="1" applyAlignment="1">
      <alignment horizontal="center" vertical="center"/>
    </xf>
    <xf numFmtId="3" fontId="5" fillId="2" borderId="8" xfId="0" applyNumberFormat="1" applyFont="1" applyFill="1" applyBorder="1" applyAlignment="1">
      <alignment horizontal="center" vertical="center"/>
    </xf>
    <xf numFmtId="3" fontId="7" fillId="0" borderId="4" xfId="3" applyNumberFormat="1" applyFont="1" applyFill="1" applyBorder="1" applyAlignment="1">
      <alignment horizontal="right" vertical="center" wrapText="1"/>
    </xf>
    <xf numFmtId="3" fontId="7" fillId="0" borderId="8" xfId="3" applyNumberFormat="1" applyFont="1" applyFill="1" applyBorder="1" applyAlignment="1">
      <alignment horizontal="right" vertical="center" wrapText="1"/>
    </xf>
    <xf numFmtId="3" fontId="5" fillId="0" borderId="4" xfId="0" applyNumberFormat="1" applyFont="1" applyFill="1" applyBorder="1" applyAlignment="1">
      <alignment horizontal="left" vertical="center"/>
    </xf>
    <xf numFmtId="3" fontId="5" fillId="0" borderId="8" xfId="0" applyNumberFormat="1" applyFont="1" applyFill="1" applyBorder="1" applyAlignment="1">
      <alignment horizontal="left" vertical="center"/>
    </xf>
    <xf numFmtId="3" fontId="5" fillId="0" borderId="4"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5" fillId="0" borderId="11" xfId="0" applyNumberFormat="1" applyFont="1" applyFill="1" applyBorder="1" applyAlignment="1">
      <alignment horizontal="left" vertical="center"/>
    </xf>
    <xf numFmtId="3" fontId="6" fillId="0" borderId="4" xfId="0" applyNumberFormat="1" applyFont="1" applyFill="1" applyBorder="1" applyAlignment="1">
      <alignment horizontal="left" vertical="center"/>
    </xf>
    <xf numFmtId="3" fontId="6" fillId="0" borderId="11" xfId="0" applyNumberFormat="1" applyFont="1" applyFill="1" applyBorder="1" applyAlignment="1">
      <alignment horizontal="left" vertical="center"/>
    </xf>
    <xf numFmtId="3" fontId="6" fillId="0" borderId="8" xfId="0" applyNumberFormat="1" applyFont="1" applyFill="1" applyBorder="1" applyAlignment="1">
      <alignment horizontal="left" vertical="center"/>
    </xf>
    <xf numFmtId="0" fontId="3" fillId="7" borderId="5" xfId="0" applyFont="1" applyFill="1" applyBorder="1" applyAlignment="1">
      <alignment horizontal="left" vertical="center"/>
    </xf>
    <xf numFmtId="3" fontId="5" fillId="0" borderId="4" xfId="0" applyNumberFormat="1" applyFont="1" applyFill="1" applyBorder="1" applyAlignment="1">
      <alignment horizontal="justify" vertical="center" wrapText="1"/>
    </xf>
    <xf numFmtId="3" fontId="5" fillId="0" borderId="11" xfId="0" applyNumberFormat="1" applyFont="1" applyFill="1" applyBorder="1" applyAlignment="1">
      <alignment horizontal="justify" vertical="center" wrapText="1"/>
    </xf>
    <xf numFmtId="3" fontId="5" fillId="0" borderId="8" xfId="0" applyNumberFormat="1" applyFont="1" applyFill="1" applyBorder="1" applyAlignment="1">
      <alignment horizontal="justify" vertical="center" wrapText="1"/>
    </xf>
    <xf numFmtId="3" fontId="5" fillId="0" borderId="4" xfId="0" applyNumberFormat="1" applyFont="1" applyFill="1" applyBorder="1" applyAlignment="1">
      <alignment horizontal="left" vertical="center" wrapText="1"/>
    </xf>
    <xf numFmtId="3" fontId="5" fillId="0" borderId="11" xfId="0" applyNumberFormat="1" applyFont="1" applyFill="1" applyBorder="1" applyAlignment="1">
      <alignment horizontal="left" vertical="center" wrapText="1"/>
    </xf>
    <xf numFmtId="3" fontId="5"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2" borderId="4" xfId="0" applyNumberFormat="1" applyFont="1" applyFill="1" applyBorder="1" applyAlignment="1">
      <alignment horizontal="justify" vertical="center" wrapText="1"/>
    </xf>
    <xf numFmtId="0" fontId="5" fillId="2" borderId="11" xfId="0" applyNumberFormat="1" applyFont="1" applyFill="1" applyBorder="1" applyAlignment="1">
      <alignment horizontal="justify" vertical="center" wrapText="1"/>
    </xf>
    <xf numFmtId="0" fontId="5" fillId="2" borderId="8" xfId="0" applyNumberFormat="1" applyFont="1" applyFill="1" applyBorder="1" applyAlignment="1">
      <alignment horizontal="justify"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11" xfId="0" applyNumberFormat="1" applyFont="1" applyFill="1" applyBorder="1" applyAlignment="1">
      <alignment horizontal="center" vertical="center" wrapText="1"/>
    </xf>
    <xf numFmtId="0" fontId="5" fillId="0" borderId="4" xfId="0" applyNumberFormat="1" applyFont="1" applyFill="1" applyBorder="1" applyAlignment="1">
      <alignment horizontal="justify" vertical="center" wrapText="1"/>
    </xf>
    <xf numFmtId="0" fontId="5" fillId="0" borderId="8" xfId="0"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2" borderId="4" xfId="0" applyFont="1" applyFill="1" applyBorder="1" applyAlignment="1">
      <alignment horizontal="justify" vertical="center"/>
    </xf>
    <xf numFmtId="0" fontId="5" fillId="2" borderId="8" xfId="0" applyFont="1" applyFill="1" applyBorder="1" applyAlignment="1">
      <alignment horizontal="justify" vertical="center"/>
    </xf>
    <xf numFmtId="16" fontId="5" fillId="2" borderId="4" xfId="0" applyNumberFormat="1" applyFont="1" applyFill="1" applyBorder="1" applyAlignment="1">
      <alignment horizontal="center" vertical="center" wrapText="1"/>
    </xf>
    <xf numFmtId="16" fontId="5" fillId="2" borderId="8" xfId="0" applyNumberFormat="1" applyFont="1" applyFill="1" applyBorder="1" applyAlignment="1">
      <alignment horizontal="center" vertical="center" wrapText="1"/>
    </xf>
    <xf numFmtId="16" fontId="5" fillId="0" borderId="4" xfId="0" applyNumberFormat="1" applyFont="1" applyFill="1" applyBorder="1" applyAlignment="1">
      <alignment horizontal="center" vertical="center" wrapText="1"/>
    </xf>
    <xf numFmtId="16" fontId="5" fillId="0" borderId="11" xfId="0" applyNumberFormat="1" applyFont="1" applyFill="1" applyBorder="1" applyAlignment="1">
      <alignment horizontal="center" vertical="center" wrapText="1"/>
    </xf>
    <xf numFmtId="16" fontId="5" fillId="0" borderId="8" xfId="0" applyNumberFormat="1" applyFont="1" applyFill="1" applyBorder="1" applyAlignment="1">
      <alignment horizontal="center" vertical="center" wrapText="1"/>
    </xf>
    <xf numFmtId="0" fontId="5" fillId="0" borderId="11" xfId="0" applyNumberFormat="1" applyFont="1" applyFill="1" applyBorder="1" applyAlignment="1">
      <alignment horizontal="justify" vertical="center"/>
    </xf>
    <xf numFmtId="0" fontId="5" fillId="0" borderId="8" xfId="0" applyNumberFormat="1" applyFont="1" applyFill="1" applyBorder="1" applyAlignment="1">
      <alignment horizontal="justify" vertical="center"/>
    </xf>
    <xf numFmtId="0" fontId="5" fillId="0" borderId="4" xfId="0" applyNumberFormat="1" applyFont="1" applyFill="1" applyBorder="1" applyAlignment="1">
      <alignment horizontal="justify" vertical="center"/>
    </xf>
    <xf numFmtId="0" fontId="5" fillId="0" borderId="21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49" fillId="0" borderId="8" xfId="0"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3" fillId="0" borderId="146" xfId="0" applyFont="1" applyFill="1" applyBorder="1" applyAlignment="1">
      <alignment horizontal="center" vertical="center" wrapText="1"/>
    </xf>
    <xf numFmtId="0" fontId="3" fillId="0" borderId="218" xfId="0" applyFont="1" applyFill="1" applyBorder="1" applyAlignment="1">
      <alignment horizontal="center" vertical="center" wrapText="1"/>
    </xf>
    <xf numFmtId="0" fontId="3" fillId="0" borderId="2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170" fontId="13" fillId="0" borderId="4" xfId="2" applyNumberFormat="1" applyFont="1" applyFill="1" applyBorder="1" applyAlignment="1">
      <alignment horizontal="center" vertical="center" wrapText="1"/>
    </xf>
    <xf numFmtId="170" fontId="13" fillId="0" borderId="8" xfId="2"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146" xfId="0" applyFont="1" applyFill="1" applyBorder="1" applyAlignment="1">
      <alignment horizontal="center" vertical="center" wrapText="1"/>
    </xf>
    <xf numFmtId="0" fontId="13" fillId="0" borderId="21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170" fontId="5" fillId="0" borderId="4" xfId="2" applyNumberFormat="1" applyFont="1" applyFill="1" applyBorder="1" applyAlignment="1">
      <alignment horizontal="justify" vertical="center" wrapText="1"/>
    </xf>
    <xf numFmtId="170" fontId="5" fillId="0" borderId="11" xfId="2" applyNumberFormat="1" applyFont="1" applyFill="1" applyBorder="1" applyAlignment="1">
      <alignment horizontal="justify" vertical="center" wrapText="1"/>
    </xf>
    <xf numFmtId="170" fontId="5" fillId="0" borderId="8" xfId="2" applyNumberFormat="1" applyFont="1" applyFill="1" applyBorder="1" applyAlignment="1">
      <alignment horizontal="justify" vertical="center" wrapText="1"/>
    </xf>
    <xf numFmtId="0" fontId="13" fillId="0" borderId="146" xfId="0" applyFont="1" applyFill="1" applyBorder="1" applyAlignment="1">
      <alignment horizontal="center" vertical="center"/>
    </xf>
    <xf numFmtId="0" fontId="13" fillId="0" borderId="21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5"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5" fillId="0" borderId="16" xfId="0" applyFont="1" applyFill="1" applyBorder="1" applyAlignment="1">
      <alignment horizontal="justify" vertical="center" wrapText="1"/>
    </xf>
    <xf numFmtId="0" fontId="5" fillId="0" borderId="11" xfId="0" applyNumberFormat="1" applyFont="1" applyFill="1" applyBorder="1" applyAlignment="1">
      <alignment horizontal="justify" vertical="center" wrapText="1"/>
    </xf>
    <xf numFmtId="0" fontId="9" fillId="0" borderId="218" xfId="4" applyFont="1" applyBorder="1" applyAlignment="1">
      <alignment horizontal="center" vertical="center"/>
    </xf>
    <xf numFmtId="0" fontId="9" fillId="0" borderId="217" xfId="4" applyFont="1" applyBorder="1" applyAlignment="1">
      <alignment horizontal="center" vertical="center"/>
    </xf>
    <xf numFmtId="0" fontId="9" fillId="0" borderId="0" xfId="4" applyFont="1" applyBorder="1" applyAlignment="1">
      <alignment horizontal="center" vertical="center"/>
    </xf>
    <xf numFmtId="0" fontId="9" fillId="0" borderId="12" xfId="4" applyFont="1" applyBorder="1" applyAlignment="1">
      <alignment horizontal="center" vertical="center"/>
    </xf>
    <xf numFmtId="0" fontId="4" fillId="0" borderId="10" xfId="4" applyFont="1" applyBorder="1" applyAlignment="1">
      <alignment horizontal="center" vertical="center"/>
    </xf>
    <xf numFmtId="0" fontId="4" fillId="0" borderId="0" xfId="4" applyFont="1" applyBorder="1" applyAlignment="1">
      <alignment horizontal="center" vertical="center"/>
    </xf>
    <xf numFmtId="0" fontId="4" fillId="0" borderId="12" xfId="4" applyFont="1" applyBorder="1" applyAlignment="1">
      <alignment horizontal="center" vertical="center"/>
    </xf>
  </cellXfs>
  <cellStyles count="1362">
    <cellStyle name="‡" xfId="24"/>
    <cellStyle name="20% - Accent1" xfId="25"/>
    <cellStyle name="20% - Accent1 2" xfId="26"/>
    <cellStyle name="20% - Accent2" xfId="27"/>
    <cellStyle name="20% - Accent2 2" xfId="28"/>
    <cellStyle name="20% - Accent3" xfId="29"/>
    <cellStyle name="20% - Accent3 2" xfId="30"/>
    <cellStyle name="20% - Accent4" xfId="31"/>
    <cellStyle name="20% - Accent4 2" xfId="32"/>
    <cellStyle name="20% - Accent5" xfId="33"/>
    <cellStyle name="20% - Accent5 2" xfId="34"/>
    <cellStyle name="20% - Accent6" xfId="35"/>
    <cellStyle name="20% - Accent6 2" xfId="36"/>
    <cellStyle name="20% - Énfasis1 2" xfId="37"/>
    <cellStyle name="20% - Énfasis1 3" xfId="38"/>
    <cellStyle name="20% - Énfasis2 2" xfId="39"/>
    <cellStyle name="20% - Énfasis2 3" xfId="40"/>
    <cellStyle name="20% - Énfasis3 2" xfId="41"/>
    <cellStyle name="20% - Énfasis3 3" xfId="42"/>
    <cellStyle name="20% - Énfasis4 2" xfId="43"/>
    <cellStyle name="20% - Énfasis4 3" xfId="44"/>
    <cellStyle name="20% - Énfasis5 2" xfId="45"/>
    <cellStyle name="20% - Énfasis5 3" xfId="46"/>
    <cellStyle name="20% - Énfasis6 2" xfId="47"/>
    <cellStyle name="20% - Énfasis6 3" xfId="48"/>
    <cellStyle name="40% - Accent1" xfId="49"/>
    <cellStyle name="40% - Accent1 2" xfId="50"/>
    <cellStyle name="40% - Accent2" xfId="51"/>
    <cellStyle name="40% - Accent2 2" xfId="52"/>
    <cellStyle name="40% - Accent3" xfId="53"/>
    <cellStyle name="40% - Accent3 2" xfId="54"/>
    <cellStyle name="40% - Accent4" xfId="55"/>
    <cellStyle name="40% - Accent4 2" xfId="56"/>
    <cellStyle name="40% - Accent5" xfId="57"/>
    <cellStyle name="40% - Accent5 2" xfId="58"/>
    <cellStyle name="40% - Accent6" xfId="59"/>
    <cellStyle name="40% - Accent6 2" xfId="60"/>
    <cellStyle name="40% - Énfasis1 2" xfId="61"/>
    <cellStyle name="40% - Énfasis1 3" xfId="62"/>
    <cellStyle name="40% - Énfasis2 2" xfId="63"/>
    <cellStyle name="40% - Énfasis2 3" xfId="64"/>
    <cellStyle name="40% - Énfasis3 2" xfId="65"/>
    <cellStyle name="40% - Énfasis3 3" xfId="66"/>
    <cellStyle name="40% - Énfasis4 2" xfId="67"/>
    <cellStyle name="40% - Énfasis4 3" xfId="68"/>
    <cellStyle name="40% - Énfasis5 2" xfId="69"/>
    <cellStyle name="40% - Énfasis5 3" xfId="70"/>
    <cellStyle name="40% - Énfasis6 2" xfId="71"/>
    <cellStyle name="40% - Énfasis6 3" xfId="72"/>
    <cellStyle name="60% - Accent1" xfId="73"/>
    <cellStyle name="60% - Accent2" xfId="74"/>
    <cellStyle name="60% - Accent3" xfId="75"/>
    <cellStyle name="60% - Accent4" xfId="76"/>
    <cellStyle name="60% - Accent5" xfId="77"/>
    <cellStyle name="60% - Accent6" xfId="78"/>
    <cellStyle name="60% - Énfasis1 2" xfId="79"/>
    <cellStyle name="60% - Énfasis1 3" xfId="80"/>
    <cellStyle name="60% - Énfasis2 2" xfId="81"/>
    <cellStyle name="60% - Énfasis2 3" xfId="82"/>
    <cellStyle name="60% - Énfasis3 2" xfId="83"/>
    <cellStyle name="60% - Énfasis3 3" xfId="84"/>
    <cellStyle name="60% - Énfasis4 2" xfId="85"/>
    <cellStyle name="60% - Énfasis4 3" xfId="86"/>
    <cellStyle name="60% - Énfasis5 2" xfId="87"/>
    <cellStyle name="60% - Énfasis5 3" xfId="88"/>
    <cellStyle name="60% - Énfasis6 2" xfId="89"/>
    <cellStyle name="60% - Énfasis6 3" xfId="90"/>
    <cellStyle name="Accent1" xfId="91"/>
    <cellStyle name="Accent2" xfId="92"/>
    <cellStyle name="Accent3" xfId="93"/>
    <cellStyle name="Accent4" xfId="94"/>
    <cellStyle name="Accent5" xfId="95"/>
    <cellStyle name="Accent6" xfId="96"/>
    <cellStyle name="Bad" xfId="97"/>
    <cellStyle name="Buena 2" xfId="98"/>
    <cellStyle name="Buena 3" xfId="99"/>
    <cellStyle name="Calculation" xfId="100"/>
    <cellStyle name="Calculation 10" xfId="486"/>
    <cellStyle name="Calculation 10 2" xfId="1066"/>
    <cellStyle name="Calculation 11" xfId="604"/>
    <cellStyle name="Calculation 11 2" xfId="1166"/>
    <cellStyle name="Calculation 12" xfId="616"/>
    <cellStyle name="Calculation 12 2" xfId="1177"/>
    <cellStyle name="Calculation 13" xfId="548"/>
    <cellStyle name="Calculation 13 2" xfId="1121"/>
    <cellStyle name="Calculation 14" xfId="648"/>
    <cellStyle name="Calculation 14 2" xfId="1205"/>
    <cellStyle name="Calculation 15" xfId="659"/>
    <cellStyle name="Calculation 15 2" xfId="1214"/>
    <cellStyle name="Calculation 16" xfId="670"/>
    <cellStyle name="Calculation 16 2" xfId="1222"/>
    <cellStyle name="Calculation 17" xfId="681"/>
    <cellStyle name="Calculation 17 2" xfId="1231"/>
    <cellStyle name="Calculation 18" xfId="617"/>
    <cellStyle name="Calculation 18 2" xfId="1178"/>
    <cellStyle name="Calculation 19" xfId="710"/>
    <cellStyle name="Calculation 19 2" xfId="1255"/>
    <cellStyle name="Calculation 2" xfId="345"/>
    <cellStyle name="Calculation 2 2" xfId="935"/>
    <cellStyle name="Calculation 20" xfId="720"/>
    <cellStyle name="Calculation 20 2" xfId="1264"/>
    <cellStyle name="Calculation 21" xfId="730"/>
    <cellStyle name="Calculation 21 2" xfId="1272"/>
    <cellStyle name="Calculation 22" xfId="695"/>
    <cellStyle name="Calculation 22 2" xfId="1242"/>
    <cellStyle name="Calculation 23" xfId="754"/>
    <cellStyle name="Calculation 23 2" xfId="1291"/>
    <cellStyle name="Calculation 24" xfId="711"/>
    <cellStyle name="Calculation 24 2" xfId="1256"/>
    <cellStyle name="Calculation 25" xfId="782"/>
    <cellStyle name="Calculation 25 2" xfId="1315"/>
    <cellStyle name="Calculation 26" xfId="791"/>
    <cellStyle name="Calculation 26 2" xfId="1322"/>
    <cellStyle name="Calculation 27" xfId="800"/>
    <cellStyle name="Calculation 27 2" xfId="1327"/>
    <cellStyle name="Calculation 28" xfId="807"/>
    <cellStyle name="Calculation 28 2" xfId="1332"/>
    <cellStyle name="Calculation 29" xfId="814"/>
    <cellStyle name="Calculation 29 2" xfId="1337"/>
    <cellStyle name="Calculation 3" xfId="483"/>
    <cellStyle name="Calculation 3 2" xfId="1063"/>
    <cellStyle name="Calculation 30" xfId="820"/>
    <cellStyle name="Calculation 30 2" xfId="1342"/>
    <cellStyle name="Calculation 31" xfId="826"/>
    <cellStyle name="Calculation 31 2" xfId="1346"/>
    <cellStyle name="Calculation 32" xfId="831"/>
    <cellStyle name="Calculation 32 2" xfId="1350"/>
    <cellStyle name="Calculation 33" xfId="836"/>
    <cellStyle name="Calculation 33 2" xfId="1353"/>
    <cellStyle name="Calculation 34" xfId="840"/>
    <cellStyle name="Calculation 34 2" xfId="1355"/>
    <cellStyle name="Calculation 35" xfId="843"/>
    <cellStyle name="Calculation 35 2" xfId="1357"/>
    <cellStyle name="Calculation 36" xfId="846"/>
    <cellStyle name="Calculation 36 2" xfId="1358"/>
    <cellStyle name="Calculation 37" xfId="860"/>
    <cellStyle name="Calculation 38" xfId="848"/>
    <cellStyle name="Calculation 4" xfId="499"/>
    <cellStyle name="Calculation 4 2" xfId="1078"/>
    <cellStyle name="Calculation 5" xfId="512"/>
    <cellStyle name="Calculation 5 2" xfId="1089"/>
    <cellStyle name="Calculation 6" xfId="428"/>
    <cellStyle name="Calculation 6 2" xfId="1012"/>
    <cellStyle name="Calculation 7" xfId="405"/>
    <cellStyle name="Calculation 7 2" xfId="990"/>
    <cellStyle name="Calculation 8" xfId="314"/>
    <cellStyle name="Calculation 8 2" xfId="906"/>
    <cellStyle name="Calculation 9" xfId="575"/>
    <cellStyle name="Calculation 9 2" xfId="1143"/>
    <cellStyle name="Cálculo 2" xfId="101"/>
    <cellStyle name="Cálculo 2 10" xfId="288"/>
    <cellStyle name="Cálculo 2 10 2" xfId="881"/>
    <cellStyle name="Cálculo 2 11" xfId="393"/>
    <cellStyle name="Cálculo 2 11 2" xfId="979"/>
    <cellStyle name="Cálculo 2 12" xfId="380"/>
    <cellStyle name="Cálculo 2 12 2" xfId="968"/>
    <cellStyle name="Cálculo 2 13" xfId="367"/>
    <cellStyle name="Cálculo 2 13 2" xfId="956"/>
    <cellStyle name="Cálculo 2 14" xfId="456"/>
    <cellStyle name="Cálculo 2 14 2" xfId="1036"/>
    <cellStyle name="Cálculo 2 15" xfId="414"/>
    <cellStyle name="Cálculo 2 15 2" xfId="999"/>
    <cellStyle name="Cálculo 2 16" xfId="627"/>
    <cellStyle name="Cálculo 2 16 2" xfId="1185"/>
    <cellStyle name="Cálculo 2 17" xfId="530"/>
    <cellStyle name="Cálculo 2 17 2" xfId="1105"/>
    <cellStyle name="Cálculo 2 18" xfId="633"/>
    <cellStyle name="Cálculo 2 18 2" xfId="1191"/>
    <cellStyle name="Cálculo 2 19" xfId="494"/>
    <cellStyle name="Cálculo 2 19 2" xfId="1073"/>
    <cellStyle name="Cálculo 2 2" xfId="346"/>
    <cellStyle name="Cálculo 2 2 2" xfId="936"/>
    <cellStyle name="Cálculo 2 20" xfId="310"/>
    <cellStyle name="Cálculo 2 20 2" xfId="903"/>
    <cellStyle name="Cálculo 2 21" xfId="690"/>
    <cellStyle name="Cálculo 2 21 2" xfId="1237"/>
    <cellStyle name="Cálculo 2 22" xfId="22"/>
    <cellStyle name="Cálculo 2 22 2" xfId="858"/>
    <cellStyle name="Cálculo 2 23" xfId="620"/>
    <cellStyle name="Cálculo 2 23 2" xfId="1181"/>
    <cellStyle name="Cálculo 2 24" xfId="552"/>
    <cellStyle name="Cálculo 2 24 2" xfId="1125"/>
    <cellStyle name="Cálculo 2 25" xfId="677"/>
    <cellStyle name="Cálculo 2 25 2" xfId="1228"/>
    <cellStyle name="Cálculo 2 26" xfId="460"/>
    <cellStyle name="Cálculo 2 26 2" xfId="1040"/>
    <cellStyle name="Cálculo 2 27" xfId="420"/>
    <cellStyle name="Cálculo 2 27 2" xfId="1005"/>
    <cellStyle name="Cálculo 2 28" xfId="708"/>
    <cellStyle name="Cálculo 2 28 2" xfId="1253"/>
    <cellStyle name="Cálculo 2 29" xfId="376"/>
    <cellStyle name="Cálculo 2 29 2" xfId="964"/>
    <cellStyle name="Cálculo 2 3" xfId="412"/>
    <cellStyle name="Cálculo 2 3 2" xfId="997"/>
    <cellStyle name="Cálculo 2 30" xfId="700"/>
    <cellStyle name="Cálculo 2 30 2" xfId="1245"/>
    <cellStyle name="Cálculo 2 31" xfId="701"/>
    <cellStyle name="Cálculo 2 31 2" xfId="1246"/>
    <cellStyle name="Cálculo 2 32" xfId="783"/>
    <cellStyle name="Cálculo 2 32 2" xfId="1316"/>
    <cellStyle name="Cálculo 2 33" xfId="792"/>
    <cellStyle name="Cálculo 2 33 2" xfId="1323"/>
    <cellStyle name="Cálculo 2 34" xfId="801"/>
    <cellStyle name="Cálculo 2 34 2" xfId="1328"/>
    <cellStyle name="Cálculo 2 35" xfId="808"/>
    <cellStyle name="Cálculo 2 35 2" xfId="1333"/>
    <cellStyle name="Cálculo 2 36" xfId="815"/>
    <cellStyle name="Cálculo 2 36 2" xfId="1338"/>
    <cellStyle name="Cálculo 2 37" xfId="861"/>
    <cellStyle name="Cálculo 2 38" xfId="821"/>
    <cellStyle name="Cálculo 2 4" xfId="355"/>
    <cellStyle name="Cálculo 2 4 2" xfId="944"/>
    <cellStyle name="Cálculo 2 5" xfId="286"/>
    <cellStyle name="Cálculo 2 5 2" xfId="880"/>
    <cellStyle name="Cálculo 2 6" xfId="369"/>
    <cellStyle name="Cálculo 2 6 2" xfId="958"/>
    <cellStyle name="Cálculo 2 7" xfId="520"/>
    <cellStyle name="Cálculo 2 7 2" xfId="1095"/>
    <cellStyle name="Cálculo 2 8" xfId="472"/>
    <cellStyle name="Cálculo 2 8 2" xfId="1052"/>
    <cellStyle name="Cálculo 2 9" xfId="503"/>
    <cellStyle name="Cálculo 2 9 2" xfId="1081"/>
    <cellStyle name="Cálculo 3" xfId="102"/>
    <cellStyle name="Cálculo 3 10" xfId="461"/>
    <cellStyle name="Cálculo 3 10 2" xfId="1041"/>
    <cellStyle name="Cálculo 3 11" xfId="392"/>
    <cellStyle name="Cálculo 3 11 2" xfId="978"/>
    <cellStyle name="Cálculo 3 12" xfId="565"/>
    <cellStyle name="Cálculo 3 12 2" xfId="1134"/>
    <cellStyle name="Cálculo 3 13" xfId="511"/>
    <cellStyle name="Cálculo 3 13 2" xfId="1088"/>
    <cellStyle name="Cálculo 3 14" xfId="324"/>
    <cellStyle name="Cálculo 3 14 2" xfId="914"/>
    <cellStyle name="Cálculo 3 15" xfId="434"/>
    <cellStyle name="Cálculo 3 15 2" xfId="1017"/>
    <cellStyle name="Cálculo 3 16" xfId="555"/>
    <cellStyle name="Cálculo 3 16 2" xfId="1126"/>
    <cellStyle name="Cálculo 3 17" xfId="536"/>
    <cellStyle name="Cálculo 3 17 2" xfId="1110"/>
    <cellStyle name="Cálculo 3 18" xfId="301"/>
    <cellStyle name="Cálculo 3 18 2" xfId="894"/>
    <cellStyle name="Cálculo 3 19" xfId="477"/>
    <cellStyle name="Cálculo 3 19 2" xfId="1057"/>
    <cellStyle name="Cálculo 3 2" xfId="347"/>
    <cellStyle name="Cálculo 3 2 2" xfId="937"/>
    <cellStyle name="Cálculo 3 20" xfId="557"/>
    <cellStyle name="Cálculo 3 20 2" xfId="1128"/>
    <cellStyle name="Cálculo 3 21" xfId="619"/>
    <cellStyle name="Cálculo 3 21 2" xfId="1180"/>
    <cellStyle name="Cálculo 3 22" xfId="518"/>
    <cellStyle name="Cálculo 3 22 2" xfId="1094"/>
    <cellStyle name="Cálculo 3 23" xfId="600"/>
    <cellStyle name="Cálculo 3 23 2" xfId="1162"/>
    <cellStyle name="Cálculo 3 24" xfId="507"/>
    <cellStyle name="Cálculo 3 24 2" xfId="1084"/>
    <cellStyle name="Cálculo 3 25" xfId="717"/>
    <cellStyle name="Cálculo 3 25 2" xfId="1261"/>
    <cellStyle name="Cálculo 3 26" xfId="666"/>
    <cellStyle name="Cálculo 3 26 2" xfId="1218"/>
    <cellStyle name="Cálculo 3 27" xfId="675"/>
    <cellStyle name="Cálculo 3 27 2" xfId="1227"/>
    <cellStyle name="Cálculo 3 28" xfId="757"/>
    <cellStyle name="Cálculo 3 28 2" xfId="1294"/>
    <cellStyle name="Cálculo 3 29" xfId="682"/>
    <cellStyle name="Cálculo 3 29 2" xfId="1232"/>
    <cellStyle name="Cálculo 3 3" xfId="411"/>
    <cellStyle name="Cálculo 3 3 2" xfId="996"/>
    <cellStyle name="Cálculo 3 30" xfId="759"/>
    <cellStyle name="Cálculo 3 30 2" xfId="1295"/>
    <cellStyle name="Cálculo 3 31" xfId="767"/>
    <cellStyle name="Cálculo 3 31 2" xfId="1302"/>
    <cellStyle name="Cálculo 3 32" xfId="728"/>
    <cellStyle name="Cálculo 3 32 2" xfId="1270"/>
    <cellStyle name="Cálculo 3 33" xfId="702"/>
    <cellStyle name="Cálculo 3 33 2" xfId="1247"/>
    <cellStyle name="Cálculo 3 34" xfId="752"/>
    <cellStyle name="Cálculo 3 34 2" xfId="1289"/>
    <cellStyle name="Cálculo 3 35" xfId="770"/>
    <cellStyle name="Cálculo 3 35 2" xfId="1305"/>
    <cellStyle name="Cálculo 3 36" xfId="495"/>
    <cellStyle name="Cálculo 3 36 2" xfId="1074"/>
    <cellStyle name="Cálculo 3 37" xfId="862"/>
    <cellStyle name="Cálculo 3 38" xfId="745"/>
    <cellStyle name="Cálculo 3 4" xfId="356"/>
    <cellStyle name="Cálculo 3 4 2" xfId="945"/>
    <cellStyle name="Cálculo 3 5" xfId="404"/>
    <cellStyle name="Cálculo 3 5 2" xfId="989"/>
    <cellStyle name="Cálculo 3 6" xfId="21"/>
    <cellStyle name="Cálculo 3 6 2" xfId="857"/>
    <cellStyle name="Cálculo 3 7" xfId="403"/>
    <cellStyle name="Cálculo 3 7 2" xfId="988"/>
    <cellStyle name="Cálculo 3 8" xfId="478"/>
    <cellStyle name="Cálculo 3 8 2" xfId="1058"/>
    <cellStyle name="Cálculo 3 9" xfId="399"/>
    <cellStyle name="Cálculo 3 9 2" xfId="984"/>
    <cellStyle name="Celda de comprobación 2" xfId="103"/>
    <cellStyle name="Celda de comprobación 3" xfId="104"/>
    <cellStyle name="Celda vinculada 2" xfId="105"/>
    <cellStyle name="Celda vinculada 3" xfId="106"/>
    <cellStyle name="Check Cell" xfId="107"/>
    <cellStyle name="Encabezado 4 2" xfId="108"/>
    <cellStyle name="Encabezado 4 3" xfId="109"/>
    <cellStyle name="Énfasis1 2" xfId="110"/>
    <cellStyle name="Énfasis1 3" xfId="111"/>
    <cellStyle name="Énfasis2 2" xfId="112"/>
    <cellStyle name="Énfasis2 3" xfId="113"/>
    <cellStyle name="Énfasis3 2" xfId="114"/>
    <cellStyle name="Énfasis3 3" xfId="115"/>
    <cellStyle name="Énfasis4 2" xfId="116"/>
    <cellStyle name="Énfasis4 3" xfId="117"/>
    <cellStyle name="Énfasis5 2" xfId="118"/>
    <cellStyle name="Énfasis5 3" xfId="119"/>
    <cellStyle name="Énfasis6 2" xfId="120"/>
    <cellStyle name="Énfasis6 3" xfId="121"/>
    <cellStyle name="Entrada 2" xfId="122"/>
    <cellStyle name="Entrada 2 10" xfId="523"/>
    <cellStyle name="Entrada 2 10 2" xfId="1098"/>
    <cellStyle name="Entrada 2 11" xfId="438"/>
    <cellStyle name="Entrada 2 11 2" xfId="1021"/>
    <cellStyle name="Entrada 2 12" xfId="570"/>
    <cellStyle name="Entrada 2 12 2" xfId="1138"/>
    <cellStyle name="Entrada 2 13" xfId="533"/>
    <cellStyle name="Entrada 2 13 2" xfId="1107"/>
    <cellStyle name="Entrada 2 14" xfId="579"/>
    <cellStyle name="Entrada 2 14 2" xfId="1145"/>
    <cellStyle name="Entrada 2 15" xfId="567"/>
    <cellStyle name="Entrada 2 15 2" xfId="1136"/>
    <cellStyle name="Entrada 2 16" xfId="497"/>
    <cellStyle name="Entrada 2 16 2" xfId="1076"/>
    <cellStyle name="Entrada 2 17" xfId="641"/>
    <cellStyle name="Entrada 2 17 2" xfId="1198"/>
    <cellStyle name="Entrada 2 18" xfId="306"/>
    <cellStyle name="Entrada 2 18 2" xfId="899"/>
    <cellStyle name="Entrada 2 19" xfId="586"/>
    <cellStyle name="Entrada 2 19 2" xfId="1149"/>
    <cellStyle name="Entrada 2 2" xfId="361"/>
    <cellStyle name="Entrada 2 2 2" xfId="950"/>
    <cellStyle name="Entrada 2 20" xfId="654"/>
    <cellStyle name="Entrada 2 20 2" xfId="1210"/>
    <cellStyle name="Entrada 2 21" xfId="378"/>
    <cellStyle name="Entrada 2 21 2" xfId="966"/>
    <cellStyle name="Entrada 2 22" xfId="740"/>
    <cellStyle name="Entrada 2 22 2" xfId="1281"/>
    <cellStyle name="Entrada 2 23" xfId="729"/>
    <cellStyle name="Entrada 2 23 2" xfId="1271"/>
    <cellStyle name="Entrada 2 24" xfId="337"/>
    <cellStyle name="Entrada 2 24 2" xfId="927"/>
    <cellStyle name="Entrada 2 25" xfId="638"/>
    <cellStyle name="Entrada 2 25 2" xfId="1196"/>
    <cellStyle name="Entrada 2 26" xfId="713"/>
    <cellStyle name="Entrada 2 26 2" xfId="1258"/>
    <cellStyle name="Entrada 2 27" xfId="334"/>
    <cellStyle name="Entrada 2 27 2" xfId="924"/>
    <cellStyle name="Entrada 2 28" xfId="776"/>
    <cellStyle name="Entrada 2 28 2" xfId="1310"/>
    <cellStyle name="Entrada 2 29" xfId="724"/>
    <cellStyle name="Entrada 2 29 2" xfId="1268"/>
    <cellStyle name="Entrada 2 3" xfId="395"/>
    <cellStyle name="Entrada 2 3 2" xfId="981"/>
    <cellStyle name="Entrada 2 30" xfId="747"/>
    <cellStyle name="Entrada 2 30 2" xfId="1285"/>
    <cellStyle name="Entrada 2 31" xfId="715"/>
    <cellStyle name="Entrada 2 31 2" xfId="1259"/>
    <cellStyle name="Entrada 2 32" xfId="390"/>
    <cellStyle name="Entrada 2 32 2" xfId="977"/>
    <cellStyle name="Entrada 2 33" xfId="537"/>
    <cellStyle name="Entrada 2 33 2" xfId="1111"/>
    <cellStyle name="Entrada 2 34" xfId="416"/>
    <cellStyle name="Entrada 2 34 2" xfId="1001"/>
    <cellStyle name="Entrada 2 35" xfId="734"/>
    <cellStyle name="Entrada 2 35 2" xfId="1276"/>
    <cellStyle name="Entrada 2 36" xfId="474"/>
    <cellStyle name="Entrada 2 36 2" xfId="1054"/>
    <cellStyle name="Entrada 2 37" xfId="863"/>
    <cellStyle name="Entrada 2 38" xfId="578"/>
    <cellStyle name="Entrada 2 4" xfId="467"/>
    <cellStyle name="Entrada 2 4 2" xfId="1047"/>
    <cellStyle name="Entrada 2 5" xfId="304"/>
    <cellStyle name="Entrada 2 5 2" xfId="897"/>
    <cellStyle name="Entrada 2 6" xfId="292"/>
    <cellStyle name="Entrada 2 6 2" xfId="885"/>
    <cellStyle name="Entrada 2 7" xfId="388"/>
    <cellStyle name="Entrada 2 7 2" xfId="975"/>
    <cellStyle name="Entrada 2 8" xfId="312"/>
    <cellStyle name="Entrada 2 8 2" xfId="904"/>
    <cellStyle name="Entrada 2 9" xfId="513"/>
    <cellStyle name="Entrada 2 9 2" xfId="1090"/>
    <cellStyle name="Entrada 3" xfId="123"/>
    <cellStyle name="Entrada 3 10" xfId="588"/>
    <cellStyle name="Entrada 3 10 2" xfId="1151"/>
    <cellStyle name="Entrada 3 11" xfId="23"/>
    <cellStyle name="Entrada 3 11 2" xfId="859"/>
    <cellStyle name="Entrada 3 12" xfId="550"/>
    <cellStyle name="Entrada 3 12 2" xfId="1123"/>
    <cellStyle name="Entrada 3 13" xfId="630"/>
    <cellStyle name="Entrada 3 13 2" xfId="1188"/>
    <cellStyle name="Entrada 3 14" xfId="471"/>
    <cellStyle name="Entrada 3 14 2" xfId="1051"/>
    <cellStyle name="Entrada 3 15" xfId="305"/>
    <cellStyle name="Entrada 3 15 2" xfId="898"/>
    <cellStyle name="Entrada 3 16" xfId="353"/>
    <cellStyle name="Entrada 3 16 2" xfId="942"/>
    <cellStyle name="Entrada 3 17" xfId="613"/>
    <cellStyle name="Entrada 3 17 2" xfId="1174"/>
    <cellStyle name="Entrada 3 18" xfId="693"/>
    <cellStyle name="Entrada 3 18 2" xfId="1240"/>
    <cellStyle name="Entrada 3 19" xfId="396"/>
    <cellStyle name="Entrada 3 19 2" xfId="982"/>
    <cellStyle name="Entrada 3 2" xfId="362"/>
    <cellStyle name="Entrada 3 2 2" xfId="951"/>
    <cellStyle name="Entrada 3 20" xfId="662"/>
    <cellStyle name="Entrada 3 20 2" xfId="1217"/>
    <cellStyle name="Entrada 3 21" xfId="608"/>
    <cellStyle name="Entrada 3 21 2" xfId="1170"/>
    <cellStyle name="Entrada 3 22" xfId="629"/>
    <cellStyle name="Entrada 3 22 2" xfId="1187"/>
    <cellStyle name="Entrada 3 23" xfId="357"/>
    <cellStyle name="Entrada 3 23 2" xfId="946"/>
    <cellStyle name="Entrada 3 24" xfId="697"/>
    <cellStyle name="Entrada 3 24 2" xfId="1243"/>
    <cellStyle name="Entrada 3 25" xfId="524"/>
    <cellStyle name="Entrada 3 25 2" xfId="1099"/>
    <cellStyle name="Entrada 3 26" xfId="763"/>
    <cellStyle name="Entrada 3 26 2" xfId="1299"/>
    <cellStyle name="Entrada 3 27" xfId="481"/>
    <cellStyle name="Entrada 3 27 2" xfId="1061"/>
    <cellStyle name="Entrada 3 28" xfId="348"/>
    <cellStyle name="Entrada 3 28 2" xfId="938"/>
    <cellStyle name="Entrada 3 29" xfId="731"/>
    <cellStyle name="Entrada 3 29 2" xfId="1273"/>
    <cellStyle name="Entrada 3 3" xfId="394"/>
    <cellStyle name="Entrada 3 3 2" xfId="980"/>
    <cellStyle name="Entrada 3 30" xfId="560"/>
    <cellStyle name="Entrada 3 30 2" xfId="1130"/>
    <cellStyle name="Entrada 3 31" xfId="529"/>
    <cellStyle name="Entrada 3 31 2" xfId="1104"/>
    <cellStyle name="Entrada 3 32" xfId="631"/>
    <cellStyle name="Entrada 3 32 2" xfId="1189"/>
    <cellStyle name="Entrada 3 33" xfId="726"/>
    <cellStyle name="Entrada 3 33 2" xfId="1269"/>
    <cellStyle name="Entrada 3 34" xfId="721"/>
    <cellStyle name="Entrada 3 34 2" xfId="1265"/>
    <cellStyle name="Entrada 3 35" xfId="768"/>
    <cellStyle name="Entrada 3 35 2" xfId="1303"/>
    <cellStyle name="Entrada 3 36" xfId="291"/>
    <cellStyle name="Entrada 3 36 2" xfId="884"/>
    <cellStyle name="Entrada 3 37" xfId="864"/>
    <cellStyle name="Entrada 3 38" xfId="727"/>
    <cellStyle name="Entrada 3 4" xfId="370"/>
    <cellStyle name="Entrada 3 4 2" xfId="959"/>
    <cellStyle name="Entrada 3 5" xfId="389"/>
    <cellStyle name="Entrada 3 5 2" xfId="976"/>
    <cellStyle name="Entrada 3 6" xfId="487"/>
    <cellStyle name="Entrada 3 6 2" xfId="1067"/>
    <cellStyle name="Entrada 3 7" xfId="546"/>
    <cellStyle name="Entrada 3 7 2" xfId="1119"/>
    <cellStyle name="Entrada 3 8" xfId="563"/>
    <cellStyle name="Entrada 3 8 2" xfId="1132"/>
    <cellStyle name="Entrada 3 9" xfId="488"/>
    <cellStyle name="Entrada 3 9 2" xfId="1068"/>
    <cellStyle name="Estilo 1" xfId="124"/>
    <cellStyle name="Estilo 1 2" xfId="125"/>
    <cellStyle name="Euro" xfId="126"/>
    <cellStyle name="Euro 2" xfId="127"/>
    <cellStyle name="Euro 2 2" xfId="128"/>
    <cellStyle name="Euro 2 3" xfId="129"/>
    <cellStyle name="Euro 3" xfId="130"/>
    <cellStyle name="Excel Built-in Normal" xfId="14"/>
    <cellStyle name="Excel Built-in Normal 2" xfId="245"/>
    <cellStyle name="Explanatory Text" xfId="131"/>
    <cellStyle name="Good" xfId="132"/>
    <cellStyle name="Heading 1" xfId="133"/>
    <cellStyle name="Heading 2" xfId="134"/>
    <cellStyle name="Heading 3" xfId="135"/>
    <cellStyle name="Heading 4" xfId="136"/>
    <cellStyle name="Incorrecto 2" xfId="137"/>
    <cellStyle name="Incorrecto 3" xfId="138"/>
    <cellStyle name="Input" xfId="139"/>
    <cellStyle name="Input 10" xfId="502"/>
    <cellStyle name="Input 10 2" xfId="1080"/>
    <cellStyle name="Input 11" xfId="415"/>
    <cellStyle name="Input 11 2" xfId="1000"/>
    <cellStyle name="Input 12" xfId="602"/>
    <cellStyle name="Input 12 2" xfId="1164"/>
    <cellStyle name="Input 13" xfId="592"/>
    <cellStyle name="Input 13 2" xfId="1155"/>
    <cellStyle name="Input 14" xfId="450"/>
    <cellStyle name="Input 14 2" xfId="1031"/>
    <cellStyle name="Input 15" xfId="646"/>
    <cellStyle name="Input 15 2" xfId="1203"/>
    <cellStyle name="Input 16" xfId="657"/>
    <cellStyle name="Input 16 2" xfId="1212"/>
    <cellStyle name="Input 17" xfId="667"/>
    <cellStyle name="Input 17 2" xfId="1219"/>
    <cellStyle name="Input 18" xfId="635"/>
    <cellStyle name="Input 18 2" xfId="1193"/>
    <cellStyle name="Input 19" xfId="637"/>
    <cellStyle name="Input 19 2" xfId="1195"/>
    <cellStyle name="Input 2" xfId="377"/>
    <cellStyle name="Input 2 2" xfId="965"/>
    <cellStyle name="Input 20" xfId="707"/>
    <cellStyle name="Input 20 2" xfId="1252"/>
    <cellStyle name="Input 21" xfId="719"/>
    <cellStyle name="Input 21 2" xfId="1263"/>
    <cellStyle name="Input 22" xfId="692"/>
    <cellStyle name="Input 22 2" xfId="1239"/>
    <cellStyle name="Input 23" xfId="722"/>
    <cellStyle name="Input 23 2" xfId="1266"/>
    <cellStyle name="Input 24" xfId="672"/>
    <cellStyle name="Input 24 2" xfId="1224"/>
    <cellStyle name="Input 25" xfId="387"/>
    <cellStyle name="Input 25 2" xfId="974"/>
    <cellStyle name="Input 26" xfId="780"/>
    <cellStyle name="Input 26 2" xfId="1313"/>
    <cellStyle name="Input 27" xfId="789"/>
    <cellStyle name="Input 27 2" xfId="1320"/>
    <cellStyle name="Input 28" xfId="798"/>
    <cellStyle name="Input 28 2" xfId="1325"/>
    <cellStyle name="Input 29" xfId="805"/>
    <cellStyle name="Input 29 2" xfId="1330"/>
    <cellStyle name="Input 3" xfId="384"/>
    <cellStyle name="Input 3 2" xfId="971"/>
    <cellStyle name="Input 30" xfId="812"/>
    <cellStyle name="Input 30 2" xfId="1335"/>
    <cellStyle name="Input 31" xfId="818"/>
    <cellStyle name="Input 31 2" xfId="1340"/>
    <cellStyle name="Input 32" xfId="824"/>
    <cellStyle name="Input 32 2" xfId="1344"/>
    <cellStyle name="Input 33" xfId="829"/>
    <cellStyle name="Input 33 2" xfId="1348"/>
    <cellStyle name="Input 34" xfId="834"/>
    <cellStyle name="Input 34 2" xfId="1351"/>
    <cellStyle name="Input 35" xfId="838"/>
    <cellStyle name="Input 35 2" xfId="1354"/>
    <cellStyle name="Input 36" xfId="842"/>
    <cellStyle name="Input 36 2" xfId="1356"/>
    <cellStyle name="Input 37" xfId="865"/>
    <cellStyle name="Input 38" xfId="845"/>
    <cellStyle name="Input 4" xfId="482"/>
    <cellStyle name="Input 4 2" xfId="1062"/>
    <cellStyle name="Input 5" xfId="496"/>
    <cellStyle name="Input 5 2" xfId="1075"/>
    <cellStyle name="Input 6" xfId="527"/>
    <cellStyle name="Input 6 2" xfId="1102"/>
    <cellStyle name="Input 7" xfId="385"/>
    <cellStyle name="Input 7 2" xfId="972"/>
    <cellStyle name="Input 8" xfId="551"/>
    <cellStyle name="Input 8 2" xfId="1124"/>
    <cellStyle name="Input 9" xfId="479"/>
    <cellStyle name="Input 9 2" xfId="1059"/>
    <cellStyle name="Linked Cell" xfId="140"/>
    <cellStyle name="Millares" xfId="1" builtinId="3"/>
    <cellStyle name="Millares [0] 2" xfId="13"/>
    <cellStyle name="Millares [0] 2 2" xfId="275"/>
    <cellStyle name="Millares [0] 3" xfId="276"/>
    <cellStyle name="Millares [0] 4" xfId="269"/>
    <cellStyle name="Millares 10" xfId="141"/>
    <cellStyle name="Millares 11" xfId="142"/>
    <cellStyle name="Millares 12" xfId="143"/>
    <cellStyle name="Millares 13" xfId="287"/>
    <cellStyle name="Millares 14" xfId="453"/>
    <cellStyle name="Millares 15" xfId="318"/>
    <cellStyle name="Millares 16" xfId="144"/>
    <cellStyle name="Millares 17" xfId="145"/>
    <cellStyle name="Millares 18" xfId="146"/>
    <cellStyle name="Millares 19" xfId="147"/>
    <cellStyle name="Millares 2" xfId="2"/>
    <cellStyle name="Millares 2 10" xfId="148"/>
    <cellStyle name="Millares 2 11" xfId="149"/>
    <cellStyle name="Millares 2 12" xfId="150"/>
    <cellStyle name="Millares 2 13" xfId="151"/>
    <cellStyle name="Millares 2 2" xfId="152"/>
    <cellStyle name="Millares 2 2 2" xfId="153"/>
    <cellStyle name="Millares 2 2 3" xfId="246"/>
    <cellStyle name="Millares 2 3" xfId="154"/>
    <cellStyle name="Millares 2 3 2" xfId="155"/>
    <cellStyle name="Millares 2 3 3" xfId="247"/>
    <cellStyle name="Millares 2 4" xfId="156"/>
    <cellStyle name="Millares 2 4 2" xfId="273"/>
    <cellStyle name="Millares 2 5" xfId="157"/>
    <cellStyle name="Millares 2 5 2" xfId="271"/>
    <cellStyle name="Millares 2 6" xfId="158"/>
    <cellStyle name="Millares 2 7" xfId="159"/>
    <cellStyle name="Millares 2 8" xfId="160"/>
    <cellStyle name="Millares 2 9" xfId="161"/>
    <cellStyle name="Millares 20" xfId="162"/>
    <cellStyle name="Millares 21" xfId="163"/>
    <cellStyle name="Millares 22" xfId="164"/>
    <cellStyle name="Millares 23" xfId="165"/>
    <cellStyle name="Millares 24" xfId="166"/>
    <cellStyle name="Millares 25" xfId="167"/>
    <cellStyle name="Millares 26" xfId="168"/>
    <cellStyle name="Millares 27" xfId="169"/>
    <cellStyle name="Millares 28" xfId="170"/>
    <cellStyle name="Millares 29" xfId="171"/>
    <cellStyle name="Millares 3" xfId="8"/>
    <cellStyle name="Millares 3 2" xfId="172"/>
    <cellStyle name="Millares 3 3" xfId="173"/>
    <cellStyle name="Millares 3 4" xfId="174"/>
    <cellStyle name="Millares 3 5" xfId="175"/>
    <cellStyle name="Millares 3 6" xfId="20"/>
    <cellStyle name="Millares 3 7" xfId="1359"/>
    <cellStyle name="Millares 3 7 2" xfId="1360"/>
    <cellStyle name="Millares 30" xfId="176"/>
    <cellStyle name="Millares 31" xfId="177"/>
    <cellStyle name="Millares 32" xfId="427"/>
    <cellStyle name="Millares 33" xfId="433"/>
    <cellStyle name="Millares 34" xfId="541"/>
    <cellStyle name="Millares 35" xfId="559"/>
    <cellStyle name="Millares 36" xfId="440"/>
    <cellStyle name="Millares 37" xfId="583"/>
    <cellStyle name="Millares 38" xfId="553"/>
    <cellStyle name="Millares 39" xfId="562"/>
    <cellStyle name="Millares 4" xfId="7"/>
    <cellStyle name="Millares 4 2" xfId="178"/>
    <cellStyle name="Millares 4 3" xfId="179"/>
    <cellStyle name="Millares 4 4" xfId="180"/>
    <cellStyle name="Millares 4 5" xfId="272"/>
    <cellStyle name="Millares 4 6" xfId="15"/>
    <cellStyle name="Millares 4 7" xfId="852"/>
    <cellStyle name="Millares 40" xfId="626"/>
    <cellStyle name="Millares 41" xfId="375"/>
    <cellStyle name="Millares 42" xfId="398"/>
    <cellStyle name="Millares 43" xfId="622"/>
    <cellStyle name="Millares 44" xfId="391"/>
    <cellStyle name="Millares 45" xfId="689"/>
    <cellStyle name="Millares 46" xfId="664"/>
    <cellStyle name="Millares 47" xfId="382"/>
    <cellStyle name="Millares 48" xfId="685"/>
    <cellStyle name="Millares 49" xfId="311"/>
    <cellStyle name="Millares 5" xfId="181"/>
    <cellStyle name="Millares 5 2" xfId="182"/>
    <cellStyle name="Millares 5 3" xfId="183"/>
    <cellStyle name="Millares 5 4" xfId="270"/>
    <cellStyle name="Millares 50" xfId="441"/>
    <cellStyle name="Millares 51" xfId="501"/>
    <cellStyle name="Millares 52" xfId="746"/>
    <cellStyle name="Millares 53" xfId="655"/>
    <cellStyle name="Millares 54" xfId="696"/>
    <cellStyle name="Millares 55" xfId="679"/>
    <cellStyle name="Millares 56" xfId="751"/>
    <cellStyle name="Millares 57" xfId="514"/>
    <cellStyle name="Millares 58" xfId="775"/>
    <cellStyle name="Millares 59" xfId="576"/>
    <cellStyle name="Millares 6" xfId="6"/>
    <cellStyle name="Millares 6 2" xfId="184"/>
    <cellStyle name="Millares 60" xfId="777"/>
    <cellStyle name="Millares 61" xfId="786"/>
    <cellStyle name="Millares 62" xfId="795"/>
    <cellStyle name="Millares 63" xfId="803"/>
    <cellStyle name="Millares 64" xfId="851"/>
    <cellStyle name="Millares 65" xfId="810"/>
    <cellStyle name="Millares 7" xfId="185"/>
    <cellStyle name="Millares 8" xfId="186"/>
    <cellStyle name="Millares 9" xfId="187"/>
    <cellStyle name="Moneda [0]" xfId="1361" builtinId="7"/>
    <cellStyle name="Moneda [0] 2" xfId="244"/>
    <cellStyle name="Moneda [0] 2 2" xfId="274"/>
    <cellStyle name="Moneda [0] 2 3" xfId="279"/>
    <cellStyle name="Moneda [0] 3" xfId="278"/>
    <cellStyle name="Moneda 10" xfId="505"/>
    <cellStyle name="Moneda 11" xfId="519"/>
    <cellStyle name="Moneda 12" xfId="532"/>
    <cellStyle name="Moneda 13" xfId="554"/>
    <cellStyle name="Moneda 14" xfId="568"/>
    <cellStyle name="Moneda 15" xfId="582"/>
    <cellStyle name="Moneda 16" xfId="596"/>
    <cellStyle name="Moneda 17" xfId="610"/>
    <cellStyle name="Moneda 18" xfId="624"/>
    <cellStyle name="Moneda 19" xfId="639"/>
    <cellStyle name="Moneda 2" xfId="12"/>
    <cellStyle name="Moneda 2 2" xfId="188"/>
    <cellStyle name="Moneda 2 2 2" xfId="249"/>
    <cellStyle name="Moneda 2 2 3" xfId="866"/>
    <cellStyle name="Moneda 2 3" xfId="248"/>
    <cellStyle name="Moneda 2 4" xfId="855"/>
    <cellStyle name="Moneda 20" xfId="652"/>
    <cellStyle name="Moneda 21" xfId="665"/>
    <cellStyle name="Moneda 22" xfId="676"/>
    <cellStyle name="Moneda 23" xfId="687"/>
    <cellStyle name="Moneda 24" xfId="699"/>
    <cellStyle name="Moneda 25" xfId="714"/>
    <cellStyle name="Moneda 26" xfId="725"/>
    <cellStyle name="Moneda 27" xfId="735"/>
    <cellStyle name="Moneda 28" xfId="744"/>
    <cellStyle name="Moneda 29" xfId="758"/>
    <cellStyle name="Moneda 3" xfId="17"/>
    <cellStyle name="Moneda 30" xfId="766"/>
    <cellStyle name="Moneda 31" xfId="785"/>
    <cellStyle name="Moneda 32" xfId="794"/>
    <cellStyle name="Moneda 33" xfId="802"/>
    <cellStyle name="Moneda 34" xfId="809"/>
    <cellStyle name="Moneda 35" xfId="816"/>
    <cellStyle name="Moneda 36" xfId="822"/>
    <cellStyle name="Moneda 37" xfId="827"/>
    <cellStyle name="Moneda 38" xfId="832"/>
    <cellStyle name="Moneda 39" xfId="837"/>
    <cellStyle name="Moneda 4" xfId="250"/>
    <cellStyle name="Moneda 40" xfId="841"/>
    <cellStyle name="Moneda 41" xfId="844"/>
    <cellStyle name="Moneda 42" xfId="847"/>
    <cellStyle name="Moneda 43" xfId="849"/>
    <cellStyle name="Moneda 44" xfId="850"/>
    <cellStyle name="Moneda 5" xfId="189"/>
    <cellStyle name="Moneda 5 2" xfId="251"/>
    <cellStyle name="Moneda 6" xfId="252"/>
    <cellStyle name="Moneda 7" xfId="253"/>
    <cellStyle name="Moneda 7 2" xfId="254"/>
    <cellStyle name="Moneda 7 3" xfId="255"/>
    <cellStyle name="Moneda 8" xfId="280"/>
    <cellStyle name="Moneda 9" xfId="491"/>
    <cellStyle name="Neutral 2" xfId="190"/>
    <cellStyle name="Neutral 3" xfId="191"/>
    <cellStyle name="Normal" xfId="0" builtinId="0"/>
    <cellStyle name="Normal 12" xfId="192"/>
    <cellStyle name="Normal 2" xfId="5"/>
    <cellStyle name="Normal 2 2" xfId="19"/>
    <cellStyle name="Normal 2 2 2" xfId="9"/>
    <cellStyle name="Normal 2 2 2 2" xfId="277"/>
    <cellStyle name="Normal 2 2 2 3" xfId="193"/>
    <cellStyle name="Normal 2 2 3" xfId="256"/>
    <cellStyle name="Normal 2 3" xfId="194"/>
    <cellStyle name="Normal 2 3 2" xfId="257"/>
    <cellStyle name="Normal 2 4" xfId="195"/>
    <cellStyle name="Normal 2 5" xfId="196"/>
    <cellStyle name="Normal 2 6" xfId="197"/>
    <cellStyle name="Normal 3" xfId="198"/>
    <cellStyle name="Normal 3 2" xfId="199"/>
    <cellStyle name="Normal 3 3" xfId="258"/>
    <cellStyle name="Normal 4" xfId="4"/>
    <cellStyle name="Normal 4 10" xfId="201"/>
    <cellStyle name="Normal 4 11" xfId="259"/>
    <cellStyle name="Normal 4 12" xfId="200"/>
    <cellStyle name="Normal 4 2" xfId="202"/>
    <cellStyle name="Normal 4 3" xfId="203"/>
    <cellStyle name="Normal 4 4" xfId="204"/>
    <cellStyle name="Normal 4 5" xfId="205"/>
    <cellStyle name="Normal 4 6" xfId="206"/>
    <cellStyle name="Normal 4 7" xfId="207"/>
    <cellStyle name="Normal 4 8" xfId="208"/>
    <cellStyle name="Normal 4 9" xfId="209"/>
    <cellStyle name="Normal 5" xfId="210"/>
    <cellStyle name="Normal 5 2" xfId="261"/>
    <cellStyle name="Normal 5 3" xfId="262"/>
    <cellStyle name="Normal 5 4" xfId="263"/>
    <cellStyle name="Normal 5 5" xfId="260"/>
    <cellStyle name="Normal 6" xfId="211"/>
    <cellStyle name="Normal 6 2" xfId="264"/>
    <cellStyle name="Normal 7" xfId="212"/>
    <cellStyle name="Normal 7 2" xfId="243"/>
    <cellStyle name="Normal 8" xfId="213"/>
    <cellStyle name="Normal 8 2" xfId="214"/>
    <cellStyle name="Normal 8 2 2" xfId="215"/>
    <cellStyle name="Normal 9" xfId="216"/>
    <cellStyle name="Notas 2" xfId="217"/>
    <cellStyle name="Notas 2 10" xfId="364"/>
    <cellStyle name="Notas 2 10 2" xfId="953"/>
    <cellStyle name="Notas 2 11" xfId="464"/>
    <cellStyle name="Notas 2 11 2" xfId="1044"/>
    <cellStyle name="Notas 2 12" xfId="373"/>
    <cellStyle name="Notas 2 12 2" xfId="962"/>
    <cellStyle name="Notas 2 13" xfId="315"/>
    <cellStyle name="Notas 2 13 2" xfId="907"/>
    <cellStyle name="Notas 2 14" xfId="526"/>
    <cellStyle name="Notas 2 14 2" xfId="1101"/>
    <cellStyle name="Notas 2 15" xfId="397"/>
    <cellStyle name="Notas 2 15 2" xfId="983"/>
    <cellStyle name="Notas 2 16" xfId="509"/>
    <cellStyle name="Notas 2 16 2" xfId="1086"/>
    <cellStyle name="Notas 2 17" xfId="459"/>
    <cellStyle name="Notas 2 17 2" xfId="1039"/>
    <cellStyle name="Notas 2 18" xfId="647"/>
    <cellStyle name="Notas 2 18 2" xfId="1204"/>
    <cellStyle name="Notas 2 19" xfId="644"/>
    <cellStyle name="Notas 2 19 2" xfId="1201"/>
    <cellStyle name="Notas 2 2" xfId="218"/>
    <cellStyle name="Notas 2 2 10" xfId="580"/>
    <cellStyle name="Notas 2 2 10 2" xfId="1146"/>
    <cellStyle name="Notas 2 2 11" xfId="564"/>
    <cellStyle name="Notas 2 2 11 2" xfId="1133"/>
    <cellStyle name="Notas 2 2 12" xfId="359"/>
    <cellStyle name="Notas 2 2 12 2" xfId="948"/>
    <cellStyle name="Notas 2 2 13" xfId="621"/>
    <cellStyle name="Notas 2 2 13 2" xfId="1182"/>
    <cellStyle name="Notas 2 2 14" xfId="317"/>
    <cellStyle name="Notas 2 2 14 2" xfId="909"/>
    <cellStyle name="Notas 2 2 15" xfId="535"/>
    <cellStyle name="Notas 2 2 15 2" xfId="1109"/>
    <cellStyle name="Notas 2 2 16" xfId="594"/>
    <cellStyle name="Notas 2 2 16 2" xfId="1157"/>
    <cellStyle name="Notas 2 2 17" xfId="409"/>
    <cellStyle name="Notas 2 2 17 2" xfId="994"/>
    <cellStyle name="Notas 2 2 18" xfId="684"/>
    <cellStyle name="Notas 2 2 18 2" xfId="1234"/>
    <cellStyle name="Notas 2 2 19" xfId="528"/>
    <cellStyle name="Notas 2 2 19 2" xfId="1103"/>
    <cellStyle name="Notas 2 2 2" xfId="444"/>
    <cellStyle name="Notas 2 2 2 2" xfId="1025"/>
    <cellStyle name="Notas 2 2 20" xfId="587"/>
    <cellStyle name="Notas 2 2 20 2" xfId="1150"/>
    <cellStyle name="Notas 2 2 21" xfId="281"/>
    <cellStyle name="Notas 2 2 21 2" xfId="875"/>
    <cellStyle name="Notas 2 2 22" xfId="470"/>
    <cellStyle name="Notas 2 2 22 2" xfId="1050"/>
    <cellStyle name="Notas 2 2 23" xfId="656"/>
    <cellStyle name="Notas 2 2 23 2" xfId="1211"/>
    <cellStyle name="Notas 2 2 24" xfId="658"/>
    <cellStyle name="Notas 2 2 24 2" xfId="1213"/>
    <cellStyle name="Notas 2 2 25" xfId="765"/>
    <cellStyle name="Notas 2 2 25 2" xfId="1301"/>
    <cellStyle name="Notas 2 2 26" xfId="435"/>
    <cellStyle name="Notas 2 2 26 2" xfId="1018"/>
    <cellStyle name="Notas 2 2 27" xfId="547"/>
    <cellStyle name="Notas 2 2 27 2" xfId="1120"/>
    <cellStyle name="Notas 2 2 28" xfId="607"/>
    <cellStyle name="Notas 2 2 28 2" xfId="1169"/>
    <cellStyle name="Notas 2 2 29" xfId="774"/>
    <cellStyle name="Notas 2 2 29 2" xfId="1309"/>
    <cellStyle name="Notas 2 2 3" xfId="327"/>
    <cellStyle name="Notas 2 2 3 2" xfId="917"/>
    <cellStyle name="Notas 2 2 30" xfId="669"/>
    <cellStyle name="Notas 2 2 30 2" xfId="1221"/>
    <cellStyle name="Notas 2 2 31" xfId="374"/>
    <cellStyle name="Notas 2 2 31 2" xfId="963"/>
    <cellStyle name="Notas 2 2 32" xfId="522"/>
    <cellStyle name="Notas 2 2 32 2" xfId="1097"/>
    <cellStyle name="Notas 2 2 33" xfId="538"/>
    <cellStyle name="Notas 2 2 33 2" xfId="1112"/>
    <cellStyle name="Notas 2 2 34" xfId="737"/>
    <cellStyle name="Notas 2 2 34 2" xfId="1278"/>
    <cellStyle name="Notas 2 2 35" xfId="674"/>
    <cellStyle name="Notas 2 2 35 2" xfId="1226"/>
    <cellStyle name="Notas 2 2 36" xfId="784"/>
    <cellStyle name="Notas 2 2 36 2" xfId="1317"/>
    <cellStyle name="Notas 2 2 37" xfId="868"/>
    <cellStyle name="Notas 2 2 38" xfId="793"/>
    <cellStyle name="Notas 2 2 4" xfId="282"/>
    <cellStyle name="Notas 2 2 4 2" xfId="876"/>
    <cellStyle name="Notas 2 2 5" xfId="457"/>
    <cellStyle name="Notas 2 2 5 2" xfId="1037"/>
    <cellStyle name="Notas 2 2 6" xfId="485"/>
    <cellStyle name="Notas 2 2 6 2" xfId="1065"/>
    <cellStyle name="Notas 2 2 7" xfId="331"/>
    <cellStyle name="Notas 2 2 7 2" xfId="921"/>
    <cellStyle name="Notas 2 2 8" xfId="293"/>
    <cellStyle name="Notas 2 2 8 2" xfId="886"/>
    <cellStyle name="Notas 2 2 9" xfId="363"/>
    <cellStyle name="Notas 2 2 9 2" xfId="952"/>
    <cellStyle name="Notas 2 20" xfId="589"/>
    <cellStyle name="Notas 2 20 2" xfId="1152"/>
    <cellStyle name="Notas 2 21" xfId="605"/>
    <cellStyle name="Notas 2 21 2" xfId="1167"/>
    <cellStyle name="Notas 2 22" xfId="615"/>
    <cellStyle name="Notas 2 22 2" xfId="1176"/>
    <cellStyle name="Notas 2 23" xfId="352"/>
    <cellStyle name="Notas 2 23 2" xfId="941"/>
    <cellStyle name="Notas 2 24" xfId="510"/>
    <cellStyle name="Notas 2 24 2" xfId="1087"/>
    <cellStyle name="Notas 2 25" xfId="321"/>
    <cellStyle name="Notas 2 25 2" xfId="912"/>
    <cellStyle name="Notas 2 26" xfId="761"/>
    <cellStyle name="Notas 2 26 2" xfId="1297"/>
    <cellStyle name="Notas 2 27" xfId="313"/>
    <cellStyle name="Notas 2 27 2" xfId="905"/>
    <cellStyle name="Notas 2 28" xfId="432"/>
    <cellStyle name="Notas 2 28 2" xfId="1016"/>
    <cellStyle name="Notas 2 29" xfId="781"/>
    <cellStyle name="Notas 2 29 2" xfId="1314"/>
    <cellStyle name="Notas 2 3" xfId="443"/>
    <cellStyle name="Notas 2 3 2" xfId="1024"/>
    <cellStyle name="Notas 2 30" xfId="790"/>
    <cellStyle name="Notas 2 30 2" xfId="1321"/>
    <cellStyle name="Notas 2 31" xfId="799"/>
    <cellStyle name="Notas 2 31 2" xfId="1326"/>
    <cellStyle name="Notas 2 32" xfId="806"/>
    <cellStyle name="Notas 2 32 2" xfId="1331"/>
    <cellStyle name="Notas 2 33" xfId="813"/>
    <cellStyle name="Notas 2 33 2" xfId="1336"/>
    <cellStyle name="Notas 2 34" xfId="819"/>
    <cellStyle name="Notas 2 34 2" xfId="1341"/>
    <cellStyle name="Notas 2 35" xfId="825"/>
    <cellStyle name="Notas 2 35 2" xfId="1345"/>
    <cellStyle name="Notas 2 36" xfId="830"/>
    <cellStyle name="Notas 2 36 2" xfId="1349"/>
    <cellStyle name="Notas 2 37" xfId="835"/>
    <cellStyle name="Notas 2 37 2" xfId="1352"/>
    <cellStyle name="Notas 2 38" xfId="867"/>
    <cellStyle name="Notas 2 39" xfId="839"/>
    <cellStyle name="Notas 2 4" xfId="328"/>
    <cellStyle name="Notas 2 4 2" xfId="918"/>
    <cellStyle name="Notas 2 5" xfId="422"/>
    <cellStyle name="Notas 2 5 2" xfId="1007"/>
    <cellStyle name="Notas 2 6" xfId="342"/>
    <cellStyle name="Notas 2 6 2" xfId="932"/>
    <cellStyle name="Notas 2 7" xfId="466"/>
    <cellStyle name="Notas 2 7 2" xfId="1046"/>
    <cellStyle name="Notas 2 8" xfId="332"/>
    <cellStyle name="Notas 2 8 2" xfId="922"/>
    <cellStyle name="Notas 2 9" xfId="410"/>
    <cellStyle name="Notas 2 9 2" xfId="995"/>
    <cellStyle name="Note" xfId="219"/>
    <cellStyle name="Note 10" xfId="521"/>
    <cellStyle name="Note 10 2" xfId="1096"/>
    <cellStyle name="Note 11" xfId="516"/>
    <cellStyle name="Note 11 2" xfId="1092"/>
    <cellStyle name="Note 12" xfId="585"/>
    <cellStyle name="Note 12 2" xfId="1148"/>
    <cellStyle name="Note 13" xfId="323"/>
    <cellStyle name="Note 13 2" xfId="913"/>
    <cellStyle name="Note 14" xfId="299"/>
    <cellStyle name="Note 14 2" xfId="892"/>
    <cellStyle name="Note 15" xfId="628"/>
    <cellStyle name="Note 15 2" xfId="1186"/>
    <cellStyle name="Note 16" xfId="307"/>
    <cellStyle name="Note 16 2" xfId="900"/>
    <cellStyle name="Note 17" xfId="400"/>
    <cellStyle name="Note 17 2" xfId="985"/>
    <cellStyle name="Note 18" xfId="556"/>
    <cellStyle name="Note 18 2" xfId="1127"/>
    <cellStyle name="Note 19" xfId="10"/>
    <cellStyle name="Note 19 2" xfId="853"/>
    <cellStyle name="Note 2" xfId="445"/>
    <cellStyle name="Note 2 2" xfId="1026"/>
    <cellStyle name="Note 20" xfId="691"/>
    <cellStyle name="Note 20 2" xfId="1238"/>
    <cellStyle name="Note 21" xfId="590"/>
    <cellStyle name="Note 21 2" xfId="1153"/>
    <cellStyle name="Note 22" xfId="386"/>
    <cellStyle name="Note 22 2" xfId="973"/>
    <cellStyle name="Note 23" xfId="706"/>
    <cellStyle name="Note 23 2" xfId="1251"/>
    <cellStyle name="Note 24" xfId="611"/>
    <cellStyle name="Note 24 2" xfId="1172"/>
    <cellStyle name="Note 25" xfId="764"/>
    <cellStyle name="Note 25 2" xfId="1300"/>
    <cellStyle name="Note 26" xfId="381"/>
    <cellStyle name="Note 26 2" xfId="969"/>
    <cellStyle name="Note 27" xfId="750"/>
    <cellStyle name="Note 27 2" xfId="1288"/>
    <cellStyle name="Note 28" xfId="716"/>
    <cellStyle name="Note 28 2" xfId="1260"/>
    <cellStyle name="Note 29" xfId="773"/>
    <cellStyle name="Note 29 2" xfId="1308"/>
    <cellStyle name="Note 3" xfId="326"/>
    <cellStyle name="Note 3 2" xfId="916"/>
    <cellStyle name="Note 30" xfId="545"/>
    <cellStyle name="Note 30 2" xfId="1118"/>
    <cellStyle name="Note 31" xfId="632"/>
    <cellStyle name="Note 31 2" xfId="1190"/>
    <cellStyle name="Note 32" xfId="698"/>
    <cellStyle name="Note 32 2" xfId="1244"/>
    <cellStyle name="Note 33" xfId="772"/>
    <cellStyle name="Note 33 2" xfId="1307"/>
    <cellStyle name="Note 34" xfId="743"/>
    <cellStyle name="Note 34 2" xfId="1284"/>
    <cellStyle name="Note 35" xfId="645"/>
    <cellStyle name="Note 35 2" xfId="1202"/>
    <cellStyle name="Note 36" xfId="544"/>
    <cellStyle name="Note 36 2" xfId="1117"/>
    <cellStyle name="Note 37" xfId="869"/>
    <cellStyle name="Note 38" xfId="584"/>
    <cellStyle name="Note 4" xfId="285"/>
    <cellStyle name="Note 4 2" xfId="879"/>
    <cellStyle name="Note 5" xfId="454"/>
    <cellStyle name="Note 5 2" xfId="1034"/>
    <cellStyle name="Note 6" xfId="447"/>
    <cellStyle name="Note 6 2" xfId="1028"/>
    <cellStyle name="Note 7" xfId="330"/>
    <cellStyle name="Note 7 2" xfId="920"/>
    <cellStyle name="Note 8" xfId="294"/>
    <cellStyle name="Note 8 2" xfId="887"/>
    <cellStyle name="Note 9" xfId="480"/>
    <cellStyle name="Note 9 2" xfId="1060"/>
    <cellStyle name="Output" xfId="220"/>
    <cellStyle name="Output 10" xfId="408"/>
    <cellStyle name="Output 10 2" xfId="993"/>
    <cellStyle name="Output 11" xfId="500"/>
    <cellStyle name="Output 11 2" xfId="1079"/>
    <cellStyle name="Output 12" xfId="406"/>
    <cellStyle name="Output 12 2" xfId="991"/>
    <cellStyle name="Output 13" xfId="542"/>
    <cellStyle name="Output 13 2" xfId="1115"/>
    <cellStyle name="Output 14" xfId="603"/>
    <cellStyle name="Output 14 2" xfId="1165"/>
    <cellStyle name="Output 15" xfId="515"/>
    <cellStyle name="Output 15 2" xfId="1091"/>
    <cellStyle name="Output 16" xfId="468"/>
    <cellStyle name="Output 16 2" xfId="1048"/>
    <cellStyle name="Output 17" xfId="625"/>
    <cellStyle name="Output 17 2" xfId="1184"/>
    <cellStyle name="Output 18" xfId="574"/>
    <cellStyle name="Output 18 2" xfId="1142"/>
    <cellStyle name="Output 19" xfId="668"/>
    <cellStyle name="Output 19 2" xfId="1220"/>
    <cellStyle name="Output 2" xfId="446"/>
    <cellStyle name="Output 2 2" xfId="1027"/>
    <cellStyle name="Output 20" xfId="431"/>
    <cellStyle name="Output 20 2" xfId="1015"/>
    <cellStyle name="Output 21" xfId="350"/>
    <cellStyle name="Output 21 2" xfId="939"/>
    <cellStyle name="Output 22" xfId="298"/>
    <cellStyle name="Output 22 2" xfId="891"/>
    <cellStyle name="Output 23" xfId="344"/>
    <cellStyle name="Output 23 2" xfId="934"/>
    <cellStyle name="Output 24" xfId="593"/>
    <cellStyle name="Output 24 2" xfId="1156"/>
    <cellStyle name="Output 25" xfId="703"/>
    <cellStyle name="Output 25 2" xfId="1248"/>
    <cellStyle name="Output 26" xfId="640"/>
    <cellStyle name="Output 26 2" xfId="1197"/>
    <cellStyle name="Output 27" xfId="634"/>
    <cellStyle name="Output 27 2" xfId="1192"/>
    <cellStyle name="Output 28" xfId="297"/>
    <cellStyle name="Output 28 2" xfId="890"/>
    <cellStyle name="Output 29" xfId="778"/>
    <cellStyle name="Output 29 2" xfId="1311"/>
    <cellStyle name="Output 3" xfId="325"/>
    <cellStyle name="Output 3 2" xfId="915"/>
    <cellStyle name="Output 30" xfId="787"/>
    <cellStyle name="Output 30 2" xfId="1318"/>
    <cellStyle name="Output 31" xfId="796"/>
    <cellStyle name="Output 31 2" xfId="1324"/>
    <cellStyle name="Output 32" xfId="804"/>
    <cellStyle name="Output 32 2" xfId="1329"/>
    <cellStyle name="Output 33" xfId="811"/>
    <cellStyle name="Output 33 2" xfId="1334"/>
    <cellStyle name="Output 34" xfId="817"/>
    <cellStyle name="Output 34 2" xfId="1339"/>
    <cellStyle name="Output 35" xfId="823"/>
    <cellStyle name="Output 35 2" xfId="1343"/>
    <cellStyle name="Output 36" xfId="828"/>
    <cellStyle name="Output 36 2" xfId="1347"/>
    <cellStyle name="Output 37" xfId="870"/>
    <cellStyle name="Output 38" xfId="833"/>
    <cellStyle name="Output 4" xfId="423"/>
    <cellStyle name="Output 4 2" xfId="1008"/>
    <cellStyle name="Output 5" xfId="341"/>
    <cellStyle name="Output 5 2" xfId="931"/>
    <cellStyle name="Output 6" xfId="490"/>
    <cellStyle name="Output 6 2" xfId="1070"/>
    <cellStyle name="Output 7" xfId="329"/>
    <cellStyle name="Output 7 2" xfId="919"/>
    <cellStyle name="Output 8" xfId="439"/>
    <cellStyle name="Output 8 2" xfId="1022"/>
    <cellStyle name="Output 9" xfId="430"/>
    <cellStyle name="Output 9 2" xfId="1014"/>
    <cellStyle name="Porcentaje 2" xfId="3"/>
    <cellStyle name="Porcentaje 2 2" xfId="221"/>
    <cellStyle name="Porcentaje 3" xfId="222"/>
    <cellStyle name="Porcentual 2" xfId="18"/>
    <cellStyle name="Porcentual 2 2" xfId="223"/>
    <cellStyle name="Porcentual 2 3" xfId="224"/>
    <cellStyle name="Porcentual 3" xfId="265"/>
    <cellStyle name="Porcentual 33" xfId="225"/>
    <cellStyle name="Porcentual 4" xfId="266"/>
    <cellStyle name="Porcentual 4 2" xfId="267"/>
    <cellStyle name="Porcentual 4 3" xfId="268"/>
    <cellStyle name="Salida 2" xfId="226"/>
    <cellStyle name="Salida 2 10" xfId="549"/>
    <cellStyle name="Salida 2 10 2" xfId="1122"/>
    <cellStyle name="Salida 2 11" xfId="498"/>
    <cellStyle name="Salida 2 11 2" xfId="1077"/>
    <cellStyle name="Salida 2 12" xfId="577"/>
    <cellStyle name="Salida 2 12 2" xfId="1144"/>
    <cellStyle name="Salida 2 13" xfId="303"/>
    <cellStyle name="Salida 2 13 2" xfId="896"/>
    <cellStyle name="Salida 2 14" xfId="351"/>
    <cellStyle name="Salida 2 14 2" xfId="940"/>
    <cellStyle name="Salida 2 15" xfId="618"/>
    <cellStyle name="Salida 2 15 2" xfId="1179"/>
    <cellStyle name="Salida 2 16" xfId="612"/>
    <cellStyle name="Salida 2 16 2" xfId="1173"/>
    <cellStyle name="Salida 2 17" xfId="340"/>
    <cellStyle name="Salida 2 17 2" xfId="930"/>
    <cellStyle name="Salida 2 18" xfId="661"/>
    <cellStyle name="Salida 2 18 2" xfId="1216"/>
    <cellStyle name="Salida 2 19" xfId="383"/>
    <cellStyle name="Salida 2 19 2" xfId="970"/>
    <cellStyle name="Salida 2 2" xfId="451"/>
    <cellStyle name="Salida 2 2 2" xfId="1032"/>
    <cellStyle name="Salida 2 20" xfId="683"/>
    <cellStyle name="Salida 2 20 2" xfId="1233"/>
    <cellStyle name="Salida 2 21" xfId="678"/>
    <cellStyle name="Salida 2 21 2" xfId="1229"/>
    <cellStyle name="Salida 2 22" xfId="712"/>
    <cellStyle name="Salida 2 22 2" xfId="1257"/>
    <cellStyle name="Salida 2 23" xfId="705"/>
    <cellStyle name="Salida 2 23 2" xfId="1250"/>
    <cellStyle name="Salida 2 24" xfId="748"/>
    <cellStyle name="Salida 2 24 2" xfId="1286"/>
    <cellStyle name="Salida 2 25" xfId="424"/>
    <cellStyle name="Salida 2 25 2" xfId="1009"/>
    <cellStyle name="Salida 2 26" xfId="506"/>
    <cellStyle name="Salida 2 26 2" xfId="1083"/>
    <cellStyle name="Salida 2 27" xfId="372"/>
    <cellStyle name="Salida 2 27 2" xfId="961"/>
    <cellStyle name="Salida 2 28" xfId="718"/>
    <cellStyle name="Salida 2 28 2" xfId="1262"/>
    <cellStyle name="Salida 2 29" xfId="733"/>
    <cellStyle name="Salida 2 29 2" xfId="1275"/>
    <cellStyle name="Salida 2 3" xfId="320"/>
    <cellStyle name="Salida 2 3 2" xfId="911"/>
    <cellStyle name="Salida 2 30" xfId="295"/>
    <cellStyle name="Salida 2 30 2" xfId="888"/>
    <cellStyle name="Salida 2 31" xfId="566"/>
    <cellStyle name="Salida 2 31 2" xfId="1135"/>
    <cellStyle name="Salida 2 32" xfId="343"/>
    <cellStyle name="Salida 2 32 2" xfId="933"/>
    <cellStyle name="Salida 2 33" xfId="738"/>
    <cellStyle name="Salida 2 33 2" xfId="1279"/>
    <cellStyle name="Salida 2 34" xfId="709"/>
    <cellStyle name="Salida 2 34 2" xfId="1254"/>
    <cellStyle name="Salida 2 35" xfId="762"/>
    <cellStyle name="Salida 2 35 2" xfId="1298"/>
    <cellStyle name="Salida 2 36" xfId="595"/>
    <cellStyle name="Salida 2 36 2" xfId="1158"/>
    <cellStyle name="Salida 2 37" xfId="871"/>
    <cellStyle name="Salida 2 38" xfId="322"/>
    <cellStyle name="Salida 2 4" xfId="425"/>
    <cellStyle name="Salida 2 4 2" xfId="1010"/>
    <cellStyle name="Salida 2 5" xfId="339"/>
    <cellStyle name="Salida 2 5 2" xfId="929"/>
    <cellStyle name="Salida 2 6" xfId="469"/>
    <cellStyle name="Salida 2 6 2" xfId="1049"/>
    <cellStyle name="Salida 2 7" xfId="476"/>
    <cellStyle name="Salida 2 7 2" xfId="1056"/>
    <cellStyle name="Salida 2 8" xfId="465"/>
    <cellStyle name="Salida 2 8 2" xfId="1045"/>
    <cellStyle name="Salida 2 9" xfId="360"/>
    <cellStyle name="Salida 2 9 2" xfId="949"/>
    <cellStyle name="Salida 3" xfId="227"/>
    <cellStyle name="Salida 3 10" xfId="284"/>
    <cellStyle name="Salida 3 10 2" xfId="878"/>
    <cellStyle name="Salida 3 11" xfId="354"/>
    <cellStyle name="Salida 3 11 2" xfId="943"/>
    <cellStyle name="Salida 3 12" xfId="581"/>
    <cellStyle name="Salida 3 12 2" xfId="1147"/>
    <cellStyle name="Salida 3 13" xfId="573"/>
    <cellStyle name="Salida 3 13 2" xfId="1141"/>
    <cellStyle name="Salida 3 14" xfId="489"/>
    <cellStyle name="Salida 3 14 2" xfId="1069"/>
    <cellStyle name="Salida 3 15" xfId="623"/>
    <cellStyle name="Salida 3 15 2" xfId="1183"/>
    <cellStyle name="Salida 3 16" xfId="484"/>
    <cellStyle name="Salida 3 16 2" xfId="1064"/>
    <cellStyle name="Salida 3 17" xfId="379"/>
    <cellStyle name="Salida 3 17 2" xfId="967"/>
    <cellStyle name="Salida 3 18" xfId="371"/>
    <cellStyle name="Salida 3 18 2" xfId="960"/>
    <cellStyle name="Salida 3 19" xfId="650"/>
    <cellStyle name="Salida 3 19 2" xfId="1207"/>
    <cellStyle name="Salida 3 2" xfId="452"/>
    <cellStyle name="Salida 3 2 2" xfId="1033"/>
    <cellStyle name="Salida 3 20" xfId="686"/>
    <cellStyle name="Salida 3 20 2" xfId="1235"/>
    <cellStyle name="Salida 3 21" xfId="358"/>
    <cellStyle name="Salida 3 21 2" xfId="947"/>
    <cellStyle name="Salida 3 22" xfId="302"/>
    <cellStyle name="Salida 3 22 2" xfId="895"/>
    <cellStyle name="Salida 3 23" xfId="742"/>
    <cellStyle name="Salida 3 23 2" xfId="1283"/>
    <cellStyle name="Salida 3 24" xfId="749"/>
    <cellStyle name="Salida 3 24 2" xfId="1287"/>
    <cellStyle name="Salida 3 25" xfId="508"/>
    <cellStyle name="Salida 3 25 2" xfId="1085"/>
    <cellStyle name="Salida 3 26" xfId="651"/>
    <cellStyle name="Salida 3 26 2" xfId="1208"/>
    <cellStyle name="Salida 3 27" xfId="407"/>
    <cellStyle name="Salida 3 27 2" xfId="992"/>
    <cellStyle name="Salida 3 28" xfId="333"/>
    <cellStyle name="Salida 3 28 2" xfId="923"/>
    <cellStyle name="Salida 3 29" xfId="402"/>
    <cellStyle name="Salida 3 29 2" xfId="987"/>
    <cellStyle name="Salida 3 3" xfId="319"/>
    <cellStyle name="Salida 3 3 2" xfId="910"/>
    <cellStyle name="Salida 3 30" xfId="753"/>
    <cellStyle name="Salida 3 30 2" xfId="1290"/>
    <cellStyle name="Salida 3 31" xfId="688"/>
    <cellStyle name="Salida 3 31 2" xfId="1236"/>
    <cellStyle name="Salida 3 32" xfId="704"/>
    <cellStyle name="Salida 3 32 2" xfId="1249"/>
    <cellStyle name="Salida 3 33" xfId="732"/>
    <cellStyle name="Salida 3 33 2" xfId="1274"/>
    <cellStyle name="Salida 3 34" xfId="680"/>
    <cellStyle name="Salida 3 34 2" xfId="1230"/>
    <cellStyle name="Salida 3 35" xfId="558"/>
    <cellStyle name="Salida 3 35 2" xfId="1129"/>
    <cellStyle name="Salida 3 36" xfId="609"/>
    <cellStyle name="Salida 3 36 2" xfId="1171"/>
    <cellStyle name="Salida 3 37" xfId="872"/>
    <cellStyle name="Salida 3 38" xfId="663"/>
    <cellStyle name="Salida 3 4" xfId="426"/>
    <cellStyle name="Salida 3 4 2" xfId="1011"/>
    <cellStyle name="Salida 3 5" xfId="338"/>
    <cellStyle name="Salida 3 5 2" xfId="928"/>
    <cellStyle name="Salida 3 6" xfId="283"/>
    <cellStyle name="Salida 3 6 2" xfId="877"/>
    <cellStyle name="Salida 3 7" xfId="475"/>
    <cellStyle name="Salida 3 7 2" xfId="1055"/>
    <cellStyle name="Salida 3 8" xfId="413"/>
    <cellStyle name="Salida 3 8 2" xfId="998"/>
    <cellStyle name="Salida 3 9" xfId="296"/>
    <cellStyle name="Salida 3 9 2" xfId="889"/>
    <cellStyle name="Texto de advertencia 2" xfId="228"/>
    <cellStyle name="Texto de advertencia 3" xfId="229"/>
    <cellStyle name="Texto explicativo 2" xfId="230"/>
    <cellStyle name="Texto explicativo 3" xfId="231"/>
    <cellStyle name="Title" xfId="232"/>
    <cellStyle name="Título 1 2" xfId="233"/>
    <cellStyle name="Título 2 2" xfId="234"/>
    <cellStyle name="Título 2 3" xfId="235"/>
    <cellStyle name="Título 3 2" xfId="236"/>
    <cellStyle name="Título 3 3" xfId="237"/>
    <cellStyle name="Título 4" xfId="238"/>
    <cellStyle name="Título 5" xfId="239"/>
    <cellStyle name="Total 2" xfId="240"/>
    <cellStyle name="Total 2 10" xfId="419"/>
    <cellStyle name="Total 2 10 2" xfId="1004"/>
    <cellStyle name="Total 2 11" xfId="448"/>
    <cellStyle name="Total 2 11 2" xfId="1029"/>
    <cellStyle name="Total 2 12" xfId="417"/>
    <cellStyle name="Total 2 12 2" xfId="1002"/>
    <cellStyle name="Total 2 13" xfId="543"/>
    <cellStyle name="Total 2 13 2" xfId="1116"/>
    <cellStyle name="Total 2 14" xfId="534"/>
    <cellStyle name="Total 2 14 2" xfId="1108"/>
    <cellStyle name="Total 2 15" xfId="531"/>
    <cellStyle name="Total 2 15 2" xfId="1106"/>
    <cellStyle name="Total 2 16" xfId="599"/>
    <cellStyle name="Total 2 16 2" xfId="1161"/>
    <cellStyle name="Total 2 17" xfId="614"/>
    <cellStyle name="Total 2 17 2" xfId="1175"/>
    <cellStyle name="Total 2 18" xfId="636"/>
    <cellStyle name="Total 2 18 2" xfId="1194"/>
    <cellStyle name="Total 2 19" xfId="642"/>
    <cellStyle name="Total 2 19 2" xfId="1199"/>
    <cellStyle name="Total 2 2" xfId="462"/>
    <cellStyle name="Total 2 2 2" xfId="1042"/>
    <cellStyle name="Total 2 20" xfId="561"/>
    <cellStyle name="Total 2 20 2" xfId="1131"/>
    <cellStyle name="Total 2 21" xfId="643"/>
    <cellStyle name="Total 2 21 2" xfId="1200"/>
    <cellStyle name="Total 2 22" xfId="449"/>
    <cellStyle name="Total 2 22 2" xfId="1030"/>
    <cellStyle name="Total 2 23" xfId="601"/>
    <cellStyle name="Total 2 23 2" xfId="1163"/>
    <cellStyle name="Total 2 24" xfId="571"/>
    <cellStyle name="Total 2 24 2" xfId="1139"/>
    <cellStyle name="Total 2 25" xfId="540"/>
    <cellStyle name="Total 2 25 2" xfId="1114"/>
    <cellStyle name="Total 2 26" xfId="539"/>
    <cellStyle name="Total 2 26 2" xfId="1113"/>
    <cellStyle name="Total 2 27" xfId="365"/>
    <cellStyle name="Total 2 27 2" xfId="954"/>
    <cellStyle name="Total 2 28" xfId="401"/>
    <cellStyle name="Total 2 28 2" xfId="986"/>
    <cellStyle name="Total 2 29" xfId="673"/>
    <cellStyle name="Total 2 29 2" xfId="1225"/>
    <cellStyle name="Total 2 3" xfId="309"/>
    <cellStyle name="Total 2 3 2" xfId="902"/>
    <cellStyle name="Total 2 30" xfId="755"/>
    <cellStyle name="Total 2 30 2" xfId="1292"/>
    <cellStyle name="Total 2 31" xfId="760"/>
    <cellStyle name="Total 2 31 2" xfId="1296"/>
    <cellStyle name="Total 2 32" xfId="660"/>
    <cellStyle name="Total 2 32 2" xfId="1215"/>
    <cellStyle name="Total 2 33" xfId="756"/>
    <cellStyle name="Total 2 33 2" xfId="1293"/>
    <cellStyle name="Total 2 34" xfId="591"/>
    <cellStyle name="Total 2 34 2" xfId="1154"/>
    <cellStyle name="Total 2 35" xfId="723"/>
    <cellStyle name="Total 2 35 2" xfId="1267"/>
    <cellStyle name="Total 2 36" xfId="649"/>
    <cellStyle name="Total 2 36 2" xfId="1206"/>
    <cellStyle name="Total 2 37" xfId="873"/>
    <cellStyle name="Total 2 38" xfId="349"/>
    <cellStyle name="Total 2 4" xfId="436"/>
    <cellStyle name="Total 2 4 2" xfId="1019"/>
    <cellStyle name="Total 2 5" xfId="336"/>
    <cellStyle name="Total 2 5 2" xfId="926"/>
    <cellStyle name="Total 2 6" xfId="473"/>
    <cellStyle name="Total 2 6 2" xfId="1053"/>
    <cellStyle name="Total 2 7" xfId="504"/>
    <cellStyle name="Total 2 7 2" xfId="1082"/>
    <cellStyle name="Total 2 8" xfId="316"/>
    <cellStyle name="Total 2 8 2" xfId="908"/>
    <cellStyle name="Total 2 9" xfId="458"/>
    <cellStyle name="Total 2 9 2" xfId="1038"/>
    <cellStyle name="Total 3" xfId="241"/>
    <cellStyle name="Total 3 10" xfId="569"/>
    <cellStyle name="Total 3 10 2" xfId="1137"/>
    <cellStyle name="Total 3 11" xfId="366"/>
    <cellStyle name="Total 3 11 2" xfId="955"/>
    <cellStyle name="Total 3 12" xfId="418"/>
    <cellStyle name="Total 3 12 2" xfId="1003"/>
    <cellStyle name="Total 3 13" xfId="442"/>
    <cellStyle name="Total 3 13 2" xfId="1023"/>
    <cellStyle name="Total 3 14" xfId="525"/>
    <cellStyle name="Total 3 14 2" xfId="1100"/>
    <cellStyle name="Total 3 15" xfId="492"/>
    <cellStyle name="Total 3 15 2" xfId="1071"/>
    <cellStyle name="Total 3 16" xfId="368"/>
    <cellStyle name="Total 3 16 2" xfId="957"/>
    <cellStyle name="Total 3 17" xfId="429"/>
    <cellStyle name="Total 3 17 2" xfId="1013"/>
    <cellStyle name="Total 3 18" xfId="653"/>
    <cellStyle name="Total 3 18 2" xfId="1209"/>
    <cellStyle name="Total 3 19" xfId="606"/>
    <cellStyle name="Total 3 19 2" xfId="1168"/>
    <cellStyle name="Total 3 2" xfId="463"/>
    <cellStyle name="Total 3 2 2" xfId="1043"/>
    <cellStyle name="Total 3 20" xfId="493"/>
    <cellStyle name="Total 3 20 2" xfId="1072"/>
    <cellStyle name="Total 3 21" xfId="597"/>
    <cellStyle name="Total 3 21 2" xfId="1159"/>
    <cellStyle name="Total 3 22" xfId="11"/>
    <cellStyle name="Total 3 22 2" xfId="854"/>
    <cellStyle name="Total 3 23" xfId="598"/>
    <cellStyle name="Total 3 23 2" xfId="1160"/>
    <cellStyle name="Total 3 24" xfId="736"/>
    <cellStyle name="Total 3 24 2" xfId="1277"/>
    <cellStyle name="Total 3 25" xfId="739"/>
    <cellStyle name="Total 3 25 2" xfId="1280"/>
    <cellStyle name="Total 3 26" xfId="16"/>
    <cellStyle name="Total 3 26 2" xfId="856"/>
    <cellStyle name="Total 3 27" xfId="517"/>
    <cellStyle name="Total 3 27 2" xfId="1093"/>
    <cellStyle name="Total 3 28" xfId="769"/>
    <cellStyle name="Total 3 28 2" xfId="1304"/>
    <cellStyle name="Total 3 29" xfId="694"/>
    <cellStyle name="Total 3 29 2" xfId="1241"/>
    <cellStyle name="Total 3 3" xfId="308"/>
    <cellStyle name="Total 3 3 2" xfId="901"/>
    <cellStyle name="Total 3 30" xfId="671"/>
    <cellStyle name="Total 3 30 2" xfId="1223"/>
    <cellStyle name="Total 3 31" xfId="572"/>
    <cellStyle name="Total 3 31 2" xfId="1140"/>
    <cellStyle name="Total 3 32" xfId="771"/>
    <cellStyle name="Total 3 32 2" xfId="1306"/>
    <cellStyle name="Total 3 33" xfId="741"/>
    <cellStyle name="Total 3 33 2" xfId="1282"/>
    <cellStyle name="Total 3 34" xfId="300"/>
    <cellStyle name="Total 3 34 2" xfId="893"/>
    <cellStyle name="Total 3 35" xfId="779"/>
    <cellStyle name="Total 3 35 2" xfId="1312"/>
    <cellStyle name="Total 3 36" xfId="788"/>
    <cellStyle name="Total 3 36 2" xfId="1319"/>
    <cellStyle name="Total 3 37" xfId="874"/>
    <cellStyle name="Total 3 38" xfId="797"/>
    <cellStyle name="Total 3 4" xfId="437"/>
    <cellStyle name="Total 3 4 2" xfId="1020"/>
    <cellStyle name="Total 3 5" xfId="335"/>
    <cellStyle name="Total 3 5 2" xfId="925"/>
    <cellStyle name="Total 3 6" xfId="421"/>
    <cellStyle name="Total 3 6 2" xfId="1006"/>
    <cellStyle name="Total 3 7" xfId="455"/>
    <cellStyle name="Total 3 7 2" xfId="1035"/>
    <cellStyle name="Total 3 8" xfId="289"/>
    <cellStyle name="Total 3 8 2" xfId="882"/>
    <cellStyle name="Total 3 9" xfId="290"/>
    <cellStyle name="Total 3 9 2" xfId="883"/>
    <cellStyle name="Warning Text" xfId="24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417285</xdr:colOff>
      <xdr:row>0</xdr:row>
      <xdr:rowOff>40822</xdr:rowOff>
    </xdr:from>
    <xdr:to>
      <xdr:col>2</xdr:col>
      <xdr:colOff>174625</xdr:colOff>
      <xdr:row>4</xdr:row>
      <xdr:rowOff>15876</xdr:rowOff>
    </xdr:to>
    <xdr:pic>
      <xdr:nvPicPr>
        <xdr:cNvPr id="2" name="Imagen 1" descr="C:\Users\AUXPLANEACION03\Desktop\Gobernacion_del_quindio.jpg">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285" y="40822"/>
          <a:ext cx="884465" cy="76880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S751"/>
  <sheetViews>
    <sheetView showGridLines="0" tabSelected="1" zoomScale="60" zoomScaleNormal="60" workbookViewId="0">
      <pane xSplit="8" ySplit="6" topLeftCell="L445" activePane="bottomRight" state="frozen"/>
      <selection pane="topRight" activeCell="I1" sqref="I1"/>
      <selection pane="bottomLeft" activeCell="A7" sqref="A7"/>
      <selection pane="bottomRight" activeCell="N478" sqref="N478"/>
    </sheetView>
  </sheetViews>
  <sheetFormatPr baseColWidth="10" defaultColWidth="11.42578125" defaultRowHeight="15.75" x14ac:dyDescent="0.25"/>
  <cols>
    <col min="1" max="1" width="7.85546875" style="130" customWidth="1"/>
    <col min="2" max="2" width="9.140625" style="130" customWidth="1"/>
    <col min="3" max="3" width="9" style="132" customWidth="1"/>
    <col min="4" max="4" width="14.7109375" style="130" customWidth="1"/>
    <col min="5" max="5" width="9" style="130" customWidth="1"/>
    <col min="6" max="6" width="8.7109375" style="130" customWidth="1"/>
    <col min="7" max="7" width="6.5703125" style="130" customWidth="1"/>
    <col min="8" max="8" width="6.7109375" style="132" customWidth="1"/>
    <col min="9" max="9" width="33" style="130" customWidth="1"/>
    <col min="10" max="10" width="6.7109375" style="130" customWidth="1"/>
    <col min="11" max="11" width="9.140625" style="130" customWidth="1"/>
    <col min="12" max="12" width="11.28515625" style="130" customWidth="1"/>
    <col min="13" max="13" width="14.28515625" style="130" customWidth="1"/>
    <col min="14" max="14" width="21.5703125" style="625" customWidth="1"/>
    <col min="15" max="15" width="27.5703125" style="130" customWidth="1"/>
    <col min="16" max="16" width="8.85546875" style="132" customWidth="1"/>
    <col min="17" max="17" width="20.140625" style="130" customWidth="1"/>
    <col min="18" max="18" width="19.5703125" style="130" customWidth="1"/>
    <col min="19" max="19" width="21.140625" style="130" customWidth="1"/>
    <col min="20" max="20" width="19.85546875" style="130" customWidth="1"/>
    <col min="21" max="21" width="23" style="130" bestFit="1" customWidth="1"/>
    <col min="22" max="22" width="18.42578125" style="130" customWidth="1"/>
    <col min="23" max="23" width="20" style="130" customWidth="1"/>
    <col min="24" max="24" width="22" style="130" customWidth="1"/>
    <col min="25" max="25" width="18.7109375" style="130" customWidth="1"/>
    <col min="26" max="26" width="20.85546875" style="130" customWidth="1"/>
    <col min="27" max="27" width="34.140625" style="130" bestFit="1" customWidth="1"/>
    <col min="28" max="28" width="19.42578125" style="130" customWidth="1"/>
    <col min="29" max="29" width="18.85546875" style="130" customWidth="1"/>
    <col min="30" max="30" width="19.7109375" style="130" customWidth="1"/>
    <col min="31" max="31" width="21.28515625" style="626" customWidth="1"/>
    <col min="32" max="32" width="21.42578125" style="626" customWidth="1"/>
    <col min="33" max="33" width="22.85546875" style="626" customWidth="1"/>
    <col min="34" max="34" width="14" style="626" customWidth="1"/>
    <col min="35" max="35" width="19.85546875" style="626" customWidth="1"/>
    <col min="36" max="36" width="19.28515625" style="626" customWidth="1"/>
    <col min="37" max="37" width="20.7109375" style="130" customWidth="1"/>
    <col min="38" max="38" width="19.85546875" style="130" customWidth="1"/>
    <col min="39" max="39" width="20.85546875" style="627" customWidth="1"/>
    <col min="40" max="40" width="19" style="133" customWidth="1"/>
    <col min="41" max="41" width="20.5703125" style="130" customWidth="1"/>
    <col min="42" max="42" width="20.42578125" style="130" customWidth="1"/>
    <col min="43" max="43" width="21" style="130" customWidth="1"/>
    <col min="44" max="44" width="29.85546875" style="130" customWidth="1"/>
    <col min="45" max="16384" width="11.42578125" style="130"/>
  </cols>
  <sheetData>
    <row r="1" spans="1:44" ht="27" customHeight="1" x14ac:dyDescent="0.25">
      <c r="A1" s="1069" t="s">
        <v>979</v>
      </c>
      <c r="B1" s="1070"/>
      <c r="C1" s="1070"/>
      <c r="D1" s="1070"/>
      <c r="E1" s="1070"/>
      <c r="F1" s="1070"/>
      <c r="G1" s="1070"/>
      <c r="H1" s="1070"/>
      <c r="I1" s="1070"/>
      <c r="J1" s="1070"/>
      <c r="K1" s="1070"/>
      <c r="L1" s="1070"/>
      <c r="M1" s="1070"/>
      <c r="N1" s="1070"/>
      <c r="O1" s="1070"/>
      <c r="P1" s="1070"/>
      <c r="Q1" s="1070"/>
      <c r="R1" s="1070"/>
      <c r="S1" s="1070"/>
      <c r="T1" s="1070"/>
      <c r="U1" s="1070"/>
      <c r="V1" s="1070"/>
      <c r="W1" s="1070"/>
      <c r="X1" s="1070"/>
      <c r="Y1" s="1070"/>
      <c r="Z1" s="1070"/>
      <c r="AA1" s="1070"/>
      <c r="AB1" s="1070"/>
      <c r="AC1" s="1070"/>
      <c r="AD1" s="1070"/>
      <c r="AE1" s="1070"/>
      <c r="AF1" s="1070"/>
      <c r="AG1" s="1070"/>
      <c r="AH1" s="1070"/>
      <c r="AI1" s="1070"/>
      <c r="AJ1" s="1070"/>
      <c r="AK1" s="1070"/>
      <c r="AL1" s="1070"/>
      <c r="AM1" s="1070"/>
      <c r="AN1" s="1070"/>
      <c r="AO1" s="1071"/>
      <c r="AP1" s="678" t="s">
        <v>912</v>
      </c>
      <c r="AQ1" s="678"/>
      <c r="AR1" s="678" t="s">
        <v>939</v>
      </c>
    </row>
    <row r="2" spans="1:44" ht="13.5" customHeight="1" x14ac:dyDescent="0.25">
      <c r="A2" s="1072"/>
      <c r="B2" s="1073"/>
      <c r="C2" s="1073"/>
      <c r="D2" s="1073"/>
      <c r="E2" s="1073"/>
      <c r="F2" s="1073"/>
      <c r="G2" s="1073"/>
      <c r="H2" s="1073"/>
      <c r="I2" s="1073"/>
      <c r="J2" s="1073"/>
      <c r="K2" s="1073"/>
      <c r="L2" s="1073"/>
      <c r="M2" s="1073"/>
      <c r="N2" s="1073"/>
      <c r="O2" s="1073"/>
      <c r="P2" s="1073"/>
      <c r="Q2" s="1073"/>
      <c r="R2" s="1073"/>
      <c r="S2" s="1073"/>
      <c r="T2" s="1073"/>
      <c r="U2" s="1073"/>
      <c r="V2" s="1073"/>
      <c r="W2" s="1073"/>
      <c r="X2" s="1073"/>
      <c r="Y2" s="1073"/>
      <c r="Z2" s="1073"/>
      <c r="AA2" s="1073"/>
      <c r="AB2" s="1073"/>
      <c r="AC2" s="1073"/>
      <c r="AD2" s="1073"/>
      <c r="AE2" s="1073"/>
      <c r="AF2" s="1073"/>
      <c r="AG2" s="1073"/>
      <c r="AH2" s="1073"/>
      <c r="AI2" s="1073"/>
      <c r="AJ2" s="1073"/>
      <c r="AK2" s="1073"/>
      <c r="AL2" s="1073"/>
      <c r="AM2" s="1073"/>
      <c r="AN2" s="1073"/>
      <c r="AO2" s="1074"/>
      <c r="AP2" s="679" t="s">
        <v>913</v>
      </c>
      <c r="AQ2" s="679"/>
      <c r="AR2" s="678" t="s">
        <v>940</v>
      </c>
    </row>
    <row r="3" spans="1:44" s="131" customFormat="1" ht="9" customHeight="1" x14ac:dyDescent="0.25">
      <c r="A3" s="1072"/>
      <c r="B3" s="1073"/>
      <c r="C3" s="1073"/>
      <c r="D3" s="1073"/>
      <c r="E3" s="1073"/>
      <c r="F3" s="1073"/>
      <c r="G3" s="1073"/>
      <c r="H3" s="1073"/>
      <c r="I3" s="1073"/>
      <c r="J3" s="1073"/>
      <c r="K3" s="1073"/>
      <c r="L3" s="1073"/>
      <c r="M3" s="1073"/>
      <c r="N3" s="1073"/>
      <c r="O3" s="1073"/>
      <c r="P3" s="1073"/>
      <c r="Q3" s="1073"/>
      <c r="R3" s="1073"/>
      <c r="S3" s="1073"/>
      <c r="T3" s="1073"/>
      <c r="U3" s="1073"/>
      <c r="V3" s="1073"/>
      <c r="W3" s="1073"/>
      <c r="X3" s="1073"/>
      <c r="Y3" s="1073"/>
      <c r="Z3" s="1073"/>
      <c r="AA3" s="1073"/>
      <c r="AB3" s="1073"/>
      <c r="AC3" s="1073"/>
      <c r="AD3" s="1073"/>
      <c r="AE3" s="1073"/>
      <c r="AF3" s="1073"/>
      <c r="AG3" s="1073"/>
      <c r="AH3" s="1073"/>
      <c r="AI3" s="1073"/>
      <c r="AJ3" s="1073"/>
      <c r="AK3" s="1073"/>
      <c r="AL3" s="1073"/>
      <c r="AM3" s="1073"/>
      <c r="AN3" s="1073"/>
      <c r="AO3" s="1074"/>
      <c r="AP3" s="678" t="s">
        <v>914</v>
      </c>
      <c r="AQ3" s="678"/>
      <c r="AR3" s="591" t="s">
        <v>941</v>
      </c>
    </row>
    <row r="4" spans="1:44" s="131" customFormat="1" ht="12" customHeight="1" x14ac:dyDescent="0.25">
      <c r="A4" s="1075"/>
      <c r="B4" s="1076"/>
      <c r="C4" s="1076"/>
      <c r="D4" s="1076"/>
      <c r="E4" s="1076"/>
      <c r="F4" s="1076"/>
      <c r="G4" s="1076"/>
      <c r="H4" s="1076"/>
      <c r="I4" s="1076"/>
      <c r="J4" s="1076"/>
      <c r="K4" s="1076"/>
      <c r="L4" s="1076"/>
      <c r="M4" s="1076"/>
      <c r="N4" s="1076"/>
      <c r="O4" s="1076"/>
      <c r="P4" s="1076"/>
      <c r="Q4" s="1076"/>
      <c r="R4" s="1076"/>
      <c r="S4" s="1076"/>
      <c r="T4" s="1076"/>
      <c r="U4" s="1076"/>
      <c r="V4" s="1076"/>
      <c r="W4" s="1076"/>
      <c r="X4" s="1076"/>
      <c r="Y4" s="1076"/>
      <c r="Z4" s="1076"/>
      <c r="AA4" s="1076"/>
      <c r="AB4" s="1076"/>
      <c r="AC4" s="1076"/>
      <c r="AD4" s="1076"/>
      <c r="AE4" s="1076"/>
      <c r="AF4" s="1076"/>
      <c r="AG4" s="1076"/>
      <c r="AH4" s="1076"/>
      <c r="AI4" s="1076"/>
      <c r="AJ4" s="1076"/>
      <c r="AK4" s="1076"/>
      <c r="AL4" s="1076"/>
      <c r="AM4" s="1076"/>
      <c r="AN4" s="1076"/>
      <c r="AO4" s="1077"/>
      <c r="AP4" s="678" t="s">
        <v>915</v>
      </c>
      <c r="AQ4" s="678"/>
      <c r="AR4" s="680" t="s">
        <v>942</v>
      </c>
    </row>
    <row r="5" spans="1:44" s="134" customFormat="1" ht="60.75" customHeight="1" x14ac:dyDescent="0.25">
      <c r="A5" s="1082" t="s">
        <v>1</v>
      </c>
      <c r="B5" s="1084" t="s">
        <v>2</v>
      </c>
      <c r="C5" s="1086" t="s">
        <v>3</v>
      </c>
      <c r="D5" s="1087"/>
      <c r="E5" s="1063" t="s">
        <v>4</v>
      </c>
      <c r="F5" s="1063" t="s">
        <v>5</v>
      </c>
      <c r="G5" s="1065" t="s">
        <v>6</v>
      </c>
      <c r="H5" s="1093" t="s">
        <v>7</v>
      </c>
      <c r="I5" s="1094"/>
      <c r="J5" s="1080" t="s">
        <v>4</v>
      </c>
      <c r="K5" s="1097" t="s">
        <v>8</v>
      </c>
      <c r="L5" s="1098"/>
      <c r="M5" s="1080" t="s">
        <v>9</v>
      </c>
      <c r="N5" s="1063" t="s">
        <v>10</v>
      </c>
      <c r="O5" s="1063" t="s">
        <v>11</v>
      </c>
      <c r="P5" s="1063" t="s">
        <v>12</v>
      </c>
      <c r="Q5" s="1078" t="s">
        <v>13</v>
      </c>
      <c r="R5" s="1078" t="s">
        <v>14</v>
      </c>
      <c r="S5" s="1078" t="s">
        <v>15</v>
      </c>
      <c r="T5" s="1078" t="s">
        <v>16</v>
      </c>
      <c r="U5" s="1078" t="s">
        <v>17</v>
      </c>
      <c r="V5" s="1078" t="s">
        <v>18</v>
      </c>
      <c r="W5" s="1078" t="s">
        <v>906</v>
      </c>
      <c r="X5" s="1078" t="s">
        <v>903</v>
      </c>
      <c r="Y5" s="1078" t="s">
        <v>19</v>
      </c>
      <c r="Z5" s="1078" t="s">
        <v>20</v>
      </c>
      <c r="AA5" s="1078" t="s">
        <v>21</v>
      </c>
      <c r="AB5" s="1078" t="s">
        <v>923</v>
      </c>
      <c r="AC5" s="1078" t="s">
        <v>22</v>
      </c>
      <c r="AD5" s="1078" t="s">
        <v>23</v>
      </c>
      <c r="AE5" s="1078" t="s">
        <v>24</v>
      </c>
      <c r="AF5" s="1078" t="s">
        <v>905</v>
      </c>
      <c r="AG5" s="1078" t="s">
        <v>25</v>
      </c>
      <c r="AH5" s="1078" t="s">
        <v>907</v>
      </c>
      <c r="AI5" s="1078" t="s">
        <v>26</v>
      </c>
      <c r="AJ5" s="1078" t="s">
        <v>27</v>
      </c>
      <c r="AK5" s="1078" t="s">
        <v>908</v>
      </c>
      <c r="AL5" s="1078" t="s">
        <v>28</v>
      </c>
      <c r="AM5" s="1078" t="s">
        <v>29</v>
      </c>
      <c r="AN5" s="1078" t="s">
        <v>30</v>
      </c>
      <c r="AO5" s="1078" t="s">
        <v>31</v>
      </c>
      <c r="AP5" s="1078" t="s">
        <v>902</v>
      </c>
      <c r="AQ5" s="1078" t="s">
        <v>978</v>
      </c>
      <c r="AR5" s="1078" t="s">
        <v>927</v>
      </c>
    </row>
    <row r="6" spans="1:44" s="674" customFormat="1" ht="62.25" customHeight="1" x14ac:dyDescent="0.25">
      <c r="A6" s="1083"/>
      <c r="B6" s="1085"/>
      <c r="C6" s="1088"/>
      <c r="D6" s="1089"/>
      <c r="E6" s="1064"/>
      <c r="F6" s="1064"/>
      <c r="G6" s="1066"/>
      <c r="H6" s="1095"/>
      <c r="I6" s="1096"/>
      <c r="J6" s="1081"/>
      <c r="K6" s="673" t="s">
        <v>909</v>
      </c>
      <c r="L6" s="673" t="s">
        <v>910</v>
      </c>
      <c r="M6" s="1081"/>
      <c r="N6" s="1064"/>
      <c r="O6" s="1064"/>
      <c r="P6" s="1064"/>
      <c r="Q6" s="1079"/>
      <c r="R6" s="1079"/>
      <c r="S6" s="1079"/>
      <c r="T6" s="1079" t="s">
        <v>911</v>
      </c>
      <c r="U6" s="1079" t="s">
        <v>911</v>
      </c>
      <c r="V6" s="1079"/>
      <c r="W6" s="1079" t="s">
        <v>911</v>
      </c>
      <c r="X6" s="1079" t="s">
        <v>911</v>
      </c>
      <c r="Y6" s="1079" t="s">
        <v>911</v>
      </c>
      <c r="Z6" s="1079" t="s">
        <v>911</v>
      </c>
      <c r="AA6" s="1079" t="s">
        <v>911</v>
      </c>
      <c r="AB6" s="1079" t="s">
        <v>911</v>
      </c>
      <c r="AC6" s="1079" t="s">
        <v>911</v>
      </c>
      <c r="AD6" s="1079" t="s">
        <v>911</v>
      </c>
      <c r="AE6" s="1079" t="s">
        <v>911</v>
      </c>
      <c r="AF6" s="1079" t="s">
        <v>911</v>
      </c>
      <c r="AG6" s="1079" t="s">
        <v>911</v>
      </c>
      <c r="AH6" s="1079" t="s">
        <v>911</v>
      </c>
      <c r="AI6" s="1079" t="s">
        <v>911</v>
      </c>
      <c r="AJ6" s="1079" t="s">
        <v>911</v>
      </c>
      <c r="AK6" s="1079" t="s">
        <v>911</v>
      </c>
      <c r="AL6" s="1079" t="s">
        <v>911</v>
      </c>
      <c r="AM6" s="1079" t="s">
        <v>911</v>
      </c>
      <c r="AN6" s="1079" t="s">
        <v>911</v>
      </c>
      <c r="AO6" s="1079" t="s">
        <v>911</v>
      </c>
      <c r="AP6" s="1079" t="s">
        <v>911</v>
      </c>
      <c r="AQ6" s="1079" t="s">
        <v>911</v>
      </c>
      <c r="AR6" s="1079" t="s">
        <v>911</v>
      </c>
    </row>
    <row r="7" spans="1:44" s="49" customFormat="1" ht="18" customHeight="1" x14ac:dyDescent="0.25">
      <c r="A7" s="135" t="s">
        <v>32</v>
      </c>
      <c r="B7" s="136"/>
      <c r="C7" s="137"/>
      <c r="D7" s="136"/>
      <c r="E7" s="136"/>
      <c r="F7" s="136"/>
      <c r="G7" s="136"/>
      <c r="H7" s="137"/>
      <c r="I7" s="136"/>
      <c r="J7" s="136"/>
      <c r="K7" s="136"/>
      <c r="L7" s="136"/>
      <c r="M7" s="136"/>
      <c r="N7" s="138"/>
      <c r="O7" s="136"/>
      <c r="P7" s="137"/>
      <c r="Q7" s="136"/>
      <c r="R7" s="136"/>
      <c r="S7" s="136"/>
      <c r="T7" s="136"/>
      <c r="U7" s="136"/>
      <c r="V7" s="136"/>
      <c r="W7" s="136"/>
      <c r="X7" s="136"/>
      <c r="Y7" s="136"/>
      <c r="Z7" s="136"/>
      <c r="AA7" s="136"/>
      <c r="AB7" s="136"/>
      <c r="AC7" s="136"/>
      <c r="AD7" s="136"/>
      <c r="AE7" s="136"/>
      <c r="AF7" s="136"/>
      <c r="AG7" s="136"/>
      <c r="AH7" s="136"/>
      <c r="AI7" s="136"/>
      <c r="AJ7" s="136"/>
      <c r="AK7" s="136"/>
      <c r="AL7" s="136"/>
      <c r="AM7" s="139"/>
      <c r="AN7" s="140"/>
      <c r="AO7" s="136"/>
      <c r="AP7" s="136"/>
      <c r="AQ7" s="136"/>
      <c r="AR7" s="141"/>
    </row>
    <row r="8" spans="1:44" s="49" customFormat="1" ht="18" customHeight="1" x14ac:dyDescent="0.25">
      <c r="A8" s="826">
        <v>5</v>
      </c>
      <c r="B8" s="142" t="s">
        <v>33</v>
      </c>
      <c r="C8" s="143"/>
      <c r="D8" s="142"/>
      <c r="E8" s="142"/>
      <c r="F8" s="142"/>
      <c r="G8" s="142"/>
      <c r="H8" s="143"/>
      <c r="I8" s="142"/>
      <c r="J8" s="142"/>
      <c r="K8" s="142"/>
      <c r="L8" s="142"/>
      <c r="M8" s="142"/>
      <c r="N8" s="144"/>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5"/>
      <c r="AN8" s="142"/>
      <c r="AO8" s="142"/>
      <c r="AP8" s="142"/>
      <c r="AQ8" s="142"/>
      <c r="AR8" s="146"/>
    </row>
    <row r="9" spans="1:44" s="49" customFormat="1" ht="18" customHeight="1" x14ac:dyDescent="0.25">
      <c r="A9" s="827"/>
      <c r="B9" s="147">
        <v>28</v>
      </c>
      <c r="C9" s="148" t="s">
        <v>34</v>
      </c>
      <c r="D9" s="149"/>
      <c r="E9" s="149"/>
      <c r="F9" s="149"/>
      <c r="G9" s="149"/>
      <c r="H9" s="150"/>
      <c r="I9" s="149"/>
      <c r="J9" s="149"/>
      <c r="K9" s="149"/>
      <c r="L9" s="149"/>
      <c r="M9" s="149"/>
      <c r="N9" s="151"/>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52"/>
      <c r="AN9" s="149"/>
      <c r="AO9" s="149"/>
      <c r="AP9" s="149"/>
      <c r="AQ9" s="149"/>
      <c r="AR9" s="153"/>
    </row>
    <row r="10" spans="1:44" s="49" customFormat="1" ht="18" customHeight="1" x14ac:dyDescent="0.25">
      <c r="A10" s="20"/>
      <c r="B10" s="154"/>
      <c r="C10" s="155"/>
      <c r="D10" s="156"/>
      <c r="E10" s="156"/>
      <c r="F10" s="156"/>
      <c r="G10" s="1">
        <v>89</v>
      </c>
      <c r="H10" s="2" t="s">
        <v>35</v>
      </c>
      <c r="I10" s="2"/>
      <c r="J10" s="3"/>
      <c r="K10" s="3"/>
      <c r="L10" s="3"/>
      <c r="M10" s="3"/>
      <c r="N10" s="4"/>
      <c r="O10" s="3"/>
      <c r="P10" s="3"/>
      <c r="Q10" s="3"/>
      <c r="R10" s="3"/>
      <c r="S10" s="3"/>
      <c r="T10" s="3"/>
      <c r="U10" s="3"/>
      <c r="V10" s="3"/>
      <c r="W10" s="3"/>
      <c r="X10" s="3"/>
      <c r="Y10" s="3"/>
      <c r="Z10" s="3"/>
      <c r="AA10" s="3"/>
      <c r="AB10" s="3"/>
      <c r="AC10" s="3"/>
      <c r="AD10" s="3"/>
      <c r="AE10" s="3"/>
      <c r="AF10" s="3"/>
      <c r="AG10" s="3"/>
      <c r="AH10" s="3"/>
      <c r="AI10" s="3"/>
      <c r="AJ10" s="3"/>
      <c r="AK10" s="3"/>
      <c r="AL10" s="3"/>
      <c r="AM10" s="107"/>
      <c r="AN10" s="3"/>
      <c r="AO10" s="3"/>
      <c r="AP10" s="3"/>
      <c r="AQ10" s="3"/>
      <c r="AR10" s="105"/>
    </row>
    <row r="11" spans="1:44" s="29" customFormat="1" ht="68.25" customHeight="1" x14ac:dyDescent="0.25">
      <c r="A11" s="20"/>
      <c r="B11" s="21"/>
      <c r="C11" s="761" t="s">
        <v>928</v>
      </c>
      <c r="D11" s="762" t="s">
        <v>36</v>
      </c>
      <c r="E11" s="767">
        <v>0</v>
      </c>
      <c r="F11" s="767">
        <v>2</v>
      </c>
      <c r="G11" s="24"/>
      <c r="H11" s="718">
        <v>282</v>
      </c>
      <c r="I11" s="762" t="s">
        <v>37</v>
      </c>
      <c r="J11" s="25" t="s">
        <v>38</v>
      </c>
      <c r="K11" s="25">
        <v>2</v>
      </c>
      <c r="L11" s="25">
        <v>2</v>
      </c>
      <c r="M11" s="26" t="s">
        <v>39</v>
      </c>
      <c r="N11" s="720" t="s">
        <v>40</v>
      </c>
      <c r="O11" s="762" t="s">
        <v>41</v>
      </c>
      <c r="P11" s="767" t="s">
        <v>42</v>
      </c>
      <c r="Q11" s="27">
        <v>0</v>
      </c>
      <c r="R11" s="27">
        <v>0</v>
      </c>
      <c r="S11" s="27">
        <v>0</v>
      </c>
      <c r="T11" s="27">
        <v>0</v>
      </c>
      <c r="U11" s="27">
        <v>0</v>
      </c>
      <c r="V11" s="27">
        <v>0</v>
      </c>
      <c r="W11" s="27">
        <v>0</v>
      </c>
      <c r="X11" s="27"/>
      <c r="Y11" s="27"/>
      <c r="Z11" s="27"/>
      <c r="AA11" s="27">
        <v>0</v>
      </c>
      <c r="AB11" s="27"/>
      <c r="AC11" s="27">
        <v>0</v>
      </c>
      <c r="AD11" s="27">
        <v>0</v>
      </c>
      <c r="AE11" s="27"/>
      <c r="AF11" s="27"/>
      <c r="AG11" s="27"/>
      <c r="AH11" s="27"/>
      <c r="AI11" s="27"/>
      <c r="AJ11" s="27"/>
      <c r="AK11" s="27">
        <v>0</v>
      </c>
      <c r="AL11" s="27">
        <v>0</v>
      </c>
      <c r="AM11" s="108">
        <f>39989033.9403455-989034</f>
        <v>38999999.940345503</v>
      </c>
      <c r="AN11" s="15"/>
      <c r="AO11" s="27">
        <v>0</v>
      </c>
      <c r="AP11" s="28">
        <v>0</v>
      </c>
      <c r="AQ11" s="28"/>
      <c r="AR11" s="27">
        <f>Q11+R11+S11+T11+U11+V11+W11+X11+Y11+Z11+AA11+AB11+AC11+AD11+AE11+AF11+AG11+AH11+AI11+AJ11+AK11+AL11+AM11+AN11+AO11+AP11+AQ11</f>
        <v>38999999.940345503</v>
      </c>
    </row>
    <row r="12" spans="1:44" s="29" customFormat="1" ht="101.25" customHeight="1" x14ac:dyDescent="0.25">
      <c r="A12" s="20"/>
      <c r="B12" s="21"/>
      <c r="C12" s="761" t="s">
        <v>929</v>
      </c>
      <c r="D12" s="762" t="s">
        <v>43</v>
      </c>
      <c r="E12" s="767"/>
      <c r="F12" s="767"/>
      <c r="G12" s="30"/>
      <c r="H12" s="767">
        <v>283</v>
      </c>
      <c r="I12" s="762" t="s">
        <v>44</v>
      </c>
      <c r="J12" s="25" t="s">
        <v>38</v>
      </c>
      <c r="K12" s="25">
        <v>1</v>
      </c>
      <c r="L12" s="157" t="s">
        <v>983</v>
      </c>
      <c r="M12" s="26" t="s">
        <v>39</v>
      </c>
      <c r="N12" s="31" t="s">
        <v>45</v>
      </c>
      <c r="O12" s="762" t="s">
        <v>46</v>
      </c>
      <c r="P12" s="767" t="s">
        <v>47</v>
      </c>
      <c r="Q12" s="27">
        <v>0</v>
      </c>
      <c r="R12" s="27">
        <v>0</v>
      </c>
      <c r="S12" s="27">
        <v>0</v>
      </c>
      <c r="T12" s="27">
        <v>0</v>
      </c>
      <c r="U12" s="27">
        <v>0</v>
      </c>
      <c r="V12" s="27">
        <v>0</v>
      </c>
      <c r="W12" s="27">
        <v>0</v>
      </c>
      <c r="X12" s="27"/>
      <c r="Y12" s="27"/>
      <c r="Z12" s="27"/>
      <c r="AA12" s="27">
        <v>0</v>
      </c>
      <c r="AB12" s="27"/>
      <c r="AC12" s="27">
        <v>0</v>
      </c>
      <c r="AD12" s="27">
        <v>0</v>
      </c>
      <c r="AE12" s="27"/>
      <c r="AF12" s="27"/>
      <c r="AG12" s="27"/>
      <c r="AH12" s="27"/>
      <c r="AI12" s="27"/>
      <c r="AJ12" s="27"/>
      <c r="AK12" s="27">
        <v>0</v>
      </c>
      <c r="AL12" s="27">
        <v>0</v>
      </c>
      <c r="AM12" s="108">
        <v>48317341.163003899</v>
      </c>
      <c r="AN12" s="15"/>
      <c r="AO12" s="27">
        <v>0</v>
      </c>
      <c r="AP12" s="28">
        <v>0</v>
      </c>
      <c r="AQ12" s="28"/>
      <c r="AR12" s="27">
        <f t="shared" ref="AR12:AR76" si="0">Q12+R12+S12+T12+U12+V12+W12+X12+Y12+Z12+AA12+AB12+AC12+AD12+AE12+AF12+AG12+AH12+AI12+AJ12+AK12+AL12+AM12+AN12+AO12+AP12+AQ12</f>
        <v>48317341.163003899</v>
      </c>
    </row>
    <row r="13" spans="1:44" s="29" customFormat="1" ht="65.099999999999994" customHeight="1" x14ac:dyDescent="0.25">
      <c r="A13" s="20"/>
      <c r="B13" s="21"/>
      <c r="C13" s="761">
        <v>38</v>
      </c>
      <c r="D13" s="762" t="s">
        <v>48</v>
      </c>
      <c r="E13" s="767"/>
      <c r="F13" s="767"/>
      <c r="G13" s="30"/>
      <c r="H13" s="767">
        <v>284</v>
      </c>
      <c r="I13" s="762" t="s">
        <v>49</v>
      </c>
      <c r="J13" s="25">
        <v>1</v>
      </c>
      <c r="K13" s="25">
        <v>1</v>
      </c>
      <c r="L13" s="25">
        <v>0</v>
      </c>
      <c r="M13" s="26" t="s">
        <v>39</v>
      </c>
      <c r="N13" s="31" t="s">
        <v>50</v>
      </c>
      <c r="O13" s="762" t="s">
        <v>51</v>
      </c>
      <c r="P13" s="767" t="s">
        <v>47</v>
      </c>
      <c r="Q13" s="27">
        <v>0</v>
      </c>
      <c r="R13" s="27">
        <v>0</v>
      </c>
      <c r="S13" s="27">
        <v>0</v>
      </c>
      <c r="T13" s="27">
        <v>0</v>
      </c>
      <c r="U13" s="27">
        <v>0</v>
      </c>
      <c r="V13" s="27">
        <v>0</v>
      </c>
      <c r="W13" s="27">
        <v>0</v>
      </c>
      <c r="X13" s="27"/>
      <c r="Y13" s="27"/>
      <c r="Z13" s="27"/>
      <c r="AA13" s="27">
        <v>0</v>
      </c>
      <c r="AB13" s="27"/>
      <c r="AC13" s="27">
        <v>0</v>
      </c>
      <c r="AD13" s="27">
        <v>0</v>
      </c>
      <c r="AE13" s="27"/>
      <c r="AF13" s="27"/>
      <c r="AG13" s="27"/>
      <c r="AH13" s="27"/>
      <c r="AI13" s="27"/>
      <c r="AJ13" s="27"/>
      <c r="AK13" s="27">
        <v>0</v>
      </c>
      <c r="AL13" s="27">
        <v>0</v>
      </c>
      <c r="AM13" s="108">
        <f>68295337.5969251+1867089</f>
        <v>70162426.596925095</v>
      </c>
      <c r="AN13" s="15"/>
      <c r="AO13" s="27">
        <v>0</v>
      </c>
      <c r="AP13" s="28">
        <v>0</v>
      </c>
      <c r="AQ13" s="28"/>
      <c r="AR13" s="27">
        <f t="shared" si="0"/>
        <v>70162426.596925095</v>
      </c>
    </row>
    <row r="14" spans="1:44" s="29" customFormat="1" ht="74.25" customHeight="1" x14ac:dyDescent="0.25">
      <c r="A14" s="20"/>
      <c r="B14" s="21"/>
      <c r="C14" s="761">
        <v>38</v>
      </c>
      <c r="D14" s="762" t="s">
        <v>48</v>
      </c>
      <c r="E14" s="767"/>
      <c r="F14" s="767"/>
      <c r="G14" s="30"/>
      <c r="H14" s="767">
        <v>285</v>
      </c>
      <c r="I14" s="762" t="s">
        <v>936</v>
      </c>
      <c r="J14" s="25">
        <v>1</v>
      </c>
      <c r="K14" s="25">
        <v>1</v>
      </c>
      <c r="L14" s="157">
        <v>0.64</v>
      </c>
      <c r="M14" s="26" t="s">
        <v>39</v>
      </c>
      <c r="N14" s="31" t="s">
        <v>52</v>
      </c>
      <c r="O14" s="762" t="s">
        <v>53</v>
      </c>
      <c r="P14" s="767" t="s">
        <v>47</v>
      </c>
      <c r="Q14" s="27">
        <v>0</v>
      </c>
      <c r="R14" s="27">
        <v>0</v>
      </c>
      <c r="S14" s="27">
        <v>0</v>
      </c>
      <c r="T14" s="27">
        <v>0</v>
      </c>
      <c r="U14" s="27">
        <v>0</v>
      </c>
      <c r="V14" s="27">
        <v>0</v>
      </c>
      <c r="W14" s="27">
        <v>0</v>
      </c>
      <c r="X14" s="27"/>
      <c r="Y14" s="27"/>
      <c r="Z14" s="27"/>
      <c r="AA14" s="27">
        <v>0</v>
      </c>
      <c r="AB14" s="27"/>
      <c r="AC14" s="27">
        <v>0</v>
      </c>
      <c r="AD14" s="27">
        <v>0</v>
      </c>
      <c r="AE14" s="27"/>
      <c r="AF14" s="27"/>
      <c r="AG14" s="27"/>
      <c r="AH14" s="27"/>
      <c r="AI14" s="27"/>
      <c r="AJ14" s="27"/>
      <c r="AK14" s="27">
        <v>0</v>
      </c>
      <c r="AL14" s="27">
        <v>0</v>
      </c>
      <c r="AM14" s="108">
        <f>60403055.3377954-878055</f>
        <v>59525000.337795399</v>
      </c>
      <c r="AN14" s="15"/>
      <c r="AO14" s="27">
        <v>0</v>
      </c>
      <c r="AP14" s="28">
        <v>0</v>
      </c>
      <c r="AQ14" s="28"/>
      <c r="AR14" s="27">
        <f t="shared" si="0"/>
        <v>59525000.337795399</v>
      </c>
    </row>
    <row r="15" spans="1:44" s="29" customFormat="1" ht="84.75" customHeight="1" x14ac:dyDescent="0.25">
      <c r="A15" s="20"/>
      <c r="B15" s="21"/>
      <c r="C15" s="761">
        <v>38</v>
      </c>
      <c r="D15" s="762" t="s">
        <v>48</v>
      </c>
      <c r="E15" s="767"/>
      <c r="F15" s="767"/>
      <c r="G15" s="32"/>
      <c r="H15" s="767">
        <v>280</v>
      </c>
      <c r="I15" s="762" t="s">
        <v>54</v>
      </c>
      <c r="J15" s="33">
        <v>0</v>
      </c>
      <c r="K15" s="33">
        <v>1</v>
      </c>
      <c r="L15" s="33">
        <v>0</v>
      </c>
      <c r="M15" s="941" t="s">
        <v>39</v>
      </c>
      <c r="N15" s="984" t="s">
        <v>55</v>
      </c>
      <c r="O15" s="941" t="s">
        <v>56</v>
      </c>
      <c r="P15" s="767" t="s">
        <v>47</v>
      </c>
      <c r="Q15" s="27">
        <v>0</v>
      </c>
      <c r="R15" s="27">
        <v>0</v>
      </c>
      <c r="S15" s="27">
        <v>0</v>
      </c>
      <c r="T15" s="27">
        <v>0</v>
      </c>
      <c r="U15" s="27">
        <v>0</v>
      </c>
      <c r="V15" s="27">
        <v>0</v>
      </c>
      <c r="W15" s="27">
        <v>0</v>
      </c>
      <c r="X15" s="27"/>
      <c r="Y15" s="27"/>
      <c r="Z15" s="27"/>
      <c r="AA15" s="27">
        <v>0</v>
      </c>
      <c r="AB15" s="27"/>
      <c r="AC15" s="27">
        <v>0</v>
      </c>
      <c r="AD15" s="27">
        <v>0</v>
      </c>
      <c r="AE15" s="27"/>
      <c r="AF15" s="27"/>
      <c r="AG15" s="27"/>
      <c r="AH15" s="27"/>
      <c r="AI15" s="27"/>
      <c r="AJ15" s="27"/>
      <c r="AK15" s="27">
        <v>0</v>
      </c>
      <c r="AL15" s="27">
        <v>0</v>
      </c>
      <c r="AM15" s="109">
        <f>20000000+50000000</f>
        <v>70000000</v>
      </c>
      <c r="AN15" s="34"/>
      <c r="AO15" s="27">
        <v>0</v>
      </c>
      <c r="AP15" s="28">
        <v>0</v>
      </c>
      <c r="AQ15" s="28"/>
      <c r="AR15" s="27">
        <f t="shared" si="0"/>
        <v>70000000</v>
      </c>
    </row>
    <row r="16" spans="1:44" s="29" customFormat="1" ht="57" x14ac:dyDescent="0.25">
      <c r="A16" s="20"/>
      <c r="B16" s="21"/>
      <c r="C16" s="761"/>
      <c r="D16" s="762"/>
      <c r="E16" s="767"/>
      <c r="F16" s="767"/>
      <c r="G16" s="32"/>
      <c r="H16" s="767">
        <v>281</v>
      </c>
      <c r="I16" s="762" t="s">
        <v>57</v>
      </c>
      <c r="J16" s="33">
        <v>0</v>
      </c>
      <c r="K16" s="33">
        <v>1</v>
      </c>
      <c r="L16" s="33">
        <v>0.5</v>
      </c>
      <c r="M16" s="942"/>
      <c r="N16" s="985"/>
      <c r="O16" s="942"/>
      <c r="P16" s="767" t="s">
        <v>47</v>
      </c>
      <c r="Q16" s="27"/>
      <c r="R16" s="27"/>
      <c r="S16" s="27"/>
      <c r="T16" s="27"/>
      <c r="U16" s="27"/>
      <c r="V16" s="27"/>
      <c r="W16" s="27"/>
      <c r="X16" s="27"/>
      <c r="Y16" s="27"/>
      <c r="Z16" s="27"/>
      <c r="AA16" s="27"/>
      <c r="AB16" s="27"/>
      <c r="AC16" s="27"/>
      <c r="AD16" s="27"/>
      <c r="AE16" s="27"/>
      <c r="AF16" s="27"/>
      <c r="AG16" s="27"/>
      <c r="AH16" s="27"/>
      <c r="AI16" s="27"/>
      <c r="AJ16" s="27"/>
      <c r="AK16" s="27"/>
      <c r="AL16" s="27"/>
      <c r="AM16" s="109">
        <f>20000000+50000000</f>
        <v>70000000</v>
      </c>
      <c r="AN16" s="34"/>
      <c r="AO16" s="27"/>
      <c r="AP16" s="28"/>
      <c r="AQ16" s="28"/>
      <c r="AR16" s="27">
        <f t="shared" si="0"/>
        <v>70000000</v>
      </c>
    </row>
    <row r="17" spans="1:44" s="29" customFormat="1" ht="42.75" x14ac:dyDescent="0.25">
      <c r="A17" s="20"/>
      <c r="B17" s="21"/>
      <c r="C17" s="761"/>
      <c r="D17" s="762"/>
      <c r="E17" s="767"/>
      <c r="F17" s="767"/>
      <c r="G17" s="32"/>
      <c r="H17" s="767">
        <v>286</v>
      </c>
      <c r="I17" s="762" t="s">
        <v>58</v>
      </c>
      <c r="J17" s="25">
        <v>1</v>
      </c>
      <c r="K17" s="25">
        <v>1</v>
      </c>
      <c r="L17" s="25">
        <v>0</v>
      </c>
      <c r="M17" s="942"/>
      <c r="N17" s="985"/>
      <c r="O17" s="942"/>
      <c r="P17" s="767" t="s">
        <v>42</v>
      </c>
      <c r="Q17" s="27"/>
      <c r="R17" s="27"/>
      <c r="S17" s="27"/>
      <c r="T17" s="27"/>
      <c r="U17" s="27"/>
      <c r="V17" s="27"/>
      <c r="W17" s="27"/>
      <c r="X17" s="27"/>
      <c r="Y17" s="27"/>
      <c r="Z17" s="27"/>
      <c r="AA17" s="27"/>
      <c r="AB17" s="27"/>
      <c r="AC17" s="27"/>
      <c r="AD17" s="27"/>
      <c r="AE17" s="27"/>
      <c r="AF17" s="27"/>
      <c r="AG17" s="27"/>
      <c r="AH17" s="27"/>
      <c r="AI17" s="27"/>
      <c r="AJ17" s="27"/>
      <c r="AK17" s="27"/>
      <c r="AL17" s="27"/>
      <c r="AM17" s="109">
        <f>40000000+100000000</f>
        <v>140000000</v>
      </c>
      <c r="AN17" s="34"/>
      <c r="AO17" s="27"/>
      <c r="AP17" s="28"/>
      <c r="AQ17" s="28"/>
      <c r="AR17" s="27">
        <f t="shared" si="0"/>
        <v>140000000</v>
      </c>
    </row>
    <row r="18" spans="1:44" s="29" customFormat="1" ht="42.75" x14ac:dyDescent="0.25">
      <c r="A18" s="20"/>
      <c r="B18" s="21"/>
      <c r="C18" s="761"/>
      <c r="D18" s="762"/>
      <c r="E18" s="767"/>
      <c r="F18" s="767"/>
      <c r="G18" s="32"/>
      <c r="H18" s="767">
        <v>287</v>
      </c>
      <c r="I18" s="762" t="s">
        <v>59</v>
      </c>
      <c r="J18" s="25">
        <v>1</v>
      </c>
      <c r="K18" s="25">
        <v>1</v>
      </c>
      <c r="L18" s="25">
        <v>0.16</v>
      </c>
      <c r="M18" s="942"/>
      <c r="N18" s="985"/>
      <c r="O18" s="942"/>
      <c r="P18" s="767" t="s">
        <v>47</v>
      </c>
      <c r="Q18" s="27"/>
      <c r="R18" s="27"/>
      <c r="S18" s="27"/>
      <c r="T18" s="27"/>
      <c r="U18" s="27"/>
      <c r="V18" s="27"/>
      <c r="W18" s="27"/>
      <c r="X18" s="27"/>
      <c r="Y18" s="27"/>
      <c r="Z18" s="27"/>
      <c r="AA18" s="27"/>
      <c r="AB18" s="27"/>
      <c r="AC18" s="27"/>
      <c r="AD18" s="27"/>
      <c r="AE18" s="27"/>
      <c r="AF18" s="27"/>
      <c r="AG18" s="27"/>
      <c r="AH18" s="27"/>
      <c r="AI18" s="27"/>
      <c r="AJ18" s="27"/>
      <c r="AK18" s="27"/>
      <c r="AL18" s="27"/>
      <c r="AM18" s="109">
        <f>57642632.7192573+100000000+100000000</f>
        <v>257642632.7192573</v>
      </c>
      <c r="AN18" s="34"/>
      <c r="AO18" s="27"/>
      <c r="AP18" s="28"/>
      <c r="AQ18" s="28"/>
      <c r="AR18" s="27">
        <f t="shared" si="0"/>
        <v>257642632.7192573</v>
      </c>
    </row>
    <row r="19" spans="1:44" s="29" customFormat="1" ht="63" customHeight="1" x14ac:dyDescent="0.25">
      <c r="A19" s="20"/>
      <c r="B19" s="21"/>
      <c r="C19" s="761"/>
      <c r="D19" s="762"/>
      <c r="E19" s="767"/>
      <c r="F19" s="767"/>
      <c r="G19" s="32"/>
      <c r="H19" s="767">
        <v>289</v>
      </c>
      <c r="I19" s="762" t="s">
        <v>904</v>
      </c>
      <c r="J19" s="25" t="s">
        <v>38</v>
      </c>
      <c r="K19" s="25">
        <v>1</v>
      </c>
      <c r="L19" s="25">
        <v>0</v>
      </c>
      <c r="M19" s="943"/>
      <c r="N19" s="986"/>
      <c r="O19" s="943"/>
      <c r="P19" s="767" t="s">
        <v>42</v>
      </c>
      <c r="Q19" s="27"/>
      <c r="R19" s="27"/>
      <c r="S19" s="27"/>
      <c r="T19" s="27"/>
      <c r="U19" s="27"/>
      <c r="V19" s="27"/>
      <c r="W19" s="27"/>
      <c r="X19" s="27"/>
      <c r="Y19" s="27"/>
      <c r="Z19" s="27"/>
      <c r="AA19" s="27"/>
      <c r="AB19" s="27"/>
      <c r="AC19" s="27"/>
      <c r="AD19" s="27"/>
      <c r="AE19" s="27"/>
      <c r="AF19" s="27"/>
      <c r="AG19" s="27"/>
      <c r="AH19" s="27"/>
      <c r="AI19" s="27"/>
      <c r="AJ19" s="27"/>
      <c r="AK19" s="27"/>
      <c r="AL19" s="27"/>
      <c r="AM19" s="109">
        <f>1500000000-100000000</f>
        <v>1400000000</v>
      </c>
      <c r="AN19" s="34"/>
      <c r="AO19" s="27"/>
      <c r="AP19" s="28"/>
      <c r="AQ19" s="28"/>
      <c r="AR19" s="27">
        <f t="shared" si="0"/>
        <v>1400000000</v>
      </c>
    </row>
    <row r="20" spans="1:44" s="29" customFormat="1" ht="66.75" customHeight="1" x14ac:dyDescent="0.25">
      <c r="A20" s="20"/>
      <c r="B20" s="21"/>
      <c r="C20" s="761"/>
      <c r="D20" s="762"/>
      <c r="E20" s="767"/>
      <c r="F20" s="767"/>
      <c r="G20" s="32"/>
      <c r="H20" s="767">
        <v>289</v>
      </c>
      <c r="I20" s="762" t="s">
        <v>904</v>
      </c>
      <c r="J20" s="25" t="s">
        <v>38</v>
      </c>
      <c r="K20" s="25">
        <v>1</v>
      </c>
      <c r="L20" s="25">
        <v>0</v>
      </c>
      <c r="M20" s="26" t="s">
        <v>39</v>
      </c>
      <c r="N20" s="698" t="s">
        <v>975</v>
      </c>
      <c r="O20" s="762" t="s">
        <v>976</v>
      </c>
      <c r="P20" s="767" t="s">
        <v>42</v>
      </c>
      <c r="Q20" s="27"/>
      <c r="R20" s="27"/>
      <c r="S20" s="27"/>
      <c r="T20" s="27"/>
      <c r="U20" s="27"/>
      <c r="V20" s="27"/>
      <c r="W20" s="27"/>
      <c r="X20" s="27"/>
      <c r="Y20" s="27"/>
      <c r="Z20" s="27"/>
      <c r="AA20" s="27"/>
      <c r="AB20" s="27"/>
      <c r="AC20" s="27"/>
      <c r="AD20" s="27"/>
      <c r="AE20" s="27"/>
      <c r="AF20" s="27"/>
      <c r="AG20" s="27"/>
      <c r="AH20" s="27"/>
      <c r="AI20" s="27"/>
      <c r="AJ20" s="27"/>
      <c r="AK20" s="27"/>
      <c r="AL20" s="27"/>
      <c r="AM20" s="109"/>
      <c r="AN20" s="34"/>
      <c r="AO20" s="27"/>
      <c r="AP20" s="28"/>
      <c r="AQ20" s="28"/>
      <c r="AR20" s="27">
        <f t="shared" si="0"/>
        <v>0</v>
      </c>
    </row>
    <row r="21" spans="1:44" s="165" customFormat="1" ht="15" x14ac:dyDescent="0.25">
      <c r="A21" s="20"/>
      <c r="B21" s="158"/>
      <c r="C21" s="761"/>
      <c r="D21" s="159"/>
      <c r="E21" s="604"/>
      <c r="F21" s="604"/>
      <c r="G21" s="160"/>
      <c r="H21" s="161"/>
      <c r="I21" s="160"/>
      <c r="J21" s="162"/>
      <c r="K21" s="162"/>
      <c r="L21" s="162"/>
      <c r="M21" s="162"/>
      <c r="N21" s="163"/>
      <c r="O21" s="160"/>
      <c r="P21" s="161"/>
      <c r="Q21" s="164">
        <f>SUM(Q11:Q19)</f>
        <v>0</v>
      </c>
      <c r="R21" s="164">
        <f t="shared" ref="R21:AL21" si="1">SUM(R11:R19)</f>
        <v>0</v>
      </c>
      <c r="S21" s="164">
        <f t="shared" si="1"/>
        <v>0</v>
      </c>
      <c r="T21" s="164">
        <f t="shared" si="1"/>
        <v>0</v>
      </c>
      <c r="U21" s="164">
        <f t="shared" si="1"/>
        <v>0</v>
      </c>
      <c r="V21" s="164">
        <f t="shared" si="1"/>
        <v>0</v>
      </c>
      <c r="W21" s="164">
        <f t="shared" si="1"/>
        <v>0</v>
      </c>
      <c r="X21" s="164">
        <f t="shared" si="1"/>
        <v>0</v>
      </c>
      <c r="Y21" s="164">
        <f t="shared" si="1"/>
        <v>0</v>
      </c>
      <c r="Z21" s="164">
        <f t="shared" si="1"/>
        <v>0</v>
      </c>
      <c r="AA21" s="164">
        <f t="shared" si="1"/>
        <v>0</v>
      </c>
      <c r="AB21" s="164">
        <f t="shared" si="1"/>
        <v>0</v>
      </c>
      <c r="AC21" s="164">
        <f t="shared" si="1"/>
        <v>0</v>
      </c>
      <c r="AD21" s="164">
        <f t="shared" si="1"/>
        <v>0</v>
      </c>
      <c r="AE21" s="164">
        <f t="shared" si="1"/>
        <v>0</v>
      </c>
      <c r="AF21" s="164">
        <f t="shared" si="1"/>
        <v>0</v>
      </c>
      <c r="AG21" s="164">
        <f t="shared" si="1"/>
        <v>0</v>
      </c>
      <c r="AH21" s="164">
        <f t="shared" si="1"/>
        <v>0</v>
      </c>
      <c r="AI21" s="164">
        <f t="shared" si="1"/>
        <v>0</v>
      </c>
      <c r="AJ21" s="164">
        <f t="shared" si="1"/>
        <v>0</v>
      </c>
      <c r="AK21" s="164">
        <f t="shared" si="1"/>
        <v>0</v>
      </c>
      <c r="AL21" s="164">
        <f t="shared" si="1"/>
        <v>0</v>
      </c>
      <c r="AM21" s="164">
        <f t="shared" ref="AM21:AP21" si="2">SUM(AM11:AM19)</f>
        <v>2154647400.7573271</v>
      </c>
      <c r="AN21" s="164">
        <f t="shared" si="2"/>
        <v>0</v>
      </c>
      <c r="AO21" s="164">
        <f t="shared" si="2"/>
        <v>0</v>
      </c>
      <c r="AP21" s="164">
        <f t="shared" si="2"/>
        <v>0</v>
      </c>
      <c r="AQ21" s="164">
        <f>SUM(AQ11:AQ20)</f>
        <v>0</v>
      </c>
      <c r="AR21" s="164">
        <f t="shared" si="0"/>
        <v>2154647400.7573271</v>
      </c>
    </row>
    <row r="22" spans="1:44" s="165" customFormat="1" ht="15" x14ac:dyDescent="0.25">
      <c r="A22" s="329"/>
      <c r="B22" s="167"/>
      <c r="C22" s="168"/>
      <c r="D22" s="167"/>
      <c r="E22" s="168"/>
      <c r="F22" s="168"/>
      <c r="G22" s="167"/>
      <c r="H22" s="168"/>
      <c r="I22" s="167"/>
      <c r="J22" s="169"/>
      <c r="K22" s="169"/>
      <c r="L22" s="169"/>
      <c r="M22" s="169"/>
      <c r="N22" s="170"/>
      <c r="O22" s="167"/>
      <c r="P22" s="168"/>
      <c r="Q22" s="171">
        <f t="shared" ref="Q22:AL22" si="3">Q21</f>
        <v>0</v>
      </c>
      <c r="R22" s="171">
        <f t="shared" si="3"/>
        <v>0</v>
      </c>
      <c r="S22" s="171">
        <f t="shared" si="3"/>
        <v>0</v>
      </c>
      <c r="T22" s="171">
        <f t="shared" si="3"/>
        <v>0</v>
      </c>
      <c r="U22" s="171">
        <f t="shared" si="3"/>
        <v>0</v>
      </c>
      <c r="V22" s="171">
        <f t="shared" si="3"/>
        <v>0</v>
      </c>
      <c r="W22" s="171">
        <f t="shared" si="3"/>
        <v>0</v>
      </c>
      <c r="X22" s="171">
        <f t="shared" si="3"/>
        <v>0</v>
      </c>
      <c r="Y22" s="171">
        <f t="shared" si="3"/>
        <v>0</v>
      </c>
      <c r="Z22" s="171">
        <f t="shared" si="3"/>
        <v>0</v>
      </c>
      <c r="AA22" s="171">
        <f t="shared" si="3"/>
        <v>0</v>
      </c>
      <c r="AB22" s="171">
        <f t="shared" si="3"/>
        <v>0</v>
      </c>
      <c r="AC22" s="171">
        <f t="shared" si="3"/>
        <v>0</v>
      </c>
      <c r="AD22" s="171">
        <f t="shared" si="3"/>
        <v>0</v>
      </c>
      <c r="AE22" s="171">
        <f t="shared" si="3"/>
        <v>0</v>
      </c>
      <c r="AF22" s="171">
        <f t="shared" si="3"/>
        <v>0</v>
      </c>
      <c r="AG22" s="171">
        <f t="shared" si="3"/>
        <v>0</v>
      </c>
      <c r="AH22" s="171">
        <f t="shared" si="3"/>
        <v>0</v>
      </c>
      <c r="AI22" s="171">
        <f t="shared" si="3"/>
        <v>0</v>
      </c>
      <c r="AJ22" s="171">
        <f t="shared" si="3"/>
        <v>0</v>
      </c>
      <c r="AK22" s="171">
        <f t="shared" si="3"/>
        <v>0</v>
      </c>
      <c r="AL22" s="171">
        <f t="shared" si="3"/>
        <v>0</v>
      </c>
      <c r="AM22" s="171">
        <f t="shared" ref="AM22:AP22" si="4">AM21</f>
        <v>2154647400.7573271</v>
      </c>
      <c r="AN22" s="171">
        <f t="shared" si="4"/>
        <v>0</v>
      </c>
      <c r="AO22" s="171">
        <f t="shared" si="4"/>
        <v>0</v>
      </c>
      <c r="AP22" s="171">
        <f t="shared" si="4"/>
        <v>0</v>
      </c>
      <c r="AQ22" s="171">
        <f t="shared" ref="AQ22" si="5">AQ21</f>
        <v>0</v>
      </c>
      <c r="AR22" s="171">
        <f t="shared" si="0"/>
        <v>2154647400.7573271</v>
      </c>
    </row>
    <row r="23" spans="1:44" s="165" customFormat="1" ht="15" x14ac:dyDescent="0.25">
      <c r="A23" s="172"/>
      <c r="B23" s="172"/>
      <c r="C23" s="173"/>
      <c r="D23" s="172"/>
      <c r="E23" s="173"/>
      <c r="F23" s="173"/>
      <c r="G23" s="172"/>
      <c r="H23" s="173"/>
      <c r="I23" s="172"/>
      <c r="J23" s="174"/>
      <c r="K23" s="174"/>
      <c r="L23" s="174"/>
      <c r="M23" s="174"/>
      <c r="N23" s="175"/>
      <c r="O23" s="172"/>
      <c r="P23" s="173"/>
      <c r="Q23" s="176">
        <f t="shared" ref="Q23:AL23" si="6">+Q22</f>
        <v>0</v>
      </c>
      <c r="R23" s="176">
        <f t="shared" si="6"/>
        <v>0</v>
      </c>
      <c r="S23" s="176">
        <f t="shared" si="6"/>
        <v>0</v>
      </c>
      <c r="T23" s="176">
        <f t="shared" si="6"/>
        <v>0</v>
      </c>
      <c r="U23" s="176">
        <f t="shared" si="6"/>
        <v>0</v>
      </c>
      <c r="V23" s="176">
        <f t="shared" si="6"/>
        <v>0</v>
      </c>
      <c r="W23" s="176">
        <f t="shared" si="6"/>
        <v>0</v>
      </c>
      <c r="X23" s="176">
        <f t="shared" si="6"/>
        <v>0</v>
      </c>
      <c r="Y23" s="176">
        <f t="shared" si="6"/>
        <v>0</v>
      </c>
      <c r="Z23" s="176">
        <f t="shared" si="6"/>
        <v>0</v>
      </c>
      <c r="AA23" s="176">
        <f t="shared" si="6"/>
        <v>0</v>
      </c>
      <c r="AB23" s="176">
        <f t="shared" si="6"/>
        <v>0</v>
      </c>
      <c r="AC23" s="176">
        <f t="shared" si="6"/>
        <v>0</v>
      </c>
      <c r="AD23" s="176">
        <f t="shared" si="6"/>
        <v>0</v>
      </c>
      <c r="AE23" s="176">
        <f t="shared" si="6"/>
        <v>0</v>
      </c>
      <c r="AF23" s="176">
        <f t="shared" si="6"/>
        <v>0</v>
      </c>
      <c r="AG23" s="176">
        <f t="shared" si="6"/>
        <v>0</v>
      </c>
      <c r="AH23" s="176">
        <f t="shared" si="6"/>
        <v>0</v>
      </c>
      <c r="AI23" s="176">
        <f t="shared" si="6"/>
        <v>0</v>
      </c>
      <c r="AJ23" s="176">
        <f t="shared" si="6"/>
        <v>0</v>
      </c>
      <c r="AK23" s="176">
        <f t="shared" si="6"/>
        <v>0</v>
      </c>
      <c r="AL23" s="176">
        <f t="shared" si="6"/>
        <v>0</v>
      </c>
      <c r="AM23" s="176">
        <f t="shared" ref="AM23:AP23" si="7">+AM22</f>
        <v>2154647400.7573271</v>
      </c>
      <c r="AN23" s="176">
        <f t="shared" si="7"/>
        <v>0</v>
      </c>
      <c r="AO23" s="176">
        <f t="shared" si="7"/>
        <v>0</v>
      </c>
      <c r="AP23" s="176">
        <f t="shared" si="7"/>
        <v>0</v>
      </c>
      <c r="AQ23" s="176">
        <f t="shared" ref="AQ23" si="8">+AQ22</f>
        <v>0</v>
      </c>
      <c r="AR23" s="176">
        <f t="shared" si="0"/>
        <v>2154647400.7573271</v>
      </c>
    </row>
    <row r="24" spans="1:44" s="165" customFormat="1" ht="15" x14ac:dyDescent="0.25">
      <c r="A24" s="177"/>
      <c r="B24" s="177"/>
      <c r="C24" s="178"/>
      <c r="D24" s="177"/>
      <c r="E24" s="178"/>
      <c r="F24" s="178"/>
      <c r="G24" s="177"/>
      <c r="H24" s="178"/>
      <c r="I24" s="177"/>
      <c r="J24" s="179"/>
      <c r="K24" s="179"/>
      <c r="L24" s="179"/>
      <c r="M24" s="179"/>
      <c r="N24" s="180"/>
      <c r="O24" s="177"/>
      <c r="P24" s="178"/>
      <c r="Q24" s="181">
        <f t="shared" ref="Q24:AL24" si="9">Q23</f>
        <v>0</v>
      </c>
      <c r="R24" s="181">
        <f t="shared" si="9"/>
        <v>0</v>
      </c>
      <c r="S24" s="181">
        <f t="shared" si="9"/>
        <v>0</v>
      </c>
      <c r="T24" s="181">
        <f t="shared" si="9"/>
        <v>0</v>
      </c>
      <c r="U24" s="181">
        <f t="shared" si="9"/>
        <v>0</v>
      </c>
      <c r="V24" s="181">
        <f t="shared" si="9"/>
        <v>0</v>
      </c>
      <c r="W24" s="181">
        <f t="shared" si="9"/>
        <v>0</v>
      </c>
      <c r="X24" s="181">
        <f t="shared" si="9"/>
        <v>0</v>
      </c>
      <c r="Y24" s="181">
        <f t="shared" si="9"/>
        <v>0</v>
      </c>
      <c r="Z24" s="181">
        <f t="shared" si="9"/>
        <v>0</v>
      </c>
      <c r="AA24" s="181">
        <f t="shared" si="9"/>
        <v>0</v>
      </c>
      <c r="AB24" s="181">
        <f t="shared" si="9"/>
        <v>0</v>
      </c>
      <c r="AC24" s="181">
        <f t="shared" si="9"/>
        <v>0</v>
      </c>
      <c r="AD24" s="181">
        <f t="shared" si="9"/>
        <v>0</v>
      </c>
      <c r="AE24" s="181">
        <f t="shared" si="9"/>
        <v>0</v>
      </c>
      <c r="AF24" s="181">
        <f t="shared" si="9"/>
        <v>0</v>
      </c>
      <c r="AG24" s="181">
        <f t="shared" si="9"/>
        <v>0</v>
      </c>
      <c r="AH24" s="181">
        <f t="shared" si="9"/>
        <v>0</v>
      </c>
      <c r="AI24" s="181">
        <f t="shared" si="9"/>
        <v>0</v>
      </c>
      <c r="AJ24" s="181">
        <f t="shared" si="9"/>
        <v>0</v>
      </c>
      <c r="AK24" s="181">
        <f t="shared" si="9"/>
        <v>0</v>
      </c>
      <c r="AL24" s="181">
        <f t="shared" si="9"/>
        <v>0</v>
      </c>
      <c r="AM24" s="181">
        <f t="shared" ref="AM24:AP24" si="10">AM23</f>
        <v>2154647400.7573271</v>
      </c>
      <c r="AN24" s="181">
        <f t="shared" si="10"/>
        <v>0</v>
      </c>
      <c r="AO24" s="181">
        <f t="shared" si="10"/>
        <v>0</v>
      </c>
      <c r="AP24" s="181">
        <f t="shared" si="10"/>
        <v>0</v>
      </c>
      <c r="AQ24" s="181">
        <f t="shared" ref="AQ24" si="11">AQ23</f>
        <v>0</v>
      </c>
      <c r="AR24" s="181">
        <f t="shared" si="0"/>
        <v>2154647400.7573271</v>
      </c>
    </row>
    <row r="25" spans="1:44" s="29" customFormat="1" ht="15" x14ac:dyDescent="0.25">
      <c r="A25" s="182"/>
      <c r="B25" s="183"/>
      <c r="C25" s="760"/>
      <c r="D25" s="183"/>
      <c r="E25" s="760"/>
      <c r="F25" s="760"/>
      <c r="G25" s="183"/>
      <c r="H25" s="760"/>
      <c r="I25" s="183"/>
      <c r="J25" s="184"/>
      <c r="K25" s="184"/>
      <c r="L25" s="184"/>
      <c r="M25" s="184"/>
      <c r="N25" s="185"/>
      <c r="O25" s="183"/>
      <c r="P25" s="760"/>
      <c r="Q25" s="186"/>
      <c r="R25" s="186"/>
      <c r="S25" s="186"/>
      <c r="T25" s="186"/>
      <c r="U25" s="186"/>
      <c r="V25" s="186"/>
      <c r="W25" s="186"/>
      <c r="X25" s="186"/>
      <c r="Y25" s="186"/>
      <c r="Z25" s="186"/>
      <c r="AA25" s="186"/>
      <c r="AB25" s="186"/>
      <c r="AC25" s="186"/>
      <c r="AD25" s="186"/>
      <c r="AE25" s="187"/>
      <c r="AF25" s="187"/>
      <c r="AG25" s="187"/>
      <c r="AH25" s="187"/>
      <c r="AI25" s="187"/>
      <c r="AJ25" s="187"/>
      <c r="AK25" s="186"/>
      <c r="AL25" s="186"/>
      <c r="AM25" s="188"/>
      <c r="AN25" s="189"/>
      <c r="AO25" s="186"/>
      <c r="AP25" s="186"/>
      <c r="AQ25" s="186"/>
      <c r="AR25" s="498">
        <f t="shared" si="0"/>
        <v>0</v>
      </c>
    </row>
    <row r="26" spans="1:44" s="49" customFormat="1" ht="20.25" x14ac:dyDescent="0.25">
      <c r="A26" s="135" t="s">
        <v>60</v>
      </c>
      <c r="B26" s="136"/>
      <c r="C26" s="137"/>
      <c r="D26" s="136"/>
      <c r="E26" s="136"/>
      <c r="F26" s="136"/>
      <c r="G26" s="136"/>
      <c r="H26" s="137"/>
      <c r="I26" s="136"/>
      <c r="J26" s="136"/>
      <c r="K26" s="136"/>
      <c r="L26" s="136"/>
      <c r="M26" s="136"/>
      <c r="N26" s="138"/>
      <c r="O26" s="136"/>
      <c r="P26" s="137"/>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9"/>
      <c r="AN26" s="140"/>
      <c r="AO26" s="136"/>
      <c r="AP26" s="136"/>
      <c r="AQ26" s="136"/>
      <c r="AR26" s="141"/>
    </row>
    <row r="27" spans="1:44" s="165" customFormat="1" x14ac:dyDescent="0.25">
      <c r="A27" s="826">
        <v>5</v>
      </c>
      <c r="B27" s="142" t="s">
        <v>33</v>
      </c>
      <c r="C27" s="143"/>
      <c r="D27" s="142"/>
      <c r="E27" s="142"/>
      <c r="F27" s="142"/>
      <c r="G27" s="142"/>
      <c r="H27" s="143"/>
      <c r="I27" s="142"/>
      <c r="J27" s="142"/>
      <c r="K27" s="142"/>
      <c r="L27" s="142"/>
      <c r="M27" s="142"/>
      <c r="N27" s="144"/>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5"/>
      <c r="AN27" s="142"/>
      <c r="AO27" s="142"/>
      <c r="AP27" s="142"/>
      <c r="AQ27" s="142"/>
      <c r="AR27" s="146"/>
    </row>
    <row r="28" spans="1:44" s="165" customFormat="1" x14ac:dyDescent="0.25">
      <c r="A28" s="190"/>
      <c r="B28" s="148">
        <v>26</v>
      </c>
      <c r="C28" s="148" t="s">
        <v>61</v>
      </c>
      <c r="D28" s="149"/>
      <c r="E28" s="149"/>
      <c r="F28" s="149"/>
      <c r="G28" s="149"/>
      <c r="H28" s="150"/>
      <c r="I28" s="149"/>
      <c r="J28" s="149"/>
      <c r="K28" s="149"/>
      <c r="L28" s="149"/>
      <c r="M28" s="149"/>
      <c r="N28" s="151"/>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52"/>
      <c r="AN28" s="149"/>
      <c r="AO28" s="149"/>
      <c r="AP28" s="149"/>
      <c r="AQ28" s="149"/>
      <c r="AR28" s="153"/>
    </row>
    <row r="29" spans="1:44" s="165" customFormat="1" x14ac:dyDescent="0.25">
      <c r="A29" s="21"/>
      <c r="B29" s="190"/>
      <c r="C29" s="715"/>
      <c r="D29" s="191"/>
      <c r="E29" s="191"/>
      <c r="F29" s="192"/>
      <c r="G29" s="193">
        <v>83</v>
      </c>
      <c r="H29" s="724" t="s">
        <v>62</v>
      </c>
      <c r="I29" s="194"/>
      <c r="J29" s="194"/>
      <c r="K29" s="194"/>
      <c r="L29" s="194"/>
      <c r="M29" s="194"/>
      <c r="N29" s="195"/>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6"/>
      <c r="AN29" s="194"/>
      <c r="AO29" s="194"/>
      <c r="AP29" s="194"/>
      <c r="AQ29" s="194"/>
      <c r="AR29" s="197"/>
    </row>
    <row r="30" spans="1:44" s="29" customFormat="1" ht="110.25" customHeight="1" x14ac:dyDescent="0.25">
      <c r="A30" s="21"/>
      <c r="B30" s="21"/>
      <c r="C30" s="767">
        <v>37</v>
      </c>
      <c r="D30" s="37" t="s">
        <v>63</v>
      </c>
      <c r="E30" s="38" t="s">
        <v>646</v>
      </c>
      <c r="F30" s="35">
        <v>0.6</v>
      </c>
      <c r="G30" s="762"/>
      <c r="H30" s="767">
        <v>246</v>
      </c>
      <c r="I30" s="762" t="s">
        <v>65</v>
      </c>
      <c r="J30" s="25" t="s">
        <v>38</v>
      </c>
      <c r="K30" s="25">
        <v>13</v>
      </c>
      <c r="L30" s="25">
        <v>13</v>
      </c>
      <c r="M30" s="26" t="s">
        <v>39</v>
      </c>
      <c r="N30" s="39" t="s">
        <v>66</v>
      </c>
      <c r="O30" s="762" t="s">
        <v>67</v>
      </c>
      <c r="P30" s="767" t="s">
        <v>47</v>
      </c>
      <c r="Q30" s="27">
        <v>0</v>
      </c>
      <c r="R30" s="27">
        <v>0</v>
      </c>
      <c r="S30" s="27">
        <v>0</v>
      </c>
      <c r="T30" s="27">
        <v>0</v>
      </c>
      <c r="U30" s="27">
        <v>0</v>
      </c>
      <c r="V30" s="27">
        <v>0</v>
      </c>
      <c r="W30" s="27">
        <v>0</v>
      </c>
      <c r="X30" s="27"/>
      <c r="Y30" s="27"/>
      <c r="Z30" s="27"/>
      <c r="AA30" s="27">
        <v>0</v>
      </c>
      <c r="AB30" s="27"/>
      <c r="AC30" s="27">
        <v>0</v>
      </c>
      <c r="AD30" s="27">
        <v>0</v>
      </c>
      <c r="AE30" s="27"/>
      <c r="AF30" s="27"/>
      <c r="AG30" s="27"/>
      <c r="AH30" s="27"/>
      <c r="AI30" s="27"/>
      <c r="AJ30" s="27"/>
      <c r="AK30" s="27">
        <v>0</v>
      </c>
      <c r="AL30" s="27">
        <v>0</v>
      </c>
      <c r="AM30" s="110">
        <v>30000000</v>
      </c>
      <c r="AN30" s="11"/>
      <c r="AO30" s="27">
        <v>0</v>
      </c>
      <c r="AP30" s="28">
        <v>0</v>
      </c>
      <c r="AQ30" s="28"/>
      <c r="AR30" s="27">
        <f t="shared" si="0"/>
        <v>30000000</v>
      </c>
    </row>
    <row r="31" spans="1:44" s="165" customFormat="1" ht="15" x14ac:dyDescent="0.25">
      <c r="A31" s="21"/>
      <c r="B31" s="21"/>
      <c r="C31" s="604"/>
      <c r="D31" s="159"/>
      <c r="E31" s="604"/>
      <c r="F31" s="604"/>
      <c r="G31" s="198"/>
      <c r="H31" s="199"/>
      <c r="I31" s="200"/>
      <c r="J31" s="201"/>
      <c r="K31" s="201"/>
      <c r="L31" s="201"/>
      <c r="M31" s="202"/>
      <c r="N31" s="203"/>
      <c r="O31" s="200"/>
      <c r="P31" s="199"/>
      <c r="Q31" s="204">
        <f t="shared" ref="Q31:AP31" si="12">SUM(Q30)</f>
        <v>0</v>
      </c>
      <c r="R31" s="204">
        <f t="shared" si="12"/>
        <v>0</v>
      </c>
      <c r="S31" s="204">
        <f t="shared" si="12"/>
        <v>0</v>
      </c>
      <c r="T31" s="204">
        <f t="shared" si="12"/>
        <v>0</v>
      </c>
      <c r="U31" s="204">
        <f t="shared" si="12"/>
        <v>0</v>
      </c>
      <c r="V31" s="204">
        <f t="shared" si="12"/>
        <v>0</v>
      </c>
      <c r="W31" s="204">
        <f t="shared" si="12"/>
        <v>0</v>
      </c>
      <c r="X31" s="204">
        <f t="shared" si="12"/>
        <v>0</v>
      </c>
      <c r="Y31" s="204">
        <f t="shared" si="12"/>
        <v>0</v>
      </c>
      <c r="Z31" s="204">
        <f t="shared" si="12"/>
        <v>0</v>
      </c>
      <c r="AA31" s="204">
        <f t="shared" si="12"/>
        <v>0</v>
      </c>
      <c r="AB31" s="204">
        <f t="shared" si="12"/>
        <v>0</v>
      </c>
      <c r="AC31" s="204">
        <f t="shared" si="12"/>
        <v>0</v>
      </c>
      <c r="AD31" s="204">
        <f t="shared" si="12"/>
        <v>0</v>
      </c>
      <c r="AE31" s="204">
        <f t="shared" si="12"/>
        <v>0</v>
      </c>
      <c r="AF31" s="204">
        <f t="shared" si="12"/>
        <v>0</v>
      </c>
      <c r="AG31" s="204">
        <f t="shared" si="12"/>
        <v>0</v>
      </c>
      <c r="AH31" s="204">
        <f t="shared" si="12"/>
        <v>0</v>
      </c>
      <c r="AI31" s="204">
        <f t="shared" si="12"/>
        <v>0</v>
      </c>
      <c r="AJ31" s="204">
        <f t="shared" si="12"/>
        <v>0</v>
      </c>
      <c r="AK31" s="204">
        <f t="shared" si="12"/>
        <v>0</v>
      </c>
      <c r="AL31" s="204">
        <f t="shared" si="12"/>
        <v>0</v>
      </c>
      <c r="AM31" s="204">
        <f t="shared" si="12"/>
        <v>30000000</v>
      </c>
      <c r="AN31" s="204">
        <f t="shared" si="12"/>
        <v>0</v>
      </c>
      <c r="AO31" s="204">
        <f t="shared" si="12"/>
        <v>0</v>
      </c>
      <c r="AP31" s="204">
        <f t="shared" si="12"/>
        <v>0</v>
      </c>
      <c r="AQ31" s="204">
        <f t="shared" ref="AQ31" si="13">SUM(AQ30)</f>
        <v>0</v>
      </c>
      <c r="AR31" s="204">
        <f t="shared" si="0"/>
        <v>30000000</v>
      </c>
    </row>
    <row r="32" spans="1:44" s="29" customFormat="1" ht="15" x14ac:dyDescent="0.25">
      <c r="A32" s="21"/>
      <c r="B32" s="21"/>
      <c r="C32" s="767"/>
      <c r="D32" s="183"/>
      <c r="E32" s="760"/>
      <c r="F32" s="760"/>
      <c r="G32" s="183"/>
      <c r="H32" s="760"/>
      <c r="I32" s="183"/>
      <c r="J32" s="184"/>
      <c r="K32" s="184"/>
      <c r="L32" s="184"/>
      <c r="M32" s="184"/>
      <c r="N32" s="185"/>
      <c r="O32" s="183"/>
      <c r="P32" s="760"/>
      <c r="Q32" s="186"/>
      <c r="R32" s="186"/>
      <c r="S32" s="186"/>
      <c r="T32" s="186"/>
      <c r="U32" s="186"/>
      <c r="V32" s="186"/>
      <c r="W32" s="186"/>
      <c r="X32" s="186"/>
      <c r="Y32" s="186"/>
      <c r="Z32" s="186"/>
      <c r="AA32" s="186"/>
      <c r="AB32" s="186"/>
      <c r="AC32" s="186"/>
      <c r="AD32" s="186"/>
      <c r="AE32" s="187"/>
      <c r="AF32" s="187"/>
      <c r="AG32" s="187"/>
      <c r="AH32" s="187"/>
      <c r="AI32" s="187"/>
      <c r="AJ32" s="187"/>
      <c r="AK32" s="186"/>
      <c r="AL32" s="186"/>
      <c r="AM32" s="188"/>
      <c r="AN32" s="189"/>
      <c r="AO32" s="186"/>
      <c r="AP32" s="186"/>
      <c r="AQ32" s="186"/>
      <c r="AR32" s="205">
        <f t="shared" si="0"/>
        <v>0</v>
      </c>
    </row>
    <row r="33" spans="1:44" s="29" customFormat="1" x14ac:dyDescent="0.25">
      <c r="A33" s="21"/>
      <c r="B33" s="21"/>
      <c r="C33" s="767"/>
      <c r="D33" s="183"/>
      <c r="E33" s="760"/>
      <c r="F33" s="760"/>
      <c r="G33" s="206">
        <v>84</v>
      </c>
      <c r="H33" s="207" t="s">
        <v>68</v>
      </c>
      <c r="I33" s="208"/>
      <c r="J33" s="208"/>
      <c r="K33" s="208"/>
      <c r="L33" s="208"/>
      <c r="M33" s="208"/>
      <c r="N33" s="209"/>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10"/>
      <c r="AN33" s="208"/>
      <c r="AO33" s="208"/>
      <c r="AP33" s="208"/>
      <c r="AQ33" s="208"/>
      <c r="AR33" s="211"/>
    </row>
    <row r="34" spans="1:44" s="29" customFormat="1" ht="114" customHeight="1" x14ac:dyDescent="0.25">
      <c r="A34" s="21"/>
      <c r="B34" s="21"/>
      <c r="C34" s="761">
        <v>37</v>
      </c>
      <c r="D34" s="762" t="s">
        <v>63</v>
      </c>
      <c r="E34" s="38" t="s">
        <v>646</v>
      </c>
      <c r="F34" s="35">
        <v>0.6</v>
      </c>
      <c r="G34" s="762"/>
      <c r="H34" s="767">
        <v>248</v>
      </c>
      <c r="I34" s="762" t="s">
        <v>69</v>
      </c>
      <c r="J34" s="25" t="s">
        <v>38</v>
      </c>
      <c r="K34" s="25">
        <v>12</v>
      </c>
      <c r="L34" s="25">
        <v>11</v>
      </c>
      <c r="M34" s="26" t="s">
        <v>39</v>
      </c>
      <c r="N34" s="39" t="s">
        <v>70</v>
      </c>
      <c r="O34" s="762" t="s">
        <v>71</v>
      </c>
      <c r="P34" s="767" t="s">
        <v>47</v>
      </c>
      <c r="Q34" s="27">
        <v>0</v>
      </c>
      <c r="R34" s="27">
        <v>0</v>
      </c>
      <c r="S34" s="27">
        <v>0</v>
      </c>
      <c r="T34" s="27">
        <v>0</v>
      </c>
      <c r="U34" s="27">
        <v>0</v>
      </c>
      <c r="V34" s="27">
        <v>0</v>
      </c>
      <c r="W34" s="27">
        <v>0</v>
      </c>
      <c r="X34" s="27"/>
      <c r="Y34" s="27"/>
      <c r="Z34" s="27"/>
      <c r="AA34" s="27">
        <v>0</v>
      </c>
      <c r="AB34" s="27"/>
      <c r="AC34" s="27">
        <v>0</v>
      </c>
      <c r="AD34" s="27">
        <v>0</v>
      </c>
      <c r="AE34" s="27"/>
      <c r="AF34" s="27"/>
      <c r="AG34" s="27"/>
      <c r="AH34" s="27"/>
      <c r="AI34" s="27"/>
      <c r="AJ34" s="27"/>
      <c r="AK34" s="27">
        <v>0</v>
      </c>
      <c r="AL34" s="27">
        <v>0</v>
      </c>
      <c r="AM34" s="108">
        <v>40000000</v>
      </c>
      <c r="AN34" s="15"/>
      <c r="AO34" s="27">
        <v>0</v>
      </c>
      <c r="AP34" s="28">
        <v>0</v>
      </c>
      <c r="AQ34" s="28"/>
      <c r="AR34" s="27">
        <f t="shared" si="0"/>
        <v>40000000</v>
      </c>
    </row>
    <row r="35" spans="1:44" s="49" customFormat="1" ht="20.25" x14ac:dyDescent="0.25">
      <c r="A35" s="21"/>
      <c r="B35" s="158"/>
      <c r="C35" s="761"/>
      <c r="D35" s="159"/>
      <c r="E35" s="604"/>
      <c r="F35" s="604"/>
      <c r="G35" s="160"/>
      <c r="H35" s="161"/>
      <c r="I35" s="160"/>
      <c r="J35" s="162"/>
      <c r="K35" s="162"/>
      <c r="L35" s="162"/>
      <c r="M35" s="162"/>
      <c r="N35" s="163"/>
      <c r="O35" s="160"/>
      <c r="P35" s="161"/>
      <c r="Q35" s="164">
        <f t="shared" ref="Q35:AL35" si="14">Q34</f>
        <v>0</v>
      </c>
      <c r="R35" s="164">
        <f t="shared" si="14"/>
        <v>0</v>
      </c>
      <c r="S35" s="164">
        <f t="shared" si="14"/>
        <v>0</v>
      </c>
      <c r="T35" s="164">
        <f t="shared" si="14"/>
        <v>0</v>
      </c>
      <c r="U35" s="164">
        <f t="shared" si="14"/>
        <v>0</v>
      </c>
      <c r="V35" s="164">
        <f t="shared" si="14"/>
        <v>0</v>
      </c>
      <c r="W35" s="164">
        <f t="shared" si="14"/>
        <v>0</v>
      </c>
      <c r="X35" s="164">
        <f t="shared" si="14"/>
        <v>0</v>
      </c>
      <c r="Y35" s="164">
        <f t="shared" si="14"/>
        <v>0</v>
      </c>
      <c r="Z35" s="164">
        <f t="shared" si="14"/>
        <v>0</v>
      </c>
      <c r="AA35" s="164">
        <f t="shared" si="14"/>
        <v>0</v>
      </c>
      <c r="AB35" s="164">
        <f t="shared" si="14"/>
        <v>0</v>
      </c>
      <c r="AC35" s="164">
        <f t="shared" si="14"/>
        <v>0</v>
      </c>
      <c r="AD35" s="164">
        <f t="shared" si="14"/>
        <v>0</v>
      </c>
      <c r="AE35" s="164">
        <f t="shared" si="14"/>
        <v>0</v>
      </c>
      <c r="AF35" s="164">
        <f t="shared" si="14"/>
        <v>0</v>
      </c>
      <c r="AG35" s="164">
        <f t="shared" si="14"/>
        <v>0</v>
      </c>
      <c r="AH35" s="164">
        <f t="shared" si="14"/>
        <v>0</v>
      </c>
      <c r="AI35" s="164">
        <f t="shared" si="14"/>
        <v>0</v>
      </c>
      <c r="AJ35" s="164">
        <f t="shared" si="14"/>
        <v>0</v>
      </c>
      <c r="AK35" s="164">
        <f t="shared" si="14"/>
        <v>0</v>
      </c>
      <c r="AL35" s="164">
        <f t="shared" si="14"/>
        <v>0</v>
      </c>
      <c r="AM35" s="164">
        <f t="shared" ref="AM35:AP35" si="15">AM34</f>
        <v>40000000</v>
      </c>
      <c r="AN35" s="164">
        <f t="shared" si="15"/>
        <v>0</v>
      </c>
      <c r="AO35" s="164">
        <f t="shared" si="15"/>
        <v>0</v>
      </c>
      <c r="AP35" s="164">
        <f t="shared" si="15"/>
        <v>0</v>
      </c>
      <c r="AQ35" s="164">
        <f t="shared" ref="AQ35" si="16">AQ34</f>
        <v>0</v>
      </c>
      <c r="AR35" s="164">
        <f t="shared" si="0"/>
        <v>40000000</v>
      </c>
    </row>
    <row r="36" spans="1:44" s="165" customFormat="1" ht="15" x14ac:dyDescent="0.25">
      <c r="A36" s="21"/>
      <c r="B36" s="212"/>
      <c r="C36" s="213"/>
      <c r="D36" s="212"/>
      <c r="E36" s="213"/>
      <c r="F36" s="213"/>
      <c r="G36" s="212"/>
      <c r="H36" s="213"/>
      <c r="I36" s="212"/>
      <c r="J36" s="214"/>
      <c r="K36" s="214"/>
      <c r="L36" s="214"/>
      <c r="M36" s="215"/>
      <c r="N36" s="216"/>
      <c r="O36" s="212"/>
      <c r="P36" s="213"/>
      <c r="Q36" s="217">
        <f t="shared" ref="Q36:AL36" si="17">Q31+Q35</f>
        <v>0</v>
      </c>
      <c r="R36" s="217">
        <f t="shared" si="17"/>
        <v>0</v>
      </c>
      <c r="S36" s="217">
        <f t="shared" si="17"/>
        <v>0</v>
      </c>
      <c r="T36" s="217">
        <f t="shared" si="17"/>
        <v>0</v>
      </c>
      <c r="U36" s="217">
        <f t="shared" si="17"/>
        <v>0</v>
      </c>
      <c r="V36" s="217">
        <f t="shared" si="17"/>
        <v>0</v>
      </c>
      <c r="W36" s="217">
        <f t="shared" si="17"/>
        <v>0</v>
      </c>
      <c r="X36" s="217">
        <f t="shared" si="17"/>
        <v>0</v>
      </c>
      <c r="Y36" s="217">
        <f t="shared" si="17"/>
        <v>0</v>
      </c>
      <c r="Z36" s="217">
        <f t="shared" si="17"/>
        <v>0</v>
      </c>
      <c r="AA36" s="217">
        <f t="shared" si="17"/>
        <v>0</v>
      </c>
      <c r="AB36" s="217">
        <f t="shared" si="17"/>
        <v>0</v>
      </c>
      <c r="AC36" s="217">
        <f t="shared" si="17"/>
        <v>0</v>
      </c>
      <c r="AD36" s="217">
        <f t="shared" si="17"/>
        <v>0</v>
      </c>
      <c r="AE36" s="217">
        <f t="shared" si="17"/>
        <v>0</v>
      </c>
      <c r="AF36" s="217">
        <f t="shared" si="17"/>
        <v>0</v>
      </c>
      <c r="AG36" s="217">
        <f t="shared" si="17"/>
        <v>0</v>
      </c>
      <c r="AH36" s="217">
        <f t="shared" si="17"/>
        <v>0</v>
      </c>
      <c r="AI36" s="217">
        <f t="shared" si="17"/>
        <v>0</v>
      </c>
      <c r="AJ36" s="217">
        <f t="shared" si="17"/>
        <v>0</v>
      </c>
      <c r="AK36" s="217">
        <f t="shared" si="17"/>
        <v>0</v>
      </c>
      <c r="AL36" s="217">
        <f t="shared" si="17"/>
        <v>0</v>
      </c>
      <c r="AM36" s="217">
        <f t="shared" ref="AM36:AP36" si="18">AM31+AM35</f>
        <v>70000000</v>
      </c>
      <c r="AN36" s="217">
        <f t="shared" si="18"/>
        <v>0</v>
      </c>
      <c r="AO36" s="217">
        <f t="shared" si="18"/>
        <v>0</v>
      </c>
      <c r="AP36" s="217">
        <f t="shared" si="18"/>
        <v>0</v>
      </c>
      <c r="AQ36" s="217">
        <f t="shared" ref="AQ36" si="19">AQ31+AQ35</f>
        <v>0</v>
      </c>
      <c r="AR36" s="828">
        <f t="shared" si="0"/>
        <v>70000000</v>
      </c>
    </row>
    <row r="37" spans="1:44" s="29" customFormat="1" ht="15" x14ac:dyDescent="0.25">
      <c r="A37" s="21"/>
      <c r="B37" s="183"/>
      <c r="C37" s="760"/>
      <c r="D37" s="183"/>
      <c r="E37" s="760"/>
      <c r="F37" s="760"/>
      <c r="G37" s="183"/>
      <c r="H37" s="760"/>
      <c r="I37" s="183"/>
      <c r="J37" s="184"/>
      <c r="K37" s="184"/>
      <c r="L37" s="184"/>
      <c r="M37" s="218"/>
      <c r="N37" s="185"/>
      <c r="O37" s="183"/>
      <c r="P37" s="760"/>
      <c r="Q37" s="186"/>
      <c r="R37" s="186"/>
      <c r="S37" s="186"/>
      <c r="T37" s="186"/>
      <c r="U37" s="186"/>
      <c r="V37" s="186"/>
      <c r="W37" s="186"/>
      <c r="X37" s="186"/>
      <c r="Y37" s="186"/>
      <c r="Z37" s="186"/>
      <c r="AA37" s="186"/>
      <c r="AB37" s="186"/>
      <c r="AC37" s="186"/>
      <c r="AD37" s="186"/>
      <c r="AE37" s="187"/>
      <c r="AF37" s="187"/>
      <c r="AG37" s="187"/>
      <c r="AH37" s="187"/>
      <c r="AI37" s="187"/>
      <c r="AJ37" s="187"/>
      <c r="AK37" s="186"/>
      <c r="AL37" s="186"/>
      <c r="AM37" s="188"/>
      <c r="AN37" s="186"/>
      <c r="AO37" s="186"/>
      <c r="AP37" s="186"/>
      <c r="AQ37" s="186"/>
      <c r="AR37" s="205">
        <f t="shared" si="0"/>
        <v>0</v>
      </c>
    </row>
    <row r="38" spans="1:44" s="165" customFormat="1" x14ac:dyDescent="0.25">
      <c r="A38" s="21"/>
      <c r="B38" s="148">
        <v>27</v>
      </c>
      <c r="C38" s="148" t="s">
        <v>72</v>
      </c>
      <c r="D38" s="149"/>
      <c r="E38" s="149"/>
      <c r="F38" s="149"/>
      <c r="G38" s="149"/>
      <c r="H38" s="150"/>
      <c r="I38" s="149"/>
      <c r="J38" s="149"/>
      <c r="K38" s="149"/>
      <c r="L38" s="149"/>
      <c r="M38" s="149"/>
      <c r="N38" s="151"/>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52"/>
      <c r="AN38" s="149"/>
      <c r="AO38" s="149"/>
      <c r="AP38" s="149"/>
      <c r="AQ38" s="149"/>
      <c r="AR38" s="153"/>
    </row>
    <row r="39" spans="1:44" s="165" customFormat="1" x14ac:dyDescent="0.25">
      <c r="A39" s="21"/>
      <c r="B39" s="219"/>
      <c r="C39" s="220"/>
      <c r="D39" s="221"/>
      <c r="E39" s="221"/>
      <c r="F39" s="222"/>
      <c r="G39" s="193">
        <v>85</v>
      </c>
      <c r="H39" s="235" t="s">
        <v>73</v>
      </c>
      <c r="I39" s="194"/>
      <c r="J39" s="194"/>
      <c r="K39" s="194"/>
      <c r="L39" s="194"/>
      <c r="M39" s="194"/>
      <c r="N39" s="195"/>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6"/>
      <c r="AN39" s="194"/>
      <c r="AO39" s="194"/>
      <c r="AP39" s="194"/>
      <c r="AQ39" s="194"/>
      <c r="AR39" s="197"/>
    </row>
    <row r="40" spans="1:44" s="29" customFormat="1" ht="97.5" customHeight="1" x14ac:dyDescent="0.25">
      <c r="A40" s="21"/>
      <c r="B40" s="30"/>
      <c r="C40" s="761">
        <v>37</v>
      </c>
      <c r="D40" s="762" t="s">
        <v>63</v>
      </c>
      <c r="E40" s="38" t="s">
        <v>646</v>
      </c>
      <c r="F40" s="35">
        <v>0.6</v>
      </c>
      <c r="G40" s="729"/>
      <c r="H40" s="718">
        <v>249</v>
      </c>
      <c r="I40" s="762" t="s">
        <v>74</v>
      </c>
      <c r="J40" s="25">
        <v>1</v>
      </c>
      <c r="K40" s="25">
        <v>1</v>
      </c>
      <c r="L40" s="25">
        <v>0.5</v>
      </c>
      <c r="M40" s="26" t="s">
        <v>75</v>
      </c>
      <c r="N40" s="39" t="s">
        <v>76</v>
      </c>
      <c r="O40" s="762" t="s">
        <v>77</v>
      </c>
      <c r="P40" s="767" t="s">
        <v>47</v>
      </c>
      <c r="Q40" s="27">
        <v>0</v>
      </c>
      <c r="R40" s="27">
        <v>0</v>
      </c>
      <c r="S40" s="27">
        <v>0</v>
      </c>
      <c r="T40" s="27">
        <v>0</v>
      </c>
      <c r="U40" s="27">
        <v>0</v>
      </c>
      <c r="V40" s="27">
        <v>0</v>
      </c>
      <c r="W40" s="27">
        <v>0</v>
      </c>
      <c r="X40" s="27"/>
      <c r="Y40" s="27"/>
      <c r="Z40" s="27"/>
      <c r="AA40" s="27">
        <v>0</v>
      </c>
      <c r="AB40" s="27"/>
      <c r="AC40" s="27">
        <v>0</v>
      </c>
      <c r="AD40" s="27">
        <v>0</v>
      </c>
      <c r="AE40" s="27"/>
      <c r="AF40" s="27"/>
      <c r="AG40" s="27"/>
      <c r="AH40" s="27"/>
      <c r="AI40" s="27"/>
      <c r="AJ40" s="27"/>
      <c r="AK40" s="27">
        <v>0</v>
      </c>
      <c r="AL40" s="27">
        <v>0</v>
      </c>
      <c r="AM40" s="108">
        <f>120000000+20000000</f>
        <v>140000000</v>
      </c>
      <c r="AN40" s="40"/>
      <c r="AO40" s="27">
        <v>0</v>
      </c>
      <c r="AP40" s="28">
        <v>0</v>
      </c>
      <c r="AQ40" s="28"/>
      <c r="AR40" s="27">
        <f t="shared" si="0"/>
        <v>140000000</v>
      </c>
    </row>
    <row r="41" spans="1:44" s="165" customFormat="1" ht="15" x14ac:dyDescent="0.25">
      <c r="A41" s="21"/>
      <c r="B41" s="223"/>
      <c r="C41" s="224"/>
      <c r="D41" s="159"/>
      <c r="E41" s="604"/>
      <c r="F41" s="604"/>
      <c r="G41" s="225"/>
      <c r="H41" s="226"/>
      <c r="I41" s="160"/>
      <c r="J41" s="162"/>
      <c r="K41" s="162"/>
      <c r="L41" s="162"/>
      <c r="M41" s="162"/>
      <c r="N41" s="163"/>
      <c r="O41" s="160"/>
      <c r="P41" s="161"/>
      <c r="Q41" s="164">
        <f t="shared" ref="Q41:AL41" si="20">SUM(Q40)</f>
        <v>0</v>
      </c>
      <c r="R41" s="164">
        <f t="shared" si="20"/>
        <v>0</v>
      </c>
      <c r="S41" s="164">
        <f t="shared" si="20"/>
        <v>0</v>
      </c>
      <c r="T41" s="164">
        <f t="shared" si="20"/>
        <v>0</v>
      </c>
      <c r="U41" s="164">
        <f t="shared" si="20"/>
        <v>0</v>
      </c>
      <c r="V41" s="164">
        <f t="shared" si="20"/>
        <v>0</v>
      </c>
      <c r="W41" s="164">
        <f t="shared" si="20"/>
        <v>0</v>
      </c>
      <c r="X41" s="164">
        <f t="shared" si="20"/>
        <v>0</v>
      </c>
      <c r="Y41" s="164">
        <f t="shared" si="20"/>
        <v>0</v>
      </c>
      <c r="Z41" s="164">
        <f t="shared" si="20"/>
        <v>0</v>
      </c>
      <c r="AA41" s="164">
        <f t="shared" si="20"/>
        <v>0</v>
      </c>
      <c r="AB41" s="164">
        <f t="shared" si="20"/>
        <v>0</v>
      </c>
      <c r="AC41" s="164">
        <f t="shared" si="20"/>
        <v>0</v>
      </c>
      <c r="AD41" s="164">
        <f t="shared" si="20"/>
        <v>0</v>
      </c>
      <c r="AE41" s="164">
        <f t="shared" si="20"/>
        <v>0</v>
      </c>
      <c r="AF41" s="164">
        <f t="shared" si="20"/>
        <v>0</v>
      </c>
      <c r="AG41" s="164">
        <f t="shared" si="20"/>
        <v>0</v>
      </c>
      <c r="AH41" s="164">
        <f t="shared" si="20"/>
        <v>0</v>
      </c>
      <c r="AI41" s="164">
        <f t="shared" si="20"/>
        <v>0</v>
      </c>
      <c r="AJ41" s="164">
        <f t="shared" si="20"/>
        <v>0</v>
      </c>
      <c r="AK41" s="164">
        <f t="shared" si="20"/>
        <v>0</v>
      </c>
      <c r="AL41" s="164">
        <f t="shared" si="20"/>
        <v>0</v>
      </c>
      <c r="AM41" s="164">
        <f t="shared" ref="AM41:AP41" si="21">SUM(AM40)</f>
        <v>140000000</v>
      </c>
      <c r="AN41" s="164">
        <f t="shared" si="21"/>
        <v>0</v>
      </c>
      <c r="AO41" s="164">
        <f t="shared" si="21"/>
        <v>0</v>
      </c>
      <c r="AP41" s="164">
        <f t="shared" si="21"/>
        <v>0</v>
      </c>
      <c r="AQ41" s="164">
        <f t="shared" ref="AQ41" si="22">SUM(AQ40)</f>
        <v>0</v>
      </c>
      <c r="AR41" s="164">
        <f t="shared" si="0"/>
        <v>140000000</v>
      </c>
    </row>
    <row r="42" spans="1:44" s="165" customFormat="1" ht="15" x14ac:dyDescent="0.25">
      <c r="A42" s="21"/>
      <c r="B42" s="227"/>
      <c r="C42" s="228"/>
      <c r="D42" s="212"/>
      <c r="E42" s="213"/>
      <c r="F42" s="229"/>
      <c r="G42" s="230"/>
      <c r="H42" s="231"/>
      <c r="I42" s="167"/>
      <c r="J42" s="169"/>
      <c r="K42" s="169"/>
      <c r="L42" s="169"/>
      <c r="M42" s="169"/>
      <c r="N42" s="170"/>
      <c r="O42" s="167"/>
      <c r="P42" s="168"/>
      <c r="Q42" s="171">
        <f t="shared" ref="Q42:AL42" si="23">Q41</f>
        <v>0</v>
      </c>
      <c r="R42" s="171">
        <f t="shared" si="23"/>
        <v>0</v>
      </c>
      <c r="S42" s="171">
        <f t="shared" si="23"/>
        <v>0</v>
      </c>
      <c r="T42" s="171">
        <f t="shared" si="23"/>
        <v>0</v>
      </c>
      <c r="U42" s="171">
        <f t="shared" si="23"/>
        <v>0</v>
      </c>
      <c r="V42" s="171">
        <f t="shared" si="23"/>
        <v>0</v>
      </c>
      <c r="W42" s="171">
        <f t="shared" si="23"/>
        <v>0</v>
      </c>
      <c r="X42" s="171">
        <f t="shared" si="23"/>
        <v>0</v>
      </c>
      <c r="Y42" s="171">
        <f t="shared" si="23"/>
        <v>0</v>
      </c>
      <c r="Z42" s="171">
        <f t="shared" si="23"/>
        <v>0</v>
      </c>
      <c r="AA42" s="171">
        <f t="shared" si="23"/>
        <v>0</v>
      </c>
      <c r="AB42" s="171">
        <f t="shared" si="23"/>
        <v>0</v>
      </c>
      <c r="AC42" s="171">
        <f t="shared" si="23"/>
        <v>0</v>
      </c>
      <c r="AD42" s="171">
        <f t="shared" si="23"/>
        <v>0</v>
      </c>
      <c r="AE42" s="171">
        <f t="shared" si="23"/>
        <v>0</v>
      </c>
      <c r="AF42" s="171">
        <f t="shared" si="23"/>
        <v>0</v>
      </c>
      <c r="AG42" s="171">
        <f t="shared" si="23"/>
        <v>0</v>
      </c>
      <c r="AH42" s="171">
        <f t="shared" si="23"/>
        <v>0</v>
      </c>
      <c r="AI42" s="171">
        <f t="shared" si="23"/>
        <v>0</v>
      </c>
      <c r="AJ42" s="171">
        <f t="shared" si="23"/>
        <v>0</v>
      </c>
      <c r="AK42" s="171">
        <f t="shared" si="23"/>
        <v>0</v>
      </c>
      <c r="AL42" s="171">
        <f t="shared" si="23"/>
        <v>0</v>
      </c>
      <c r="AM42" s="171">
        <f t="shared" ref="AM42:AP42" si="24">AM41</f>
        <v>140000000</v>
      </c>
      <c r="AN42" s="171">
        <f t="shared" si="24"/>
        <v>0</v>
      </c>
      <c r="AO42" s="171">
        <f t="shared" si="24"/>
        <v>0</v>
      </c>
      <c r="AP42" s="171">
        <f t="shared" si="24"/>
        <v>0</v>
      </c>
      <c r="AQ42" s="171">
        <f t="shared" ref="AQ42" si="25">AQ41</f>
        <v>0</v>
      </c>
      <c r="AR42" s="171">
        <f t="shared" si="0"/>
        <v>140000000</v>
      </c>
    </row>
    <row r="43" spans="1:44" s="165" customFormat="1" ht="15" x14ac:dyDescent="0.25">
      <c r="A43" s="21"/>
      <c r="B43" s="183"/>
      <c r="C43" s="760"/>
      <c r="D43" s="183"/>
      <c r="E43" s="760"/>
      <c r="F43" s="760"/>
      <c r="G43" s="829"/>
      <c r="H43" s="830"/>
      <c r="I43" s="183"/>
      <c r="J43" s="184"/>
      <c r="K43" s="184"/>
      <c r="L43" s="184"/>
      <c r="M43" s="184"/>
      <c r="N43" s="185"/>
      <c r="O43" s="183"/>
      <c r="P43" s="760"/>
      <c r="Q43" s="186"/>
      <c r="R43" s="186"/>
      <c r="S43" s="186"/>
      <c r="T43" s="186"/>
      <c r="U43" s="186"/>
      <c r="V43" s="186"/>
      <c r="W43" s="186"/>
      <c r="X43" s="186"/>
      <c r="Y43" s="186"/>
      <c r="Z43" s="186"/>
      <c r="AA43" s="186"/>
      <c r="AB43" s="186"/>
      <c r="AC43" s="186"/>
      <c r="AD43" s="186"/>
      <c r="AE43" s="187"/>
      <c r="AF43" s="187"/>
      <c r="AG43" s="187"/>
      <c r="AH43" s="187"/>
      <c r="AI43" s="187"/>
      <c r="AJ43" s="187"/>
      <c r="AK43" s="186"/>
      <c r="AL43" s="186"/>
      <c r="AM43" s="188"/>
      <c r="AN43" s="189"/>
      <c r="AO43" s="186"/>
      <c r="AP43" s="186"/>
      <c r="AQ43" s="186"/>
      <c r="AR43" s="205">
        <f t="shared" si="0"/>
        <v>0</v>
      </c>
    </row>
    <row r="44" spans="1:44" s="165" customFormat="1" x14ac:dyDescent="0.25">
      <c r="A44" s="21"/>
      <c r="B44" s="232">
        <v>28</v>
      </c>
      <c r="C44" s="233" t="s">
        <v>34</v>
      </c>
      <c r="D44" s="149"/>
      <c r="E44" s="149"/>
      <c r="F44" s="149"/>
      <c r="G44" s="149"/>
      <c r="H44" s="150"/>
      <c r="I44" s="149"/>
      <c r="J44" s="149"/>
      <c r="K44" s="149"/>
      <c r="L44" s="149"/>
      <c r="M44" s="149"/>
      <c r="N44" s="151"/>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52"/>
      <c r="AN44" s="149"/>
      <c r="AO44" s="149"/>
      <c r="AP44" s="149"/>
      <c r="AQ44" s="149"/>
      <c r="AR44" s="153"/>
    </row>
    <row r="45" spans="1:44" s="165" customFormat="1" x14ac:dyDescent="0.25">
      <c r="A45" s="21"/>
      <c r="B45" s="24"/>
      <c r="C45" s="767"/>
      <c r="D45" s="762"/>
      <c r="E45" s="767"/>
      <c r="F45" s="767"/>
      <c r="G45" s="234">
        <v>87</v>
      </c>
      <c r="H45" s="235" t="s">
        <v>78</v>
      </c>
      <c r="I45" s="236"/>
      <c r="J45" s="236"/>
      <c r="K45" s="236"/>
      <c r="L45" s="236"/>
      <c r="M45" s="236"/>
      <c r="N45" s="237"/>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8"/>
      <c r="AN45" s="236"/>
      <c r="AO45" s="236"/>
      <c r="AP45" s="236"/>
      <c r="AQ45" s="236"/>
      <c r="AR45" s="239"/>
    </row>
    <row r="46" spans="1:44" s="29" customFormat="1" ht="42.75" x14ac:dyDescent="0.25">
      <c r="A46" s="21"/>
      <c r="B46" s="30"/>
      <c r="C46" s="924">
        <v>38</v>
      </c>
      <c r="D46" s="941" t="s">
        <v>48</v>
      </c>
      <c r="E46" s="924">
        <v>0</v>
      </c>
      <c r="F46" s="924">
        <v>2</v>
      </c>
      <c r="G46" s="30"/>
      <c r="H46" s="767">
        <v>257</v>
      </c>
      <c r="I46" s="762" t="s">
        <v>79</v>
      </c>
      <c r="J46" s="12">
        <v>0</v>
      </c>
      <c r="K46" s="12">
        <v>1</v>
      </c>
      <c r="L46" s="25">
        <v>0.4</v>
      </c>
      <c r="M46" s="1038" t="s">
        <v>39</v>
      </c>
      <c r="N46" s="948" t="s">
        <v>80</v>
      </c>
      <c r="O46" s="1090" t="s">
        <v>81</v>
      </c>
      <c r="P46" s="41" t="s">
        <v>47</v>
      </c>
      <c r="Q46" s="27">
        <v>0</v>
      </c>
      <c r="R46" s="27">
        <v>0</v>
      </c>
      <c r="S46" s="27">
        <v>0</v>
      </c>
      <c r="T46" s="27">
        <v>0</v>
      </c>
      <c r="U46" s="27">
        <v>0</v>
      </c>
      <c r="V46" s="27">
        <v>0</v>
      </c>
      <c r="W46" s="27">
        <v>0</v>
      </c>
      <c r="X46" s="27"/>
      <c r="Y46" s="27"/>
      <c r="Z46" s="27"/>
      <c r="AA46" s="27">
        <v>0</v>
      </c>
      <c r="AB46" s="27"/>
      <c r="AC46" s="27">
        <v>0</v>
      </c>
      <c r="AD46" s="27">
        <v>0</v>
      </c>
      <c r="AE46" s="27"/>
      <c r="AF46" s="27"/>
      <c r="AG46" s="27"/>
      <c r="AH46" s="27"/>
      <c r="AI46" s="27"/>
      <c r="AJ46" s="27"/>
      <c r="AK46" s="27">
        <v>0</v>
      </c>
      <c r="AL46" s="27">
        <v>0</v>
      </c>
      <c r="AM46" s="108">
        <f>35700000+70000000+10000000</f>
        <v>115700000</v>
      </c>
      <c r="AN46" s="15"/>
      <c r="AO46" s="27">
        <v>0</v>
      </c>
      <c r="AP46" s="28">
        <v>0</v>
      </c>
      <c r="AQ46" s="28"/>
      <c r="AR46" s="27">
        <f t="shared" si="0"/>
        <v>115700000</v>
      </c>
    </row>
    <row r="47" spans="1:44" s="29" customFormat="1" ht="71.25" x14ac:dyDescent="0.25">
      <c r="A47" s="21"/>
      <c r="B47" s="30"/>
      <c r="C47" s="925"/>
      <c r="D47" s="942"/>
      <c r="E47" s="925"/>
      <c r="F47" s="925"/>
      <c r="G47" s="30"/>
      <c r="H47" s="767">
        <v>258</v>
      </c>
      <c r="I47" s="762" t="s">
        <v>82</v>
      </c>
      <c r="J47" s="12">
        <v>0</v>
      </c>
      <c r="K47" s="12">
        <v>1</v>
      </c>
      <c r="L47" s="12">
        <v>0.6</v>
      </c>
      <c r="M47" s="1039"/>
      <c r="N47" s="959"/>
      <c r="O47" s="1091"/>
      <c r="P47" s="41" t="s">
        <v>47</v>
      </c>
      <c r="Q47" s="27">
        <v>0</v>
      </c>
      <c r="R47" s="27">
        <v>0</v>
      </c>
      <c r="S47" s="27">
        <v>0</v>
      </c>
      <c r="T47" s="27">
        <v>0</v>
      </c>
      <c r="U47" s="27">
        <v>0</v>
      </c>
      <c r="V47" s="27">
        <v>0</v>
      </c>
      <c r="W47" s="27">
        <v>0</v>
      </c>
      <c r="X47" s="27"/>
      <c r="Y47" s="27"/>
      <c r="Z47" s="27"/>
      <c r="AA47" s="27">
        <v>0</v>
      </c>
      <c r="AB47" s="27"/>
      <c r="AC47" s="27">
        <v>0</v>
      </c>
      <c r="AD47" s="27">
        <v>0</v>
      </c>
      <c r="AE47" s="27"/>
      <c r="AF47" s="27"/>
      <c r="AG47" s="27"/>
      <c r="AH47" s="27"/>
      <c r="AI47" s="27"/>
      <c r="AJ47" s="27"/>
      <c r="AK47" s="27">
        <v>0</v>
      </c>
      <c r="AL47" s="27">
        <v>0</v>
      </c>
      <c r="AM47" s="108">
        <v>20000000</v>
      </c>
      <c r="AN47" s="15"/>
      <c r="AO47" s="27">
        <v>0</v>
      </c>
      <c r="AP47" s="28">
        <v>0</v>
      </c>
      <c r="AQ47" s="28"/>
      <c r="AR47" s="27">
        <f t="shared" si="0"/>
        <v>20000000</v>
      </c>
    </row>
    <row r="48" spans="1:44" s="29" customFormat="1" ht="55.5" customHeight="1" x14ac:dyDescent="0.25">
      <c r="A48" s="21"/>
      <c r="B48" s="30"/>
      <c r="C48" s="925"/>
      <c r="D48" s="942"/>
      <c r="E48" s="925"/>
      <c r="F48" s="925"/>
      <c r="G48" s="30"/>
      <c r="H48" s="767">
        <v>259</v>
      </c>
      <c r="I48" s="762" t="s">
        <v>83</v>
      </c>
      <c r="J48" s="25">
        <v>1</v>
      </c>
      <c r="K48" s="25">
        <v>1</v>
      </c>
      <c r="L48" s="25">
        <v>0.5</v>
      </c>
      <c r="M48" s="1039"/>
      <c r="N48" s="959"/>
      <c r="O48" s="1091"/>
      <c r="P48" s="41" t="s">
        <v>47</v>
      </c>
      <c r="Q48" s="27">
        <v>0</v>
      </c>
      <c r="R48" s="27">
        <v>0</v>
      </c>
      <c r="S48" s="27">
        <v>0</v>
      </c>
      <c r="T48" s="27">
        <v>0</v>
      </c>
      <c r="U48" s="27">
        <v>0</v>
      </c>
      <c r="V48" s="27">
        <v>0</v>
      </c>
      <c r="W48" s="27">
        <v>0</v>
      </c>
      <c r="X48" s="27"/>
      <c r="Y48" s="27"/>
      <c r="Z48" s="27"/>
      <c r="AA48" s="27">
        <v>0</v>
      </c>
      <c r="AB48" s="27"/>
      <c r="AC48" s="27">
        <v>0</v>
      </c>
      <c r="AD48" s="27">
        <v>0</v>
      </c>
      <c r="AE48" s="27"/>
      <c r="AF48" s="27"/>
      <c r="AG48" s="27"/>
      <c r="AH48" s="27"/>
      <c r="AI48" s="27"/>
      <c r="AJ48" s="27"/>
      <c r="AK48" s="27">
        <v>0</v>
      </c>
      <c r="AL48" s="27">
        <v>0</v>
      </c>
      <c r="AM48" s="109">
        <v>9000000</v>
      </c>
      <c r="AN48" s="42"/>
      <c r="AO48" s="27">
        <v>0</v>
      </c>
      <c r="AP48" s="28">
        <v>0</v>
      </c>
      <c r="AQ48" s="28"/>
      <c r="AR48" s="27">
        <f t="shared" si="0"/>
        <v>9000000</v>
      </c>
    </row>
    <row r="49" spans="1:44" s="29" customFormat="1" ht="42.75" x14ac:dyDescent="0.25">
      <c r="A49" s="21"/>
      <c r="B49" s="30"/>
      <c r="C49" s="925"/>
      <c r="D49" s="942"/>
      <c r="E49" s="925"/>
      <c r="F49" s="925"/>
      <c r="G49" s="30"/>
      <c r="H49" s="767">
        <v>263</v>
      </c>
      <c r="I49" s="762" t="s">
        <v>84</v>
      </c>
      <c r="J49" s="25">
        <v>1</v>
      </c>
      <c r="K49" s="25">
        <v>1</v>
      </c>
      <c r="L49" s="25">
        <v>0</v>
      </c>
      <c r="M49" s="1039"/>
      <c r="N49" s="959"/>
      <c r="O49" s="1091"/>
      <c r="P49" s="41" t="s">
        <v>47</v>
      </c>
      <c r="Q49" s="27">
        <v>0</v>
      </c>
      <c r="R49" s="27">
        <v>0</v>
      </c>
      <c r="S49" s="27">
        <v>0</v>
      </c>
      <c r="T49" s="27">
        <v>0</v>
      </c>
      <c r="U49" s="27">
        <v>0</v>
      </c>
      <c r="V49" s="27">
        <v>0</v>
      </c>
      <c r="W49" s="27">
        <v>0</v>
      </c>
      <c r="X49" s="27"/>
      <c r="Y49" s="27"/>
      <c r="Z49" s="27"/>
      <c r="AA49" s="27">
        <v>0</v>
      </c>
      <c r="AB49" s="27"/>
      <c r="AC49" s="27">
        <v>0</v>
      </c>
      <c r="AD49" s="27">
        <v>0</v>
      </c>
      <c r="AE49" s="27"/>
      <c r="AF49" s="27"/>
      <c r="AG49" s="27"/>
      <c r="AH49" s="27"/>
      <c r="AI49" s="27"/>
      <c r="AJ49" s="27"/>
      <c r="AK49" s="27">
        <v>0</v>
      </c>
      <c r="AL49" s="27">
        <v>0</v>
      </c>
      <c r="AM49" s="109">
        <f>35000000+30000000</f>
        <v>65000000</v>
      </c>
      <c r="AN49" s="42"/>
      <c r="AO49" s="27">
        <v>0</v>
      </c>
      <c r="AP49" s="28">
        <v>0</v>
      </c>
      <c r="AQ49" s="28"/>
      <c r="AR49" s="27">
        <f t="shared" si="0"/>
        <v>65000000</v>
      </c>
    </row>
    <row r="50" spans="1:44" s="29" customFormat="1" ht="61.5" customHeight="1" x14ac:dyDescent="0.25">
      <c r="A50" s="21"/>
      <c r="B50" s="30"/>
      <c r="C50" s="926"/>
      <c r="D50" s="943"/>
      <c r="E50" s="926"/>
      <c r="F50" s="926"/>
      <c r="G50" s="30"/>
      <c r="H50" s="767">
        <v>261</v>
      </c>
      <c r="I50" s="762" t="s">
        <v>85</v>
      </c>
      <c r="J50" s="25">
        <v>1</v>
      </c>
      <c r="K50" s="25">
        <v>2</v>
      </c>
      <c r="L50" s="25">
        <v>1</v>
      </c>
      <c r="M50" s="1040"/>
      <c r="N50" s="949"/>
      <c r="O50" s="1092"/>
      <c r="P50" s="41" t="s">
        <v>47</v>
      </c>
      <c r="Q50" s="27">
        <v>0</v>
      </c>
      <c r="R50" s="27">
        <v>0</v>
      </c>
      <c r="S50" s="27">
        <v>0</v>
      </c>
      <c r="T50" s="27">
        <v>0</v>
      </c>
      <c r="U50" s="27">
        <v>0</v>
      </c>
      <c r="V50" s="27">
        <v>0</v>
      </c>
      <c r="W50" s="27">
        <v>0</v>
      </c>
      <c r="X50" s="27"/>
      <c r="Y50" s="27"/>
      <c r="Z50" s="27"/>
      <c r="AA50" s="27">
        <v>0</v>
      </c>
      <c r="AB50" s="27"/>
      <c r="AC50" s="27">
        <v>0</v>
      </c>
      <c r="AD50" s="27">
        <v>0</v>
      </c>
      <c r="AE50" s="27"/>
      <c r="AF50" s="27"/>
      <c r="AG50" s="27"/>
      <c r="AH50" s="27"/>
      <c r="AI50" s="27"/>
      <c r="AJ50" s="27"/>
      <c r="AK50" s="27">
        <v>0</v>
      </c>
      <c r="AL50" s="27">
        <v>0</v>
      </c>
      <c r="AM50" s="110">
        <v>25000000</v>
      </c>
      <c r="AN50" s="11"/>
      <c r="AO50" s="27">
        <v>0</v>
      </c>
      <c r="AP50" s="28">
        <v>0</v>
      </c>
      <c r="AQ50" s="28"/>
      <c r="AR50" s="27">
        <f t="shared" si="0"/>
        <v>25000000</v>
      </c>
    </row>
    <row r="51" spans="1:44" s="29" customFormat="1" ht="65.099999999999994" customHeight="1" x14ac:dyDescent="0.25">
      <c r="A51" s="21"/>
      <c r="B51" s="30"/>
      <c r="C51" s="718">
        <v>38</v>
      </c>
      <c r="D51" s="729" t="s">
        <v>48</v>
      </c>
      <c r="E51" s="767">
        <v>0</v>
      </c>
      <c r="F51" s="767">
        <v>2</v>
      </c>
      <c r="G51" s="30"/>
      <c r="H51" s="767">
        <v>262</v>
      </c>
      <c r="I51" s="762" t="s">
        <v>86</v>
      </c>
      <c r="J51" s="25">
        <v>1</v>
      </c>
      <c r="K51" s="25">
        <v>1</v>
      </c>
      <c r="L51" s="25">
        <v>0.4</v>
      </c>
      <c r="M51" s="762" t="s">
        <v>39</v>
      </c>
      <c r="N51" s="39" t="s">
        <v>87</v>
      </c>
      <c r="O51" s="762" t="s">
        <v>88</v>
      </c>
      <c r="P51" s="41" t="s">
        <v>47</v>
      </c>
      <c r="Q51" s="27">
        <v>0</v>
      </c>
      <c r="R51" s="27">
        <v>0</v>
      </c>
      <c r="S51" s="27">
        <v>0</v>
      </c>
      <c r="T51" s="27">
        <v>0</v>
      </c>
      <c r="U51" s="27">
        <v>0</v>
      </c>
      <c r="V51" s="27">
        <v>0</v>
      </c>
      <c r="W51" s="27">
        <v>0</v>
      </c>
      <c r="X51" s="27"/>
      <c r="Y51" s="27"/>
      <c r="Z51" s="27"/>
      <c r="AA51" s="27">
        <v>0</v>
      </c>
      <c r="AB51" s="27"/>
      <c r="AC51" s="27">
        <v>0</v>
      </c>
      <c r="AD51" s="27">
        <v>0</v>
      </c>
      <c r="AE51" s="27"/>
      <c r="AF51" s="27"/>
      <c r="AG51" s="27"/>
      <c r="AH51" s="27"/>
      <c r="AI51" s="27"/>
      <c r="AJ51" s="27"/>
      <c r="AK51" s="27">
        <v>0</v>
      </c>
      <c r="AL51" s="27">
        <v>0</v>
      </c>
      <c r="AM51" s="108">
        <v>25000000</v>
      </c>
      <c r="AN51" s="40"/>
      <c r="AO51" s="27">
        <v>0</v>
      </c>
      <c r="AP51" s="28">
        <v>0</v>
      </c>
      <c r="AQ51" s="28"/>
      <c r="AR51" s="27">
        <f t="shared" si="0"/>
        <v>25000000</v>
      </c>
    </row>
    <row r="52" spans="1:44" s="29" customFormat="1" ht="96.75" customHeight="1" x14ac:dyDescent="0.25">
      <c r="A52" s="21"/>
      <c r="B52" s="30"/>
      <c r="C52" s="718">
        <v>38</v>
      </c>
      <c r="D52" s="729" t="s">
        <v>48</v>
      </c>
      <c r="E52" s="767">
        <v>0</v>
      </c>
      <c r="F52" s="767">
        <v>2</v>
      </c>
      <c r="G52" s="30"/>
      <c r="H52" s="767">
        <v>264</v>
      </c>
      <c r="I52" s="762" t="s">
        <v>89</v>
      </c>
      <c r="J52" s="25">
        <v>0</v>
      </c>
      <c r="K52" s="25">
        <v>1</v>
      </c>
      <c r="L52" s="25">
        <v>0.3</v>
      </c>
      <c r="M52" s="762" t="s">
        <v>39</v>
      </c>
      <c r="N52" s="39" t="s">
        <v>90</v>
      </c>
      <c r="O52" s="762" t="s">
        <v>91</v>
      </c>
      <c r="P52" s="41" t="s">
        <v>47</v>
      </c>
      <c r="Q52" s="27">
        <v>0</v>
      </c>
      <c r="R52" s="27">
        <v>0</v>
      </c>
      <c r="S52" s="27">
        <v>0</v>
      </c>
      <c r="T52" s="27">
        <v>0</v>
      </c>
      <c r="U52" s="27">
        <v>0</v>
      </c>
      <c r="V52" s="27">
        <v>0</v>
      </c>
      <c r="W52" s="27">
        <v>0</v>
      </c>
      <c r="X52" s="27"/>
      <c r="Y52" s="27"/>
      <c r="Z52" s="27"/>
      <c r="AA52" s="27">
        <v>0</v>
      </c>
      <c r="AB52" s="27"/>
      <c r="AC52" s="27">
        <v>0</v>
      </c>
      <c r="AD52" s="27">
        <v>0</v>
      </c>
      <c r="AE52" s="27"/>
      <c r="AF52" s="27"/>
      <c r="AG52" s="27"/>
      <c r="AH52" s="27"/>
      <c r="AI52" s="27"/>
      <c r="AJ52" s="27"/>
      <c r="AK52" s="27">
        <v>0</v>
      </c>
      <c r="AL52" s="27">
        <v>0</v>
      </c>
      <c r="AM52" s="108">
        <f>25000000+150000000+40000000</f>
        <v>215000000</v>
      </c>
      <c r="AN52" s="40"/>
      <c r="AO52" s="27">
        <v>0</v>
      </c>
      <c r="AP52" s="28">
        <v>0</v>
      </c>
      <c r="AQ52" s="28"/>
      <c r="AR52" s="27">
        <f t="shared" si="0"/>
        <v>215000000</v>
      </c>
    </row>
    <row r="53" spans="1:44" s="29" customFormat="1" ht="72" customHeight="1" x14ac:dyDescent="0.25">
      <c r="A53" s="21"/>
      <c r="B53" s="30"/>
      <c r="C53" s="718">
        <v>38</v>
      </c>
      <c r="D53" s="729" t="s">
        <v>48</v>
      </c>
      <c r="E53" s="767">
        <v>0</v>
      </c>
      <c r="F53" s="767">
        <v>2</v>
      </c>
      <c r="G53" s="30"/>
      <c r="H53" s="767">
        <v>265</v>
      </c>
      <c r="I53" s="762" t="s">
        <v>92</v>
      </c>
      <c r="J53" s="12">
        <v>0</v>
      </c>
      <c r="K53" s="12">
        <v>1</v>
      </c>
      <c r="L53" s="25">
        <v>0.4</v>
      </c>
      <c r="M53" s="12" t="s">
        <v>93</v>
      </c>
      <c r="N53" s="39" t="s">
        <v>94</v>
      </c>
      <c r="O53" s="762" t="s">
        <v>95</v>
      </c>
      <c r="P53" s="41" t="s">
        <v>47</v>
      </c>
      <c r="Q53" s="27">
        <v>0</v>
      </c>
      <c r="R53" s="27">
        <v>0</v>
      </c>
      <c r="S53" s="27">
        <v>0</v>
      </c>
      <c r="T53" s="27">
        <v>0</v>
      </c>
      <c r="U53" s="27">
        <v>0</v>
      </c>
      <c r="V53" s="27">
        <v>0</v>
      </c>
      <c r="W53" s="27">
        <v>0</v>
      </c>
      <c r="X53" s="27"/>
      <c r="Y53" s="27"/>
      <c r="Z53" s="27"/>
      <c r="AA53" s="27">
        <v>0</v>
      </c>
      <c r="AB53" s="27"/>
      <c r="AC53" s="27">
        <v>0</v>
      </c>
      <c r="AD53" s="27">
        <v>0</v>
      </c>
      <c r="AE53" s="27"/>
      <c r="AF53" s="27"/>
      <c r="AG53" s="27"/>
      <c r="AH53" s="27"/>
      <c r="AI53" s="27"/>
      <c r="AJ53" s="27"/>
      <c r="AK53" s="27">
        <v>0</v>
      </c>
      <c r="AL53" s="27">
        <v>0</v>
      </c>
      <c r="AM53" s="111">
        <f>100000000+500000000+45000000</f>
        <v>645000000</v>
      </c>
      <c r="AN53" s="43"/>
      <c r="AO53" s="27">
        <v>0</v>
      </c>
      <c r="AP53" s="28">
        <v>0</v>
      </c>
      <c r="AQ53" s="28"/>
      <c r="AR53" s="27">
        <f t="shared" si="0"/>
        <v>645000000</v>
      </c>
    </row>
    <row r="54" spans="1:44" s="29" customFormat="1" ht="65.099999999999994" customHeight="1" x14ac:dyDescent="0.25">
      <c r="A54" s="21"/>
      <c r="B54" s="30"/>
      <c r="C54" s="767">
        <v>38</v>
      </c>
      <c r="D54" s="762" t="s">
        <v>48</v>
      </c>
      <c r="E54" s="767">
        <v>0</v>
      </c>
      <c r="F54" s="767">
        <v>2</v>
      </c>
      <c r="G54" s="30"/>
      <c r="H54" s="767">
        <v>266</v>
      </c>
      <c r="I54" s="762" t="s">
        <v>96</v>
      </c>
      <c r="J54" s="25">
        <v>1</v>
      </c>
      <c r="K54" s="25">
        <v>1</v>
      </c>
      <c r="L54" s="25">
        <v>0.5</v>
      </c>
      <c r="M54" s="762" t="s">
        <v>39</v>
      </c>
      <c r="N54" s="39" t="s">
        <v>97</v>
      </c>
      <c r="O54" s="762" t="s">
        <v>98</v>
      </c>
      <c r="P54" s="41" t="s">
        <v>47</v>
      </c>
      <c r="Q54" s="27">
        <v>0</v>
      </c>
      <c r="R54" s="27">
        <v>0</v>
      </c>
      <c r="S54" s="27">
        <v>0</v>
      </c>
      <c r="T54" s="27">
        <v>0</v>
      </c>
      <c r="U54" s="27">
        <v>0</v>
      </c>
      <c r="V54" s="27">
        <v>0</v>
      </c>
      <c r="W54" s="27">
        <v>0</v>
      </c>
      <c r="X54" s="27"/>
      <c r="Y54" s="27"/>
      <c r="Z54" s="27"/>
      <c r="AA54" s="27">
        <v>0</v>
      </c>
      <c r="AB54" s="27"/>
      <c r="AC54" s="27">
        <v>0</v>
      </c>
      <c r="AD54" s="27">
        <v>0</v>
      </c>
      <c r="AE54" s="27"/>
      <c r="AF54" s="27"/>
      <c r="AG54" s="27"/>
      <c r="AH54" s="27"/>
      <c r="AI54" s="27"/>
      <c r="AJ54" s="27"/>
      <c r="AK54" s="27">
        <v>0</v>
      </c>
      <c r="AL54" s="27">
        <v>0</v>
      </c>
      <c r="AM54" s="111">
        <f>16000000+20000000</f>
        <v>36000000</v>
      </c>
      <c r="AN54" s="43"/>
      <c r="AO54" s="27">
        <v>0</v>
      </c>
      <c r="AP54" s="28">
        <v>0</v>
      </c>
      <c r="AQ54" s="28"/>
      <c r="AR54" s="27">
        <f t="shared" si="0"/>
        <v>36000000</v>
      </c>
    </row>
    <row r="55" spans="1:44" s="29" customFormat="1" ht="48.75" customHeight="1" x14ac:dyDescent="0.25">
      <c r="A55" s="21"/>
      <c r="B55" s="30"/>
      <c r="C55" s="924">
        <v>38</v>
      </c>
      <c r="D55" s="941" t="s">
        <v>48</v>
      </c>
      <c r="E55" s="924">
        <v>0</v>
      </c>
      <c r="F55" s="924">
        <v>2</v>
      </c>
      <c r="G55" s="30"/>
      <c r="H55" s="767">
        <v>267</v>
      </c>
      <c r="I55" s="762" t="s">
        <v>99</v>
      </c>
      <c r="J55" s="25">
        <v>1</v>
      </c>
      <c r="K55" s="25">
        <v>1</v>
      </c>
      <c r="L55" s="25">
        <v>0.5</v>
      </c>
      <c r="M55" s="1060" t="s">
        <v>39</v>
      </c>
      <c r="N55" s="948" t="s">
        <v>100</v>
      </c>
      <c r="O55" s="941" t="s">
        <v>101</v>
      </c>
      <c r="P55" s="41" t="s">
        <v>47</v>
      </c>
      <c r="Q55" s="27">
        <v>0</v>
      </c>
      <c r="R55" s="27">
        <v>0</v>
      </c>
      <c r="S55" s="27">
        <v>0</v>
      </c>
      <c r="T55" s="27">
        <v>0</v>
      </c>
      <c r="U55" s="27">
        <v>0</v>
      </c>
      <c r="V55" s="27">
        <v>0</v>
      </c>
      <c r="W55" s="27">
        <v>0</v>
      </c>
      <c r="X55" s="27"/>
      <c r="Y55" s="27"/>
      <c r="Z55" s="27"/>
      <c r="AA55" s="27">
        <v>0</v>
      </c>
      <c r="AB55" s="27"/>
      <c r="AC55" s="27">
        <v>0</v>
      </c>
      <c r="AD55" s="27">
        <v>0</v>
      </c>
      <c r="AE55" s="27"/>
      <c r="AF55" s="27"/>
      <c r="AG55" s="27"/>
      <c r="AH55" s="27"/>
      <c r="AI55" s="27"/>
      <c r="AJ55" s="27"/>
      <c r="AK55" s="27">
        <v>0</v>
      </c>
      <c r="AL55" s="27">
        <v>0</v>
      </c>
      <c r="AM55" s="108">
        <v>12000000</v>
      </c>
      <c r="AN55" s="15"/>
      <c r="AO55" s="27">
        <v>0</v>
      </c>
      <c r="AP55" s="28">
        <v>0</v>
      </c>
      <c r="AQ55" s="28"/>
      <c r="AR55" s="27">
        <f t="shared" si="0"/>
        <v>12000000</v>
      </c>
    </row>
    <row r="56" spans="1:44" s="29" customFormat="1" ht="99.75" x14ac:dyDescent="0.25">
      <c r="A56" s="21"/>
      <c r="B56" s="30"/>
      <c r="C56" s="925"/>
      <c r="D56" s="942"/>
      <c r="E56" s="925"/>
      <c r="F56" s="925"/>
      <c r="G56" s="30"/>
      <c r="H56" s="767">
        <v>268</v>
      </c>
      <c r="I56" s="762" t="s">
        <v>102</v>
      </c>
      <c r="J56" s="25">
        <v>12</v>
      </c>
      <c r="K56" s="25">
        <v>12</v>
      </c>
      <c r="L56" s="25">
        <v>0</v>
      </c>
      <c r="M56" s="1058"/>
      <c r="N56" s="959"/>
      <c r="O56" s="942"/>
      <c r="P56" s="41" t="s">
        <v>47</v>
      </c>
      <c r="Q56" s="27">
        <v>0</v>
      </c>
      <c r="R56" s="27">
        <v>0</v>
      </c>
      <c r="S56" s="27">
        <v>0</v>
      </c>
      <c r="T56" s="27">
        <v>0</v>
      </c>
      <c r="U56" s="27">
        <v>0</v>
      </c>
      <c r="V56" s="27">
        <v>0</v>
      </c>
      <c r="W56" s="27">
        <v>0</v>
      </c>
      <c r="X56" s="27"/>
      <c r="Y56" s="27"/>
      <c r="Z56" s="27"/>
      <c r="AA56" s="27">
        <v>0</v>
      </c>
      <c r="AB56" s="27"/>
      <c r="AC56" s="27">
        <v>0</v>
      </c>
      <c r="AD56" s="27">
        <v>0</v>
      </c>
      <c r="AE56" s="27"/>
      <c r="AF56" s="27"/>
      <c r="AG56" s="27"/>
      <c r="AH56" s="27"/>
      <c r="AI56" s="27"/>
      <c r="AJ56" s="27"/>
      <c r="AK56" s="27">
        <v>0</v>
      </c>
      <c r="AL56" s="27">
        <v>0</v>
      </c>
      <c r="AM56" s="108">
        <v>12000000</v>
      </c>
      <c r="AN56" s="15"/>
      <c r="AO56" s="27">
        <v>0</v>
      </c>
      <c r="AP56" s="28">
        <v>0</v>
      </c>
      <c r="AQ56" s="28"/>
      <c r="AR56" s="27">
        <f t="shared" si="0"/>
        <v>12000000</v>
      </c>
    </row>
    <row r="57" spans="1:44" s="29" customFormat="1" ht="99.75" x14ac:dyDescent="0.25">
      <c r="A57" s="21"/>
      <c r="B57" s="30"/>
      <c r="C57" s="925"/>
      <c r="D57" s="942"/>
      <c r="E57" s="925"/>
      <c r="F57" s="925"/>
      <c r="G57" s="30"/>
      <c r="H57" s="767">
        <v>269</v>
      </c>
      <c r="I57" s="762" t="s">
        <v>103</v>
      </c>
      <c r="J57" s="25">
        <v>12</v>
      </c>
      <c r="K57" s="25">
        <v>12</v>
      </c>
      <c r="L57" s="25">
        <v>12</v>
      </c>
      <c r="M57" s="1058"/>
      <c r="N57" s="959"/>
      <c r="O57" s="942"/>
      <c r="P57" s="41" t="s">
        <v>47</v>
      </c>
      <c r="Q57" s="27">
        <v>0</v>
      </c>
      <c r="R57" s="27">
        <v>0</v>
      </c>
      <c r="S57" s="27">
        <v>0</v>
      </c>
      <c r="T57" s="27">
        <v>0</v>
      </c>
      <c r="U57" s="27">
        <v>0</v>
      </c>
      <c r="V57" s="27">
        <v>0</v>
      </c>
      <c r="W57" s="27">
        <v>0</v>
      </c>
      <c r="X57" s="27"/>
      <c r="Y57" s="27"/>
      <c r="Z57" s="27"/>
      <c r="AA57" s="27">
        <v>0</v>
      </c>
      <c r="AB57" s="27"/>
      <c r="AC57" s="27">
        <v>0</v>
      </c>
      <c r="AD57" s="27">
        <v>0</v>
      </c>
      <c r="AE57" s="27"/>
      <c r="AF57" s="27"/>
      <c r="AG57" s="27"/>
      <c r="AH57" s="27"/>
      <c r="AI57" s="27"/>
      <c r="AJ57" s="27"/>
      <c r="AK57" s="27">
        <v>0</v>
      </c>
      <c r="AL57" s="27">
        <v>0</v>
      </c>
      <c r="AM57" s="108">
        <f>12000000+15210000</f>
        <v>27210000</v>
      </c>
      <c r="AN57" s="15"/>
      <c r="AO57" s="27">
        <v>0</v>
      </c>
      <c r="AP57" s="28">
        <v>0</v>
      </c>
      <c r="AQ57" s="28"/>
      <c r="AR57" s="27">
        <f t="shared" si="0"/>
        <v>27210000</v>
      </c>
    </row>
    <row r="58" spans="1:44" s="29" customFormat="1" ht="114" x14ac:dyDescent="0.25">
      <c r="A58" s="21"/>
      <c r="B58" s="30"/>
      <c r="C58" s="925"/>
      <c r="D58" s="942"/>
      <c r="E58" s="925"/>
      <c r="F58" s="925"/>
      <c r="G58" s="30"/>
      <c r="H58" s="767">
        <v>270</v>
      </c>
      <c r="I58" s="762" t="s">
        <v>104</v>
      </c>
      <c r="J58" s="25" t="s">
        <v>38</v>
      </c>
      <c r="K58" s="25">
        <v>12</v>
      </c>
      <c r="L58" s="25">
        <v>12</v>
      </c>
      <c r="M58" s="1058"/>
      <c r="N58" s="959"/>
      <c r="O58" s="942"/>
      <c r="P58" s="41" t="s">
        <v>47</v>
      </c>
      <c r="Q58" s="27">
        <v>0</v>
      </c>
      <c r="R58" s="27">
        <v>0</v>
      </c>
      <c r="S58" s="27">
        <v>0</v>
      </c>
      <c r="T58" s="27">
        <v>0</v>
      </c>
      <c r="U58" s="27">
        <v>0</v>
      </c>
      <c r="V58" s="27">
        <v>0</v>
      </c>
      <c r="W58" s="27">
        <v>0</v>
      </c>
      <c r="X58" s="27"/>
      <c r="Y58" s="27"/>
      <c r="Z58" s="27"/>
      <c r="AA58" s="27">
        <v>0</v>
      </c>
      <c r="AB58" s="27"/>
      <c r="AC58" s="27">
        <v>0</v>
      </c>
      <c r="AD58" s="27">
        <v>0</v>
      </c>
      <c r="AE58" s="27"/>
      <c r="AF58" s="27"/>
      <c r="AG58" s="27"/>
      <c r="AH58" s="27"/>
      <c r="AI58" s="27"/>
      <c r="AJ58" s="27"/>
      <c r="AK58" s="27">
        <v>0</v>
      </c>
      <c r="AL58" s="27">
        <v>0</v>
      </c>
      <c r="AM58" s="108">
        <v>15000000</v>
      </c>
      <c r="AN58" s="15"/>
      <c r="AO58" s="27">
        <v>0</v>
      </c>
      <c r="AP58" s="28">
        <v>0</v>
      </c>
      <c r="AQ58" s="28"/>
      <c r="AR58" s="27">
        <f t="shared" si="0"/>
        <v>15000000</v>
      </c>
    </row>
    <row r="59" spans="1:44" s="29" customFormat="1" ht="128.25" x14ac:dyDescent="0.25">
      <c r="A59" s="21"/>
      <c r="B59" s="30"/>
      <c r="C59" s="925"/>
      <c r="D59" s="942"/>
      <c r="E59" s="925"/>
      <c r="F59" s="925"/>
      <c r="G59" s="30"/>
      <c r="H59" s="767">
        <v>271</v>
      </c>
      <c r="I59" s="762" t="s">
        <v>105</v>
      </c>
      <c r="J59" s="25">
        <v>12</v>
      </c>
      <c r="K59" s="25">
        <v>12</v>
      </c>
      <c r="L59" s="25">
        <v>12</v>
      </c>
      <c r="M59" s="1058"/>
      <c r="N59" s="959"/>
      <c r="O59" s="942"/>
      <c r="P59" s="41" t="s">
        <v>47</v>
      </c>
      <c r="Q59" s="27">
        <v>0</v>
      </c>
      <c r="R59" s="27">
        <v>0</v>
      </c>
      <c r="S59" s="27">
        <v>0</v>
      </c>
      <c r="T59" s="27">
        <v>0</v>
      </c>
      <c r="U59" s="27">
        <v>0</v>
      </c>
      <c r="V59" s="27">
        <v>0</v>
      </c>
      <c r="W59" s="27">
        <v>0</v>
      </c>
      <c r="X59" s="27"/>
      <c r="Y59" s="27"/>
      <c r="Z59" s="27"/>
      <c r="AA59" s="27">
        <v>0</v>
      </c>
      <c r="AB59" s="27"/>
      <c r="AC59" s="27">
        <v>0</v>
      </c>
      <c r="AD59" s="27">
        <v>0</v>
      </c>
      <c r="AE59" s="27"/>
      <c r="AF59" s="27"/>
      <c r="AG59" s="27"/>
      <c r="AH59" s="27"/>
      <c r="AI59" s="27"/>
      <c r="AJ59" s="27"/>
      <c r="AK59" s="27">
        <v>0</v>
      </c>
      <c r="AL59" s="27">
        <v>0</v>
      </c>
      <c r="AM59" s="108">
        <f>28492500+17500000-10088307</f>
        <v>35904193</v>
      </c>
      <c r="AN59" s="15"/>
      <c r="AO59" s="27">
        <v>0</v>
      </c>
      <c r="AP59" s="28">
        <v>0</v>
      </c>
      <c r="AQ59" s="28"/>
      <c r="AR59" s="27">
        <f t="shared" si="0"/>
        <v>35904193</v>
      </c>
    </row>
    <row r="60" spans="1:44" s="29" customFormat="1" ht="94.5" customHeight="1" x14ac:dyDescent="0.25">
      <c r="A60" s="21"/>
      <c r="B60" s="30"/>
      <c r="C60" s="925"/>
      <c r="D60" s="942"/>
      <c r="E60" s="925"/>
      <c r="F60" s="925"/>
      <c r="G60" s="30"/>
      <c r="H60" s="767">
        <v>272</v>
      </c>
      <c r="I60" s="762" t="s">
        <v>106</v>
      </c>
      <c r="J60" s="25" t="s">
        <v>38</v>
      </c>
      <c r="K60" s="25">
        <v>12</v>
      </c>
      <c r="L60" s="25">
        <v>12</v>
      </c>
      <c r="M60" s="1058"/>
      <c r="N60" s="959"/>
      <c r="O60" s="942"/>
      <c r="P60" s="41" t="s">
        <v>47</v>
      </c>
      <c r="Q60" s="27">
        <v>0</v>
      </c>
      <c r="R60" s="27">
        <v>0</v>
      </c>
      <c r="S60" s="27">
        <v>0</v>
      </c>
      <c r="T60" s="27">
        <v>0</v>
      </c>
      <c r="U60" s="27">
        <v>0</v>
      </c>
      <c r="V60" s="27">
        <v>0</v>
      </c>
      <c r="W60" s="27">
        <v>0</v>
      </c>
      <c r="X60" s="27"/>
      <c r="Y60" s="27"/>
      <c r="Z60" s="27"/>
      <c r="AA60" s="27">
        <v>0</v>
      </c>
      <c r="AB60" s="27"/>
      <c r="AC60" s="27">
        <v>0</v>
      </c>
      <c r="AD60" s="27">
        <v>0</v>
      </c>
      <c r="AE60" s="27"/>
      <c r="AF60" s="27"/>
      <c r="AG60" s="27"/>
      <c r="AH60" s="27"/>
      <c r="AI60" s="27"/>
      <c r="AJ60" s="27"/>
      <c r="AK60" s="27">
        <v>0</v>
      </c>
      <c r="AL60" s="27">
        <v>0</v>
      </c>
      <c r="AM60" s="108">
        <f>15000000+17500000</f>
        <v>32500000</v>
      </c>
      <c r="AN60" s="15"/>
      <c r="AO60" s="27">
        <v>0</v>
      </c>
      <c r="AP60" s="28">
        <v>0</v>
      </c>
      <c r="AQ60" s="28"/>
      <c r="AR60" s="27">
        <f t="shared" si="0"/>
        <v>32500000</v>
      </c>
    </row>
    <row r="61" spans="1:44" s="29" customFormat="1" ht="89.25" customHeight="1" x14ac:dyDescent="0.25">
      <c r="A61" s="21"/>
      <c r="B61" s="30"/>
      <c r="C61" s="925"/>
      <c r="D61" s="942"/>
      <c r="E61" s="925"/>
      <c r="F61" s="925"/>
      <c r="G61" s="30"/>
      <c r="H61" s="767">
        <v>273</v>
      </c>
      <c r="I61" s="762" t="s">
        <v>107</v>
      </c>
      <c r="J61" s="25">
        <v>12</v>
      </c>
      <c r="K61" s="25">
        <v>12</v>
      </c>
      <c r="L61" s="25">
        <v>8</v>
      </c>
      <c r="M61" s="1058"/>
      <c r="N61" s="959"/>
      <c r="O61" s="942"/>
      <c r="P61" s="41" t="s">
        <v>47</v>
      </c>
      <c r="Q61" s="27">
        <v>0</v>
      </c>
      <c r="R61" s="27">
        <v>0</v>
      </c>
      <c r="S61" s="27">
        <v>0</v>
      </c>
      <c r="T61" s="27">
        <v>0</v>
      </c>
      <c r="U61" s="27">
        <v>0</v>
      </c>
      <c r="V61" s="27">
        <v>0</v>
      </c>
      <c r="W61" s="27">
        <v>0</v>
      </c>
      <c r="X61" s="27"/>
      <c r="Y61" s="27"/>
      <c r="Z61" s="27"/>
      <c r="AA61" s="27">
        <v>0</v>
      </c>
      <c r="AB61" s="27"/>
      <c r="AC61" s="27">
        <v>0</v>
      </c>
      <c r="AD61" s="27">
        <v>0</v>
      </c>
      <c r="AE61" s="27"/>
      <c r="AF61" s="27"/>
      <c r="AG61" s="27"/>
      <c r="AH61" s="27"/>
      <c r="AI61" s="27"/>
      <c r="AJ61" s="27"/>
      <c r="AK61" s="27">
        <v>0</v>
      </c>
      <c r="AL61" s="27">
        <v>0</v>
      </c>
      <c r="AM61" s="108">
        <v>2672500</v>
      </c>
      <c r="AN61" s="15"/>
      <c r="AO61" s="27">
        <v>0</v>
      </c>
      <c r="AP61" s="28">
        <v>0</v>
      </c>
      <c r="AQ61" s="28"/>
      <c r="AR61" s="27">
        <f t="shared" si="0"/>
        <v>2672500</v>
      </c>
    </row>
    <row r="62" spans="1:44" s="29" customFormat="1" ht="72" customHeight="1" x14ac:dyDescent="0.25">
      <c r="A62" s="21"/>
      <c r="B62" s="30"/>
      <c r="C62" s="925"/>
      <c r="D62" s="942"/>
      <c r="E62" s="925"/>
      <c r="F62" s="925"/>
      <c r="G62" s="30"/>
      <c r="H62" s="767">
        <v>274</v>
      </c>
      <c r="I62" s="762" t="s">
        <v>108</v>
      </c>
      <c r="J62" s="25" t="s">
        <v>38</v>
      </c>
      <c r="K62" s="25">
        <v>12</v>
      </c>
      <c r="L62" s="25">
        <v>11</v>
      </c>
      <c r="M62" s="1058"/>
      <c r="N62" s="959"/>
      <c r="O62" s="942"/>
      <c r="P62" s="41" t="s">
        <v>47</v>
      </c>
      <c r="Q62" s="27">
        <v>0</v>
      </c>
      <c r="R62" s="27">
        <v>0</v>
      </c>
      <c r="S62" s="27">
        <v>0</v>
      </c>
      <c r="T62" s="27">
        <v>0</v>
      </c>
      <c r="U62" s="27">
        <v>0</v>
      </c>
      <c r="V62" s="27">
        <v>0</v>
      </c>
      <c r="W62" s="27">
        <v>0</v>
      </c>
      <c r="X62" s="27"/>
      <c r="Y62" s="27"/>
      <c r="Z62" s="27"/>
      <c r="AA62" s="27">
        <v>0</v>
      </c>
      <c r="AB62" s="27"/>
      <c r="AC62" s="27">
        <v>0</v>
      </c>
      <c r="AD62" s="27">
        <v>0</v>
      </c>
      <c r="AE62" s="27"/>
      <c r="AF62" s="27"/>
      <c r="AG62" s="27"/>
      <c r="AH62" s="27"/>
      <c r="AI62" s="27"/>
      <c r="AJ62" s="27"/>
      <c r="AK62" s="27">
        <v>0</v>
      </c>
      <c r="AL62" s="27">
        <v>0</v>
      </c>
      <c r="AM62" s="108">
        <v>14135000</v>
      </c>
      <c r="AN62" s="15"/>
      <c r="AO62" s="27">
        <v>0</v>
      </c>
      <c r="AP62" s="28">
        <v>0</v>
      </c>
      <c r="AQ62" s="28"/>
      <c r="AR62" s="27">
        <f t="shared" si="0"/>
        <v>14135000</v>
      </c>
    </row>
    <row r="63" spans="1:44" s="29" customFormat="1" ht="96" customHeight="1" x14ac:dyDescent="0.25">
      <c r="A63" s="21"/>
      <c r="B63" s="30"/>
      <c r="C63" s="926"/>
      <c r="D63" s="943"/>
      <c r="E63" s="926"/>
      <c r="F63" s="926"/>
      <c r="G63" s="32"/>
      <c r="H63" s="767">
        <v>260</v>
      </c>
      <c r="I63" s="762" t="s">
        <v>109</v>
      </c>
      <c r="J63" s="25">
        <v>12</v>
      </c>
      <c r="K63" s="25">
        <v>12</v>
      </c>
      <c r="L63" s="25">
        <v>6</v>
      </c>
      <c r="M63" s="1059"/>
      <c r="N63" s="949"/>
      <c r="O63" s="943"/>
      <c r="P63" s="41" t="s">
        <v>47</v>
      </c>
      <c r="Q63" s="27">
        <v>0</v>
      </c>
      <c r="R63" s="27">
        <v>0</v>
      </c>
      <c r="S63" s="27">
        <v>0</v>
      </c>
      <c r="T63" s="27">
        <v>0</v>
      </c>
      <c r="U63" s="27">
        <v>0</v>
      </c>
      <c r="V63" s="27">
        <v>0</v>
      </c>
      <c r="W63" s="27">
        <v>0</v>
      </c>
      <c r="X63" s="27"/>
      <c r="Y63" s="27"/>
      <c r="Z63" s="27"/>
      <c r="AA63" s="27">
        <v>0</v>
      </c>
      <c r="AB63" s="27"/>
      <c r="AC63" s="27">
        <v>0</v>
      </c>
      <c r="AD63" s="27">
        <v>0</v>
      </c>
      <c r="AE63" s="27"/>
      <c r="AF63" s="27"/>
      <c r="AG63" s="27"/>
      <c r="AH63" s="27"/>
      <c r="AI63" s="27"/>
      <c r="AJ63" s="27"/>
      <c r="AK63" s="27">
        <v>0</v>
      </c>
      <c r="AL63" s="27">
        <v>0</v>
      </c>
      <c r="AM63" s="108">
        <f>18000000-5121693</f>
        <v>12878307</v>
      </c>
      <c r="AN63" s="15"/>
      <c r="AO63" s="27">
        <v>0</v>
      </c>
      <c r="AP63" s="28">
        <v>0</v>
      </c>
      <c r="AQ63" s="28"/>
      <c r="AR63" s="27">
        <f t="shared" si="0"/>
        <v>12878307</v>
      </c>
    </row>
    <row r="64" spans="1:44" s="165" customFormat="1" ht="15" x14ac:dyDescent="0.25">
      <c r="A64" s="21"/>
      <c r="B64" s="32"/>
      <c r="C64" s="767"/>
      <c r="D64" s="762"/>
      <c r="E64" s="767"/>
      <c r="F64" s="767"/>
      <c r="G64" s="160"/>
      <c r="H64" s="161"/>
      <c r="I64" s="160"/>
      <c r="J64" s="162"/>
      <c r="K64" s="162"/>
      <c r="L64" s="162"/>
      <c r="M64" s="162"/>
      <c r="N64" s="163"/>
      <c r="O64" s="160"/>
      <c r="P64" s="161"/>
      <c r="Q64" s="164">
        <f>SUM(Q46:Q63)</f>
        <v>0</v>
      </c>
      <c r="R64" s="164">
        <f t="shared" ref="R64:AL64" si="26">SUM(R46:R63)</f>
        <v>0</v>
      </c>
      <c r="S64" s="164">
        <f t="shared" si="26"/>
        <v>0</v>
      </c>
      <c r="T64" s="164">
        <f t="shared" si="26"/>
        <v>0</v>
      </c>
      <c r="U64" s="164">
        <f t="shared" si="26"/>
        <v>0</v>
      </c>
      <c r="V64" s="164">
        <f t="shared" si="26"/>
        <v>0</v>
      </c>
      <c r="W64" s="164">
        <f t="shared" si="26"/>
        <v>0</v>
      </c>
      <c r="X64" s="164">
        <f t="shared" si="26"/>
        <v>0</v>
      </c>
      <c r="Y64" s="164">
        <f t="shared" si="26"/>
        <v>0</v>
      </c>
      <c r="Z64" s="164">
        <f t="shared" si="26"/>
        <v>0</v>
      </c>
      <c r="AA64" s="164">
        <f t="shared" si="26"/>
        <v>0</v>
      </c>
      <c r="AB64" s="164">
        <f t="shared" si="26"/>
        <v>0</v>
      </c>
      <c r="AC64" s="164">
        <f t="shared" si="26"/>
        <v>0</v>
      </c>
      <c r="AD64" s="164">
        <f t="shared" si="26"/>
        <v>0</v>
      </c>
      <c r="AE64" s="164">
        <f t="shared" si="26"/>
        <v>0</v>
      </c>
      <c r="AF64" s="164">
        <f t="shared" si="26"/>
        <v>0</v>
      </c>
      <c r="AG64" s="164">
        <f t="shared" si="26"/>
        <v>0</v>
      </c>
      <c r="AH64" s="164">
        <f t="shared" si="26"/>
        <v>0</v>
      </c>
      <c r="AI64" s="164">
        <f t="shared" si="26"/>
        <v>0</v>
      </c>
      <c r="AJ64" s="164">
        <f t="shared" si="26"/>
        <v>0</v>
      </c>
      <c r="AK64" s="164">
        <f t="shared" si="26"/>
        <v>0</v>
      </c>
      <c r="AL64" s="164">
        <f t="shared" si="26"/>
        <v>0</v>
      </c>
      <c r="AM64" s="164">
        <f t="shared" ref="AM64:AP64" si="27">SUM(AM46:AM63)</f>
        <v>1320000000</v>
      </c>
      <c r="AN64" s="164">
        <f t="shared" si="27"/>
        <v>0</v>
      </c>
      <c r="AO64" s="164">
        <f t="shared" si="27"/>
        <v>0</v>
      </c>
      <c r="AP64" s="164">
        <f t="shared" si="27"/>
        <v>0</v>
      </c>
      <c r="AQ64" s="164">
        <f t="shared" ref="AQ64" si="28">SUM(AQ46:AQ63)</f>
        <v>0</v>
      </c>
      <c r="AR64" s="164">
        <f t="shared" si="0"/>
        <v>1320000000</v>
      </c>
    </row>
    <row r="65" spans="1:45" s="165" customFormat="1" ht="15" x14ac:dyDescent="0.25">
      <c r="A65" s="158"/>
      <c r="B65" s="227"/>
      <c r="C65" s="168"/>
      <c r="D65" s="167"/>
      <c r="E65" s="168"/>
      <c r="F65" s="168"/>
      <c r="G65" s="167"/>
      <c r="H65" s="168"/>
      <c r="I65" s="167"/>
      <c r="J65" s="169"/>
      <c r="K65" s="169"/>
      <c r="L65" s="169"/>
      <c r="M65" s="169"/>
      <c r="N65" s="170"/>
      <c r="O65" s="167"/>
      <c r="P65" s="168"/>
      <c r="Q65" s="171">
        <f t="shared" ref="Q65:AL65" si="29">Q64</f>
        <v>0</v>
      </c>
      <c r="R65" s="171">
        <f t="shared" si="29"/>
        <v>0</v>
      </c>
      <c r="S65" s="171">
        <f t="shared" si="29"/>
        <v>0</v>
      </c>
      <c r="T65" s="171">
        <f t="shared" si="29"/>
        <v>0</v>
      </c>
      <c r="U65" s="171">
        <f t="shared" si="29"/>
        <v>0</v>
      </c>
      <c r="V65" s="171">
        <f t="shared" si="29"/>
        <v>0</v>
      </c>
      <c r="W65" s="171">
        <f t="shared" si="29"/>
        <v>0</v>
      </c>
      <c r="X65" s="171">
        <f t="shared" si="29"/>
        <v>0</v>
      </c>
      <c r="Y65" s="171">
        <f t="shared" si="29"/>
        <v>0</v>
      </c>
      <c r="Z65" s="171">
        <f t="shared" si="29"/>
        <v>0</v>
      </c>
      <c r="AA65" s="171">
        <f t="shared" si="29"/>
        <v>0</v>
      </c>
      <c r="AB65" s="171">
        <f t="shared" si="29"/>
        <v>0</v>
      </c>
      <c r="AC65" s="171">
        <f t="shared" si="29"/>
        <v>0</v>
      </c>
      <c r="AD65" s="171">
        <f t="shared" si="29"/>
        <v>0</v>
      </c>
      <c r="AE65" s="171">
        <f t="shared" si="29"/>
        <v>0</v>
      </c>
      <c r="AF65" s="171">
        <f t="shared" si="29"/>
        <v>0</v>
      </c>
      <c r="AG65" s="171">
        <f t="shared" si="29"/>
        <v>0</v>
      </c>
      <c r="AH65" s="171">
        <f t="shared" si="29"/>
        <v>0</v>
      </c>
      <c r="AI65" s="171">
        <f t="shared" si="29"/>
        <v>0</v>
      </c>
      <c r="AJ65" s="171">
        <f t="shared" si="29"/>
        <v>0</v>
      </c>
      <c r="AK65" s="171">
        <f t="shared" si="29"/>
        <v>0</v>
      </c>
      <c r="AL65" s="171">
        <f t="shared" si="29"/>
        <v>0</v>
      </c>
      <c r="AM65" s="171">
        <f t="shared" ref="AM65:AP65" si="30">AM64</f>
        <v>1320000000</v>
      </c>
      <c r="AN65" s="171">
        <f t="shared" si="30"/>
        <v>0</v>
      </c>
      <c r="AO65" s="171">
        <f t="shared" si="30"/>
        <v>0</v>
      </c>
      <c r="AP65" s="171">
        <f t="shared" si="30"/>
        <v>0</v>
      </c>
      <c r="AQ65" s="171">
        <f t="shared" ref="AQ65" si="31">AQ64</f>
        <v>0</v>
      </c>
      <c r="AR65" s="171">
        <f t="shared" si="0"/>
        <v>1320000000</v>
      </c>
    </row>
    <row r="66" spans="1:45" s="242" customFormat="1" ht="20.25" x14ac:dyDescent="0.25">
      <c r="A66" s="172"/>
      <c r="B66" s="172"/>
      <c r="C66" s="173"/>
      <c r="D66" s="172"/>
      <c r="E66" s="173"/>
      <c r="F66" s="173"/>
      <c r="G66" s="172"/>
      <c r="H66" s="173"/>
      <c r="I66" s="172"/>
      <c r="J66" s="174"/>
      <c r="K66" s="174"/>
      <c r="L66" s="174"/>
      <c r="M66" s="174"/>
      <c r="N66" s="175"/>
      <c r="O66" s="172"/>
      <c r="P66" s="173"/>
      <c r="Q66" s="176">
        <f t="shared" ref="Q66:AL66" si="32">Q36+Q42+Q65</f>
        <v>0</v>
      </c>
      <c r="R66" s="176">
        <f t="shared" si="32"/>
        <v>0</v>
      </c>
      <c r="S66" s="176">
        <f t="shared" si="32"/>
        <v>0</v>
      </c>
      <c r="T66" s="176">
        <f t="shared" si="32"/>
        <v>0</v>
      </c>
      <c r="U66" s="176">
        <f t="shared" si="32"/>
        <v>0</v>
      </c>
      <c r="V66" s="176">
        <f t="shared" si="32"/>
        <v>0</v>
      </c>
      <c r="W66" s="176">
        <f t="shared" si="32"/>
        <v>0</v>
      </c>
      <c r="X66" s="176">
        <f t="shared" si="32"/>
        <v>0</v>
      </c>
      <c r="Y66" s="176">
        <f t="shared" si="32"/>
        <v>0</v>
      </c>
      <c r="Z66" s="176">
        <f t="shared" si="32"/>
        <v>0</v>
      </c>
      <c r="AA66" s="176">
        <f t="shared" si="32"/>
        <v>0</v>
      </c>
      <c r="AB66" s="176">
        <f t="shared" si="32"/>
        <v>0</v>
      </c>
      <c r="AC66" s="176">
        <f t="shared" si="32"/>
        <v>0</v>
      </c>
      <c r="AD66" s="176">
        <f t="shared" si="32"/>
        <v>0</v>
      </c>
      <c r="AE66" s="176">
        <f t="shared" si="32"/>
        <v>0</v>
      </c>
      <c r="AF66" s="176">
        <f t="shared" si="32"/>
        <v>0</v>
      </c>
      <c r="AG66" s="176">
        <f t="shared" si="32"/>
        <v>0</v>
      </c>
      <c r="AH66" s="176">
        <f t="shared" si="32"/>
        <v>0</v>
      </c>
      <c r="AI66" s="176">
        <f t="shared" si="32"/>
        <v>0</v>
      </c>
      <c r="AJ66" s="176">
        <f t="shared" si="32"/>
        <v>0</v>
      </c>
      <c r="AK66" s="176">
        <f t="shared" si="32"/>
        <v>0</v>
      </c>
      <c r="AL66" s="176">
        <f t="shared" si="32"/>
        <v>0</v>
      </c>
      <c r="AM66" s="176">
        <f t="shared" ref="AM66:AP66" si="33">AM36+AM42+AM65</f>
        <v>1530000000</v>
      </c>
      <c r="AN66" s="176">
        <f t="shared" si="33"/>
        <v>0</v>
      </c>
      <c r="AO66" s="176">
        <f t="shared" si="33"/>
        <v>0</v>
      </c>
      <c r="AP66" s="176">
        <f t="shared" si="33"/>
        <v>0</v>
      </c>
      <c r="AQ66" s="176">
        <f t="shared" ref="AQ66" si="34">AQ36+AQ42+AQ65</f>
        <v>0</v>
      </c>
      <c r="AR66" s="176">
        <f t="shared" si="0"/>
        <v>1530000000</v>
      </c>
      <c r="AS66" s="825"/>
    </row>
    <row r="67" spans="1:45" s="242" customFormat="1" ht="20.25" x14ac:dyDescent="0.25">
      <c r="A67" s="177"/>
      <c r="B67" s="177"/>
      <c r="C67" s="178"/>
      <c r="D67" s="177"/>
      <c r="E67" s="178"/>
      <c r="F67" s="178"/>
      <c r="G67" s="177"/>
      <c r="H67" s="178"/>
      <c r="I67" s="177"/>
      <c r="J67" s="179"/>
      <c r="K67" s="179"/>
      <c r="L67" s="179"/>
      <c r="M67" s="179"/>
      <c r="N67" s="180"/>
      <c r="O67" s="177"/>
      <c r="P67" s="178"/>
      <c r="Q67" s="181">
        <f t="shared" ref="Q67:AL67" si="35">Q66</f>
        <v>0</v>
      </c>
      <c r="R67" s="181">
        <f t="shared" si="35"/>
        <v>0</v>
      </c>
      <c r="S67" s="181">
        <f t="shared" si="35"/>
        <v>0</v>
      </c>
      <c r="T67" s="181">
        <f t="shared" si="35"/>
        <v>0</v>
      </c>
      <c r="U67" s="181">
        <f t="shared" si="35"/>
        <v>0</v>
      </c>
      <c r="V67" s="181">
        <f t="shared" si="35"/>
        <v>0</v>
      </c>
      <c r="W67" s="181">
        <f t="shared" si="35"/>
        <v>0</v>
      </c>
      <c r="X67" s="181">
        <f t="shared" si="35"/>
        <v>0</v>
      </c>
      <c r="Y67" s="181">
        <f t="shared" si="35"/>
        <v>0</v>
      </c>
      <c r="Z67" s="181">
        <f t="shared" si="35"/>
        <v>0</v>
      </c>
      <c r="AA67" s="181">
        <f t="shared" si="35"/>
        <v>0</v>
      </c>
      <c r="AB67" s="181">
        <f t="shared" si="35"/>
        <v>0</v>
      </c>
      <c r="AC67" s="181">
        <f t="shared" si="35"/>
        <v>0</v>
      </c>
      <c r="AD67" s="181">
        <f t="shared" si="35"/>
        <v>0</v>
      </c>
      <c r="AE67" s="181">
        <f t="shared" si="35"/>
        <v>0</v>
      </c>
      <c r="AF67" s="181">
        <f t="shared" si="35"/>
        <v>0</v>
      </c>
      <c r="AG67" s="181">
        <f t="shared" si="35"/>
        <v>0</v>
      </c>
      <c r="AH67" s="181">
        <f t="shared" si="35"/>
        <v>0</v>
      </c>
      <c r="AI67" s="181">
        <f t="shared" si="35"/>
        <v>0</v>
      </c>
      <c r="AJ67" s="181">
        <f t="shared" si="35"/>
        <v>0</v>
      </c>
      <c r="AK67" s="181">
        <f t="shared" si="35"/>
        <v>0</v>
      </c>
      <c r="AL67" s="181">
        <f t="shared" si="35"/>
        <v>0</v>
      </c>
      <c r="AM67" s="181">
        <f t="shared" ref="AM67:AP67" si="36">AM66</f>
        <v>1530000000</v>
      </c>
      <c r="AN67" s="181">
        <f t="shared" si="36"/>
        <v>0</v>
      </c>
      <c r="AO67" s="181">
        <f t="shared" si="36"/>
        <v>0</v>
      </c>
      <c r="AP67" s="181">
        <f t="shared" si="36"/>
        <v>0</v>
      </c>
      <c r="AQ67" s="181">
        <f t="shared" ref="AQ67" si="37">AQ66</f>
        <v>0</v>
      </c>
      <c r="AR67" s="181">
        <f t="shared" si="0"/>
        <v>1530000000</v>
      </c>
      <c r="AS67" s="825"/>
    </row>
    <row r="68" spans="1:45" s="49" customFormat="1" ht="20.25" x14ac:dyDescent="0.25">
      <c r="A68" s="831"/>
      <c r="B68" s="829"/>
      <c r="C68" s="830"/>
      <c r="D68" s="829"/>
      <c r="E68" s="830"/>
      <c r="F68" s="830"/>
      <c r="G68" s="829"/>
      <c r="H68" s="830"/>
      <c r="I68" s="829"/>
      <c r="J68" s="832"/>
      <c r="K68" s="832"/>
      <c r="L68" s="832"/>
      <c r="M68" s="832"/>
      <c r="N68" s="833"/>
      <c r="O68" s="829"/>
      <c r="P68" s="760"/>
      <c r="Q68" s="834"/>
      <c r="R68" s="834"/>
      <c r="S68" s="834"/>
      <c r="T68" s="834"/>
      <c r="U68" s="834"/>
      <c r="V68" s="834"/>
      <c r="W68" s="834"/>
      <c r="X68" s="834"/>
      <c r="Y68" s="834"/>
      <c r="Z68" s="834"/>
      <c r="AA68" s="834"/>
      <c r="AB68" s="834"/>
      <c r="AC68" s="834"/>
      <c r="AD68" s="834"/>
      <c r="AE68" s="835"/>
      <c r="AF68" s="835"/>
      <c r="AG68" s="835"/>
      <c r="AH68" s="835"/>
      <c r="AI68" s="835"/>
      <c r="AJ68" s="835"/>
      <c r="AK68" s="834"/>
      <c r="AL68" s="834"/>
      <c r="AM68" s="836"/>
      <c r="AN68" s="834"/>
      <c r="AO68" s="834"/>
      <c r="AP68" s="834"/>
      <c r="AQ68" s="834"/>
      <c r="AR68" s="837">
        <f t="shared" si="0"/>
        <v>0</v>
      </c>
    </row>
    <row r="69" spans="1:45" s="165" customFormat="1" ht="20.25" x14ac:dyDescent="0.25">
      <c r="A69" s="838" t="s">
        <v>110</v>
      </c>
      <c r="B69" s="839"/>
      <c r="C69" s="840"/>
      <c r="D69" s="839"/>
      <c r="E69" s="839"/>
      <c r="F69" s="839"/>
      <c r="G69" s="839"/>
      <c r="H69" s="840"/>
      <c r="I69" s="839"/>
      <c r="J69" s="839"/>
      <c r="K69" s="839"/>
      <c r="L69" s="839"/>
      <c r="M69" s="839"/>
      <c r="N69" s="841"/>
      <c r="O69" s="839"/>
      <c r="P69" s="137"/>
      <c r="Q69" s="839"/>
      <c r="R69" s="839"/>
      <c r="S69" s="839"/>
      <c r="T69" s="839"/>
      <c r="U69" s="839"/>
      <c r="V69" s="839"/>
      <c r="W69" s="839"/>
      <c r="X69" s="839"/>
      <c r="Y69" s="839"/>
      <c r="Z69" s="839"/>
      <c r="AA69" s="839"/>
      <c r="AB69" s="839"/>
      <c r="AC69" s="839"/>
      <c r="AD69" s="839"/>
      <c r="AE69" s="839"/>
      <c r="AF69" s="839"/>
      <c r="AG69" s="839"/>
      <c r="AH69" s="839"/>
      <c r="AI69" s="839"/>
      <c r="AJ69" s="839"/>
      <c r="AK69" s="839"/>
      <c r="AL69" s="839"/>
      <c r="AM69" s="842"/>
      <c r="AN69" s="843"/>
      <c r="AO69" s="839"/>
      <c r="AP69" s="839"/>
      <c r="AQ69" s="839"/>
      <c r="AR69" s="844"/>
    </row>
    <row r="70" spans="1:45" s="165" customFormat="1" x14ac:dyDescent="0.25">
      <c r="A70" s="826">
        <v>5</v>
      </c>
      <c r="B70" s="142" t="s">
        <v>33</v>
      </c>
      <c r="C70" s="143"/>
      <c r="D70" s="142"/>
      <c r="E70" s="142"/>
      <c r="F70" s="142"/>
      <c r="G70" s="142"/>
      <c r="H70" s="143"/>
      <c r="I70" s="142"/>
      <c r="J70" s="142"/>
      <c r="K70" s="142"/>
      <c r="L70" s="142"/>
      <c r="M70" s="142"/>
      <c r="N70" s="144"/>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5"/>
      <c r="AN70" s="142"/>
      <c r="AO70" s="142"/>
      <c r="AP70" s="142"/>
      <c r="AQ70" s="142"/>
      <c r="AR70" s="146"/>
    </row>
    <row r="71" spans="1:45" s="165" customFormat="1" x14ac:dyDescent="0.25">
      <c r="A71" s="190"/>
      <c r="B71" s="243">
        <v>28</v>
      </c>
      <c r="C71" s="150" t="s">
        <v>34</v>
      </c>
      <c r="D71" s="149"/>
      <c r="E71" s="149"/>
      <c r="F71" s="149"/>
      <c r="G71" s="149"/>
      <c r="H71" s="150"/>
      <c r="I71" s="149"/>
      <c r="J71" s="149"/>
      <c r="K71" s="149"/>
      <c r="L71" s="149"/>
      <c r="M71" s="149"/>
      <c r="N71" s="151"/>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52"/>
      <c r="AN71" s="149"/>
      <c r="AO71" s="149"/>
      <c r="AP71" s="149"/>
      <c r="AQ71" s="149"/>
      <c r="AR71" s="153"/>
    </row>
    <row r="72" spans="1:45" s="165" customFormat="1" x14ac:dyDescent="0.25">
      <c r="A72" s="21"/>
      <c r="B72" s="845"/>
      <c r="C72" s="244"/>
      <c r="D72" s="191"/>
      <c r="E72" s="191"/>
      <c r="F72" s="192"/>
      <c r="G72" s="193">
        <v>88</v>
      </c>
      <c r="H72" s="736" t="s">
        <v>111</v>
      </c>
      <c r="I72" s="194"/>
      <c r="J72" s="194"/>
      <c r="K72" s="194"/>
      <c r="L72" s="194"/>
      <c r="M72" s="194"/>
      <c r="N72" s="195"/>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6"/>
      <c r="AN72" s="245"/>
      <c r="AO72" s="194"/>
      <c r="AP72" s="194"/>
      <c r="AQ72" s="194"/>
      <c r="AR72" s="197"/>
    </row>
    <row r="73" spans="1:45" s="29" customFormat="1" ht="42.75" x14ac:dyDescent="0.25">
      <c r="A73" s="21"/>
      <c r="B73" s="36"/>
      <c r="C73" s="912">
        <v>38</v>
      </c>
      <c r="D73" s="941" t="s">
        <v>48</v>
      </c>
      <c r="E73" s="924">
        <v>0</v>
      </c>
      <c r="F73" s="924">
        <v>2</v>
      </c>
      <c r="G73" s="24"/>
      <c r="H73" s="723">
        <v>275</v>
      </c>
      <c r="I73" s="731" t="s">
        <v>112</v>
      </c>
      <c r="J73" s="44" t="s">
        <v>38</v>
      </c>
      <c r="K73" s="44">
        <v>4</v>
      </c>
      <c r="L73" s="246">
        <v>3.2</v>
      </c>
      <c r="M73" s="1058" t="s">
        <v>39</v>
      </c>
      <c r="N73" s="948" t="s">
        <v>113</v>
      </c>
      <c r="O73" s="941" t="s">
        <v>114</v>
      </c>
      <c r="P73" s="723" t="s">
        <v>47</v>
      </c>
      <c r="Q73" s="45"/>
      <c r="R73" s="45"/>
      <c r="S73" s="45"/>
      <c r="T73" s="45"/>
      <c r="U73" s="46">
        <v>0</v>
      </c>
      <c r="V73" s="46">
        <v>0</v>
      </c>
      <c r="W73" s="45"/>
      <c r="X73" s="45"/>
      <c r="Y73" s="45"/>
      <c r="Z73" s="45"/>
      <c r="AA73" s="45"/>
      <c r="AB73" s="45"/>
      <c r="AC73" s="45"/>
      <c r="AD73" s="45"/>
      <c r="AE73" s="45"/>
      <c r="AF73" s="45"/>
      <c r="AG73" s="45"/>
      <c r="AH73" s="45"/>
      <c r="AI73" s="45"/>
      <c r="AJ73" s="45"/>
      <c r="AK73" s="45"/>
      <c r="AL73" s="45"/>
      <c r="AM73" s="108">
        <f>621000000+600000000</f>
        <v>1221000000</v>
      </c>
      <c r="AN73" s="15"/>
      <c r="AO73" s="47"/>
      <c r="AP73" s="45"/>
      <c r="AQ73" s="45"/>
      <c r="AR73" s="27">
        <f t="shared" si="0"/>
        <v>1221000000</v>
      </c>
    </row>
    <row r="74" spans="1:45" s="29" customFormat="1" ht="63" customHeight="1" x14ac:dyDescent="0.25">
      <c r="A74" s="21"/>
      <c r="B74" s="36"/>
      <c r="C74" s="913"/>
      <c r="D74" s="942"/>
      <c r="E74" s="925"/>
      <c r="F74" s="925"/>
      <c r="G74" s="30"/>
      <c r="H74" s="723">
        <v>276</v>
      </c>
      <c r="I74" s="762" t="s">
        <v>115</v>
      </c>
      <c r="J74" s="25">
        <v>1</v>
      </c>
      <c r="K74" s="25">
        <v>1</v>
      </c>
      <c r="L74" s="25">
        <v>0.6</v>
      </c>
      <c r="M74" s="1058"/>
      <c r="N74" s="959"/>
      <c r="O74" s="942"/>
      <c r="P74" s="767" t="s">
        <v>47</v>
      </c>
      <c r="Q74" s="45"/>
      <c r="R74" s="45"/>
      <c r="S74" s="45"/>
      <c r="T74" s="45"/>
      <c r="U74" s="11">
        <f>41200000-41200000</f>
        <v>0</v>
      </c>
      <c r="V74" s="45"/>
      <c r="W74" s="45"/>
      <c r="X74" s="45"/>
      <c r="Y74" s="45"/>
      <c r="Z74" s="45"/>
      <c r="AA74" s="45"/>
      <c r="AB74" s="45"/>
      <c r="AC74" s="45"/>
      <c r="AD74" s="45"/>
      <c r="AE74" s="45"/>
      <c r="AF74" s="45"/>
      <c r="AG74" s="45"/>
      <c r="AH74" s="45"/>
      <c r="AI74" s="45"/>
      <c r="AJ74" s="45"/>
      <c r="AK74" s="45"/>
      <c r="AL74" s="45"/>
      <c r="AM74" s="108">
        <f>3600000+146600000+110000000+4674563</f>
        <v>264874563</v>
      </c>
      <c r="AN74" s="15"/>
      <c r="AO74" s="45"/>
      <c r="AP74" s="45"/>
      <c r="AQ74" s="45"/>
      <c r="AR74" s="27">
        <f t="shared" si="0"/>
        <v>264874563</v>
      </c>
    </row>
    <row r="75" spans="1:45" s="49" customFormat="1" ht="63" customHeight="1" x14ac:dyDescent="0.25">
      <c r="A75" s="21"/>
      <c r="B75" s="36"/>
      <c r="C75" s="914"/>
      <c r="D75" s="943"/>
      <c r="E75" s="926"/>
      <c r="F75" s="926"/>
      <c r="G75" s="30"/>
      <c r="H75" s="723">
        <v>277</v>
      </c>
      <c r="I75" s="762" t="s">
        <v>116</v>
      </c>
      <c r="J75" s="25">
        <v>1</v>
      </c>
      <c r="K75" s="25">
        <v>1</v>
      </c>
      <c r="L75" s="44">
        <v>0.6</v>
      </c>
      <c r="M75" s="1059"/>
      <c r="N75" s="949"/>
      <c r="O75" s="943"/>
      <c r="P75" s="767" t="s">
        <v>47</v>
      </c>
      <c r="Q75" s="45"/>
      <c r="R75" s="45"/>
      <c r="S75" s="45"/>
      <c r="T75" s="45"/>
      <c r="U75" s="46">
        <f>41200000+35332521+3764149</f>
        <v>80296670</v>
      </c>
      <c r="V75" s="45"/>
      <c r="W75" s="45"/>
      <c r="X75" s="45"/>
      <c r="Y75" s="45"/>
      <c r="Z75" s="45"/>
      <c r="AA75" s="45"/>
      <c r="AB75" s="45"/>
      <c r="AC75" s="45"/>
      <c r="AD75" s="45"/>
      <c r="AE75" s="45"/>
      <c r="AF75" s="45"/>
      <c r="AG75" s="45"/>
      <c r="AH75" s="45"/>
      <c r="AI75" s="45"/>
      <c r="AJ75" s="45"/>
      <c r="AK75" s="45"/>
      <c r="AL75" s="48"/>
      <c r="AM75" s="108">
        <v>0</v>
      </c>
      <c r="AN75" s="15"/>
      <c r="AO75" s="27"/>
      <c r="AP75" s="11">
        <f>200000000+5733586+84641017</f>
        <v>290374603</v>
      </c>
      <c r="AQ75" s="11"/>
      <c r="AR75" s="27">
        <f t="shared" si="0"/>
        <v>370671273</v>
      </c>
    </row>
    <row r="76" spans="1:45" s="29" customFormat="1" ht="41.25" customHeight="1" x14ac:dyDescent="0.25">
      <c r="A76" s="21"/>
      <c r="B76" s="36"/>
      <c r="C76" s="912">
        <v>38</v>
      </c>
      <c r="D76" s="941" t="s">
        <v>48</v>
      </c>
      <c r="E76" s="924">
        <v>0</v>
      </c>
      <c r="F76" s="924">
        <v>2</v>
      </c>
      <c r="G76" s="30"/>
      <c r="H76" s="723">
        <v>278</v>
      </c>
      <c r="I76" s="762" t="s">
        <v>117</v>
      </c>
      <c r="J76" s="25" t="s">
        <v>38</v>
      </c>
      <c r="K76" s="25">
        <v>1</v>
      </c>
      <c r="L76" s="25">
        <v>0</v>
      </c>
      <c r="M76" s="1060" t="s">
        <v>39</v>
      </c>
      <c r="N76" s="948" t="s">
        <v>118</v>
      </c>
      <c r="O76" s="941" t="s">
        <v>119</v>
      </c>
      <c r="P76" s="767" t="s">
        <v>47</v>
      </c>
      <c r="Q76" s="27">
        <v>0</v>
      </c>
      <c r="R76" s="27">
        <v>0</v>
      </c>
      <c r="S76" s="27">
        <v>0</v>
      </c>
      <c r="T76" s="27">
        <v>0</v>
      </c>
      <c r="U76" s="27">
        <v>0</v>
      </c>
      <c r="V76" s="27">
        <v>0</v>
      </c>
      <c r="W76" s="27">
        <v>0</v>
      </c>
      <c r="X76" s="27"/>
      <c r="Y76" s="27"/>
      <c r="Z76" s="27"/>
      <c r="AA76" s="27">
        <v>0</v>
      </c>
      <c r="AB76" s="27"/>
      <c r="AC76" s="27">
        <v>0</v>
      </c>
      <c r="AD76" s="27">
        <v>0</v>
      </c>
      <c r="AE76" s="27"/>
      <c r="AF76" s="27"/>
      <c r="AG76" s="27"/>
      <c r="AH76" s="27"/>
      <c r="AI76" s="27"/>
      <c r="AJ76" s="27"/>
      <c r="AK76" s="27">
        <v>0</v>
      </c>
      <c r="AL76" s="27">
        <v>0</v>
      </c>
      <c r="AM76" s="108">
        <f>5700000+14300000+20000000</f>
        <v>40000000</v>
      </c>
      <c r="AN76" s="15"/>
      <c r="AO76" s="27">
        <v>0</v>
      </c>
      <c r="AP76" s="28">
        <v>0</v>
      </c>
      <c r="AQ76" s="28"/>
      <c r="AR76" s="27">
        <f t="shared" si="0"/>
        <v>40000000</v>
      </c>
    </row>
    <row r="77" spans="1:45" s="29" customFormat="1" ht="66.75" customHeight="1" x14ac:dyDescent="0.25">
      <c r="A77" s="21"/>
      <c r="B77" s="36"/>
      <c r="C77" s="914"/>
      <c r="D77" s="943"/>
      <c r="E77" s="926"/>
      <c r="F77" s="926"/>
      <c r="G77" s="32"/>
      <c r="H77" s="723">
        <v>279</v>
      </c>
      <c r="I77" s="762" t="s">
        <v>120</v>
      </c>
      <c r="J77" s="25" t="s">
        <v>38</v>
      </c>
      <c r="K77" s="25">
        <v>1</v>
      </c>
      <c r="L77" s="25">
        <v>0.6</v>
      </c>
      <c r="M77" s="1059"/>
      <c r="N77" s="949"/>
      <c r="O77" s="943"/>
      <c r="P77" s="767" t="s">
        <v>47</v>
      </c>
      <c r="Q77" s="27">
        <v>0</v>
      </c>
      <c r="R77" s="27">
        <v>0</v>
      </c>
      <c r="S77" s="27">
        <v>0</v>
      </c>
      <c r="T77" s="27">
        <v>0</v>
      </c>
      <c r="U77" s="27">
        <v>0</v>
      </c>
      <c r="V77" s="27"/>
      <c r="W77" s="27">
        <v>0</v>
      </c>
      <c r="X77" s="27"/>
      <c r="Y77" s="27"/>
      <c r="Z77" s="27"/>
      <c r="AA77" s="27">
        <v>0</v>
      </c>
      <c r="AB77" s="27"/>
      <c r="AC77" s="27">
        <v>0</v>
      </c>
      <c r="AD77" s="27">
        <v>0</v>
      </c>
      <c r="AE77" s="27"/>
      <c r="AF77" s="27"/>
      <c r="AG77" s="27"/>
      <c r="AH77" s="27"/>
      <c r="AI77" s="27"/>
      <c r="AJ77" s="27"/>
      <c r="AK77" s="27">
        <v>0</v>
      </c>
      <c r="AL77" s="27">
        <v>0</v>
      </c>
      <c r="AM77" s="108">
        <f>23100000+65700000+180000000+65388531</f>
        <v>334188531</v>
      </c>
      <c r="AN77" s="15"/>
      <c r="AO77" s="27"/>
      <c r="AP77" s="28">
        <v>0</v>
      </c>
      <c r="AQ77" s="28"/>
      <c r="AR77" s="27">
        <f t="shared" ref="AR77:AR140" si="38">Q77+R77+S77+T77+U77+V77+W77+X77+Y77+Z77+AA77+AB77+AC77+AD77+AE77+AF77+AG77+AH77+AI77+AJ77+AK77+AL77+AM77+AN77+AO77+AP77+AQ77</f>
        <v>334188531</v>
      </c>
    </row>
    <row r="78" spans="1:45" s="29" customFormat="1" ht="15" x14ac:dyDescent="0.25">
      <c r="A78" s="21"/>
      <c r="B78" s="240"/>
      <c r="C78" s="604"/>
      <c r="D78" s="247"/>
      <c r="E78" s="247"/>
      <c r="F78" s="247"/>
      <c r="G78" s="160"/>
      <c r="H78" s="161"/>
      <c r="I78" s="160"/>
      <c r="J78" s="162"/>
      <c r="K78" s="162"/>
      <c r="L78" s="162"/>
      <c r="M78" s="162"/>
      <c r="N78" s="163"/>
      <c r="O78" s="160"/>
      <c r="P78" s="161"/>
      <c r="Q78" s="164">
        <f t="shared" ref="Q78:AA78" si="39">SUM(Q73:Q77)</f>
        <v>0</v>
      </c>
      <c r="R78" s="164">
        <f t="shared" si="39"/>
        <v>0</v>
      </c>
      <c r="S78" s="164">
        <f t="shared" si="39"/>
        <v>0</v>
      </c>
      <c r="T78" s="164">
        <f t="shared" si="39"/>
        <v>0</v>
      </c>
      <c r="U78" s="164">
        <f t="shared" si="39"/>
        <v>80296670</v>
      </c>
      <c r="V78" s="164">
        <f t="shared" si="39"/>
        <v>0</v>
      </c>
      <c r="W78" s="164">
        <f t="shared" si="39"/>
        <v>0</v>
      </c>
      <c r="X78" s="164">
        <f t="shared" si="39"/>
        <v>0</v>
      </c>
      <c r="Y78" s="164">
        <f t="shared" si="39"/>
        <v>0</v>
      </c>
      <c r="Z78" s="164">
        <f t="shared" si="39"/>
        <v>0</v>
      </c>
      <c r="AA78" s="164">
        <f t="shared" si="39"/>
        <v>0</v>
      </c>
      <c r="AB78" s="164"/>
      <c r="AC78" s="164">
        <f>SUM(AC73:AC77)</f>
        <v>0</v>
      </c>
      <c r="AD78" s="164">
        <f>SUM(AD73:AD77)</f>
        <v>0</v>
      </c>
      <c r="AE78" s="164">
        <f>SUM(AE73:AE77)</f>
        <v>0</v>
      </c>
      <c r="AF78" s="164">
        <f>SUM(AF73:AF77)</f>
        <v>0</v>
      </c>
      <c r="AG78" s="164"/>
      <c r="AH78" s="164">
        <f t="shared" ref="AH78:AM78" si="40">SUM(AH73:AH77)</f>
        <v>0</v>
      </c>
      <c r="AI78" s="164">
        <f t="shared" si="40"/>
        <v>0</v>
      </c>
      <c r="AJ78" s="164">
        <f t="shared" si="40"/>
        <v>0</v>
      </c>
      <c r="AK78" s="164">
        <f t="shared" si="40"/>
        <v>0</v>
      </c>
      <c r="AL78" s="164">
        <f t="shared" si="40"/>
        <v>0</v>
      </c>
      <c r="AM78" s="248">
        <f t="shared" si="40"/>
        <v>1860063094</v>
      </c>
      <c r="AN78" s="249"/>
      <c r="AO78" s="164">
        <f>SUM(AO73:AO77)</f>
        <v>0</v>
      </c>
      <c r="AP78" s="164">
        <f>SUM(AP73:AP77)</f>
        <v>290374603</v>
      </c>
      <c r="AQ78" s="164">
        <f>SUM(AQ73:AQ77)</f>
        <v>0</v>
      </c>
      <c r="AR78" s="164">
        <f t="shared" si="38"/>
        <v>2230734367</v>
      </c>
    </row>
    <row r="79" spans="1:45" s="29" customFormat="1" ht="15" x14ac:dyDescent="0.25">
      <c r="A79" s="158"/>
      <c r="B79" s="227"/>
      <c r="C79" s="168"/>
      <c r="D79" s="167"/>
      <c r="E79" s="168"/>
      <c r="F79" s="168"/>
      <c r="G79" s="167"/>
      <c r="H79" s="168"/>
      <c r="I79" s="167"/>
      <c r="J79" s="169"/>
      <c r="K79" s="169"/>
      <c r="L79" s="169"/>
      <c r="M79" s="169"/>
      <c r="N79" s="170"/>
      <c r="O79" s="167"/>
      <c r="P79" s="168"/>
      <c r="Q79" s="171">
        <f t="shared" ref="Q79:T81" si="41">Q78</f>
        <v>0</v>
      </c>
      <c r="R79" s="171">
        <f t="shared" si="41"/>
        <v>0</v>
      </c>
      <c r="S79" s="171">
        <f t="shared" si="41"/>
        <v>0</v>
      </c>
      <c r="T79" s="171">
        <f t="shared" si="41"/>
        <v>0</v>
      </c>
      <c r="U79" s="171">
        <f t="shared" ref="U79:V81" si="42">U78</f>
        <v>80296670</v>
      </c>
      <c r="V79" s="171">
        <f t="shared" si="42"/>
        <v>0</v>
      </c>
      <c r="W79" s="171">
        <f t="shared" ref="W79:AA81" si="43">W78</f>
        <v>0</v>
      </c>
      <c r="X79" s="171">
        <f t="shared" si="43"/>
        <v>0</v>
      </c>
      <c r="Y79" s="171">
        <f t="shared" si="43"/>
        <v>0</v>
      </c>
      <c r="Z79" s="171">
        <f t="shared" si="43"/>
        <v>0</v>
      </c>
      <c r="AA79" s="171">
        <f t="shared" si="43"/>
        <v>0</v>
      </c>
      <c r="AB79" s="171"/>
      <c r="AC79" s="171">
        <f t="shared" ref="AC79:AF81" si="44">AC78</f>
        <v>0</v>
      </c>
      <c r="AD79" s="171">
        <f t="shared" si="44"/>
        <v>0</v>
      </c>
      <c r="AE79" s="171">
        <f t="shared" si="44"/>
        <v>0</v>
      </c>
      <c r="AF79" s="171">
        <f t="shared" si="44"/>
        <v>0</v>
      </c>
      <c r="AG79" s="171"/>
      <c r="AH79" s="171">
        <f t="shared" ref="AH79:AL81" si="45">AH78</f>
        <v>0</v>
      </c>
      <c r="AI79" s="171">
        <f t="shared" si="45"/>
        <v>0</v>
      </c>
      <c r="AJ79" s="171">
        <f t="shared" si="45"/>
        <v>0</v>
      </c>
      <c r="AK79" s="171">
        <f t="shared" si="45"/>
        <v>0</v>
      </c>
      <c r="AL79" s="171">
        <f t="shared" si="45"/>
        <v>0</v>
      </c>
      <c r="AM79" s="250">
        <f t="shared" ref="AM79:AM81" si="46">AM78</f>
        <v>1860063094</v>
      </c>
      <c r="AN79" s="251"/>
      <c r="AO79" s="171">
        <f t="shared" ref="AO79:AP81" si="47">AO78</f>
        <v>0</v>
      </c>
      <c r="AP79" s="171">
        <f t="shared" si="47"/>
        <v>290374603</v>
      </c>
      <c r="AQ79" s="171">
        <f t="shared" ref="AQ79" si="48">AQ78</f>
        <v>0</v>
      </c>
      <c r="AR79" s="171">
        <f t="shared" si="38"/>
        <v>2230734367</v>
      </c>
    </row>
    <row r="80" spans="1:45" s="29" customFormat="1" ht="15" x14ac:dyDescent="0.25">
      <c r="A80" s="172"/>
      <c r="B80" s="172"/>
      <c r="C80" s="173"/>
      <c r="D80" s="172"/>
      <c r="E80" s="173"/>
      <c r="F80" s="173"/>
      <c r="G80" s="172"/>
      <c r="H80" s="173"/>
      <c r="I80" s="172"/>
      <c r="J80" s="174"/>
      <c r="K80" s="174"/>
      <c r="L80" s="174"/>
      <c r="M80" s="174"/>
      <c r="N80" s="175"/>
      <c r="O80" s="172"/>
      <c r="P80" s="173"/>
      <c r="Q80" s="176">
        <f t="shared" si="41"/>
        <v>0</v>
      </c>
      <c r="R80" s="176">
        <f t="shared" si="41"/>
        <v>0</v>
      </c>
      <c r="S80" s="176">
        <f t="shared" si="41"/>
        <v>0</v>
      </c>
      <c r="T80" s="176">
        <f t="shared" si="41"/>
        <v>0</v>
      </c>
      <c r="U80" s="176">
        <f t="shared" si="42"/>
        <v>80296670</v>
      </c>
      <c r="V80" s="176">
        <f t="shared" si="42"/>
        <v>0</v>
      </c>
      <c r="W80" s="176">
        <f t="shared" si="43"/>
        <v>0</v>
      </c>
      <c r="X80" s="176">
        <f t="shared" si="43"/>
        <v>0</v>
      </c>
      <c r="Y80" s="176">
        <f t="shared" si="43"/>
        <v>0</v>
      </c>
      <c r="Z80" s="176">
        <f t="shared" si="43"/>
        <v>0</v>
      </c>
      <c r="AA80" s="176">
        <f t="shared" si="43"/>
        <v>0</v>
      </c>
      <c r="AB80" s="176"/>
      <c r="AC80" s="176">
        <f t="shared" si="44"/>
        <v>0</v>
      </c>
      <c r="AD80" s="176">
        <f t="shared" si="44"/>
        <v>0</v>
      </c>
      <c r="AE80" s="176">
        <f t="shared" si="44"/>
        <v>0</v>
      </c>
      <c r="AF80" s="176">
        <f t="shared" si="44"/>
        <v>0</v>
      </c>
      <c r="AG80" s="176"/>
      <c r="AH80" s="176">
        <f t="shared" si="45"/>
        <v>0</v>
      </c>
      <c r="AI80" s="176">
        <f t="shared" si="45"/>
        <v>0</v>
      </c>
      <c r="AJ80" s="176">
        <f t="shared" si="45"/>
        <v>0</v>
      </c>
      <c r="AK80" s="176">
        <f t="shared" si="45"/>
        <v>0</v>
      </c>
      <c r="AL80" s="176">
        <f t="shared" si="45"/>
        <v>0</v>
      </c>
      <c r="AM80" s="252">
        <f t="shared" si="46"/>
        <v>1860063094</v>
      </c>
      <c r="AN80" s="253"/>
      <c r="AO80" s="176">
        <f t="shared" si="47"/>
        <v>0</v>
      </c>
      <c r="AP80" s="176">
        <f t="shared" si="47"/>
        <v>290374603</v>
      </c>
      <c r="AQ80" s="176">
        <f t="shared" ref="AQ80" si="49">AQ79</f>
        <v>0</v>
      </c>
      <c r="AR80" s="176">
        <f t="shared" si="38"/>
        <v>2230734367</v>
      </c>
    </row>
    <row r="81" spans="1:44" s="29" customFormat="1" ht="15" x14ac:dyDescent="0.25">
      <c r="A81" s="177"/>
      <c r="B81" s="177"/>
      <c r="C81" s="178"/>
      <c r="D81" s="177"/>
      <c r="E81" s="178"/>
      <c r="F81" s="178"/>
      <c r="G81" s="177"/>
      <c r="H81" s="178"/>
      <c r="I81" s="177"/>
      <c r="J81" s="179"/>
      <c r="K81" s="179"/>
      <c r="L81" s="179"/>
      <c r="M81" s="179"/>
      <c r="N81" s="180"/>
      <c r="O81" s="177"/>
      <c r="P81" s="178"/>
      <c r="Q81" s="181">
        <f t="shared" si="41"/>
        <v>0</v>
      </c>
      <c r="R81" s="181">
        <f t="shared" si="41"/>
        <v>0</v>
      </c>
      <c r="S81" s="181">
        <f t="shared" si="41"/>
        <v>0</v>
      </c>
      <c r="T81" s="181">
        <f t="shared" si="41"/>
        <v>0</v>
      </c>
      <c r="U81" s="181">
        <f t="shared" si="42"/>
        <v>80296670</v>
      </c>
      <c r="V81" s="181">
        <f t="shared" si="42"/>
        <v>0</v>
      </c>
      <c r="W81" s="181">
        <f t="shared" si="43"/>
        <v>0</v>
      </c>
      <c r="X81" s="181">
        <f t="shared" si="43"/>
        <v>0</v>
      </c>
      <c r="Y81" s="181">
        <f t="shared" si="43"/>
        <v>0</v>
      </c>
      <c r="Z81" s="181">
        <f t="shared" si="43"/>
        <v>0</v>
      </c>
      <c r="AA81" s="181">
        <f t="shared" si="43"/>
        <v>0</v>
      </c>
      <c r="AB81" s="181"/>
      <c r="AC81" s="181">
        <f t="shared" si="44"/>
        <v>0</v>
      </c>
      <c r="AD81" s="181">
        <f t="shared" si="44"/>
        <v>0</v>
      </c>
      <c r="AE81" s="181">
        <f t="shared" si="44"/>
        <v>0</v>
      </c>
      <c r="AF81" s="181">
        <f t="shared" si="44"/>
        <v>0</v>
      </c>
      <c r="AG81" s="181"/>
      <c r="AH81" s="181">
        <f t="shared" si="45"/>
        <v>0</v>
      </c>
      <c r="AI81" s="181">
        <f t="shared" si="45"/>
        <v>0</v>
      </c>
      <c r="AJ81" s="181">
        <f t="shared" si="45"/>
        <v>0</v>
      </c>
      <c r="AK81" s="181">
        <f t="shared" si="45"/>
        <v>0</v>
      </c>
      <c r="AL81" s="181">
        <f t="shared" si="45"/>
        <v>0</v>
      </c>
      <c r="AM81" s="254">
        <f t="shared" si="46"/>
        <v>1860063094</v>
      </c>
      <c r="AN81" s="181"/>
      <c r="AO81" s="181">
        <f t="shared" si="47"/>
        <v>0</v>
      </c>
      <c r="AP81" s="181">
        <f t="shared" si="47"/>
        <v>290374603</v>
      </c>
      <c r="AQ81" s="181">
        <f t="shared" ref="AQ81" si="50">AQ80</f>
        <v>0</v>
      </c>
      <c r="AR81" s="181">
        <f t="shared" si="38"/>
        <v>2230734367</v>
      </c>
    </row>
    <row r="82" spans="1:44" s="29" customFormat="1" ht="15" x14ac:dyDescent="0.25">
      <c r="A82" s="182"/>
      <c r="B82" s="183"/>
      <c r="C82" s="760"/>
      <c r="D82" s="183"/>
      <c r="E82" s="760"/>
      <c r="F82" s="760"/>
      <c r="G82" s="183"/>
      <c r="H82" s="760"/>
      <c r="I82" s="183"/>
      <c r="J82" s="184"/>
      <c r="K82" s="184"/>
      <c r="L82" s="184"/>
      <c r="M82" s="184"/>
      <c r="N82" s="185"/>
      <c r="O82" s="183"/>
      <c r="P82" s="760"/>
      <c r="Q82" s="186"/>
      <c r="R82" s="186"/>
      <c r="S82" s="186"/>
      <c r="T82" s="186"/>
      <c r="U82" s="186"/>
      <c r="V82" s="186"/>
      <c r="W82" s="186"/>
      <c r="X82" s="186"/>
      <c r="Y82" s="186"/>
      <c r="Z82" s="186"/>
      <c r="AA82" s="186"/>
      <c r="AB82" s="186"/>
      <c r="AC82" s="186"/>
      <c r="AD82" s="186"/>
      <c r="AE82" s="187"/>
      <c r="AF82" s="187"/>
      <c r="AG82" s="187"/>
      <c r="AH82" s="187"/>
      <c r="AI82" s="187"/>
      <c r="AJ82" s="187"/>
      <c r="AK82" s="186"/>
      <c r="AL82" s="186"/>
      <c r="AM82" s="188"/>
      <c r="AN82" s="189"/>
      <c r="AO82" s="186"/>
      <c r="AP82" s="186"/>
      <c r="AQ82" s="186"/>
      <c r="AR82" s="498">
        <f t="shared" si="38"/>
        <v>0</v>
      </c>
    </row>
    <row r="83" spans="1:44" s="29" customFormat="1" ht="20.25" x14ac:dyDescent="0.25">
      <c r="A83" s="135" t="s">
        <v>121</v>
      </c>
      <c r="B83" s="136"/>
      <c r="C83" s="137"/>
      <c r="D83" s="136"/>
      <c r="E83" s="136"/>
      <c r="F83" s="136"/>
      <c r="G83" s="136"/>
      <c r="H83" s="137"/>
      <c r="I83" s="136"/>
      <c r="J83" s="136"/>
      <c r="K83" s="136"/>
      <c r="L83" s="136"/>
      <c r="M83" s="136"/>
      <c r="N83" s="138"/>
      <c r="O83" s="136"/>
      <c r="P83" s="137"/>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9"/>
      <c r="AN83" s="140"/>
      <c r="AO83" s="136"/>
      <c r="AP83" s="136"/>
      <c r="AQ83" s="136"/>
      <c r="AR83" s="141"/>
    </row>
    <row r="84" spans="1:44" s="29" customFormat="1" x14ac:dyDescent="0.25">
      <c r="A84" s="826">
        <v>2</v>
      </c>
      <c r="B84" s="142" t="s">
        <v>122</v>
      </c>
      <c r="C84" s="143"/>
      <c r="D84" s="142"/>
      <c r="E84" s="142"/>
      <c r="F84" s="142"/>
      <c r="G84" s="142"/>
      <c r="H84" s="143"/>
      <c r="I84" s="142"/>
      <c r="J84" s="142"/>
      <c r="K84" s="142"/>
      <c r="L84" s="142"/>
      <c r="M84" s="142"/>
      <c r="N84" s="144"/>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5"/>
      <c r="AN84" s="142"/>
      <c r="AO84" s="142"/>
      <c r="AP84" s="142"/>
      <c r="AQ84" s="142"/>
      <c r="AR84" s="146"/>
    </row>
    <row r="85" spans="1:44" s="29" customFormat="1" x14ac:dyDescent="0.25">
      <c r="A85" s="827"/>
      <c r="B85" s="255">
        <v>4</v>
      </c>
      <c r="C85" s="148" t="s">
        <v>123</v>
      </c>
      <c r="D85" s="149"/>
      <c r="E85" s="149"/>
      <c r="F85" s="149"/>
      <c r="G85" s="149"/>
      <c r="H85" s="150"/>
      <c r="I85" s="149"/>
      <c r="J85" s="149"/>
      <c r="K85" s="149"/>
      <c r="L85" s="149"/>
      <c r="M85" s="149"/>
      <c r="N85" s="151"/>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52"/>
      <c r="AN85" s="149"/>
      <c r="AO85" s="149"/>
      <c r="AP85" s="149"/>
      <c r="AQ85" s="149"/>
      <c r="AR85" s="153"/>
    </row>
    <row r="86" spans="1:44" s="29" customFormat="1" x14ac:dyDescent="0.25">
      <c r="A86" s="20"/>
      <c r="B86" s="846"/>
      <c r="C86" s="244"/>
      <c r="D86" s="191"/>
      <c r="E86" s="191"/>
      <c r="F86" s="192"/>
      <c r="G86" s="193">
        <v>14</v>
      </c>
      <c r="H86" s="194" t="s">
        <v>124</v>
      </c>
      <c r="I86" s="194"/>
      <c r="J86" s="194"/>
      <c r="K86" s="194"/>
      <c r="L86" s="194"/>
      <c r="M86" s="194"/>
      <c r="N86" s="195"/>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6"/>
      <c r="AN86" s="194"/>
      <c r="AO86" s="194"/>
      <c r="AP86" s="194"/>
      <c r="AQ86" s="194"/>
      <c r="AR86" s="197"/>
    </row>
    <row r="87" spans="1:44" s="29" customFormat="1" ht="78" customHeight="1" x14ac:dyDescent="0.25">
      <c r="A87" s="20"/>
      <c r="B87" s="23"/>
      <c r="C87" s="924">
        <v>9</v>
      </c>
      <c r="D87" s="941" t="s">
        <v>125</v>
      </c>
      <c r="E87" s="924">
        <v>59</v>
      </c>
      <c r="F87" s="924">
        <v>87</v>
      </c>
      <c r="G87" s="30"/>
      <c r="H87" s="719">
        <v>54</v>
      </c>
      <c r="I87" s="762" t="s">
        <v>126</v>
      </c>
      <c r="J87" s="12">
        <v>129.85</v>
      </c>
      <c r="K87" s="12">
        <v>130</v>
      </c>
      <c r="L87" s="12">
        <v>90.7</v>
      </c>
      <c r="M87" s="1038" t="s">
        <v>127</v>
      </c>
      <c r="N87" s="948" t="s">
        <v>128</v>
      </c>
      <c r="O87" s="941" t="s">
        <v>129</v>
      </c>
      <c r="P87" s="767" t="s">
        <v>47</v>
      </c>
      <c r="Q87" s="27"/>
      <c r="R87" s="27"/>
      <c r="S87" s="27"/>
      <c r="T87" s="27"/>
      <c r="U87" s="27"/>
      <c r="V87" s="11">
        <f>231688727+84415766+43300000</f>
        <v>359404493</v>
      </c>
      <c r="W87" s="27"/>
      <c r="X87" s="27"/>
      <c r="Y87" s="27"/>
      <c r="Z87" s="27"/>
      <c r="AA87" s="27"/>
      <c r="AB87" s="27"/>
      <c r="AC87" s="27"/>
      <c r="AD87" s="27"/>
      <c r="AE87" s="27"/>
      <c r="AF87" s="27"/>
      <c r="AG87" s="27"/>
      <c r="AH87" s="27"/>
      <c r="AI87" s="27"/>
      <c r="AJ87" s="27"/>
      <c r="AK87" s="27"/>
      <c r="AL87" s="27"/>
      <c r="AM87" s="108">
        <f>73825000+206700000+85203578</f>
        <v>365728578</v>
      </c>
      <c r="AN87" s="40"/>
      <c r="AO87" s="27"/>
      <c r="AP87" s="28"/>
      <c r="AQ87" s="28"/>
      <c r="AR87" s="27">
        <f t="shared" si="38"/>
        <v>725133071</v>
      </c>
    </row>
    <row r="88" spans="1:44" s="29" customFormat="1" ht="61.5" customHeight="1" x14ac:dyDescent="0.25">
      <c r="A88" s="20"/>
      <c r="B88" s="23"/>
      <c r="C88" s="925"/>
      <c r="D88" s="942"/>
      <c r="E88" s="925"/>
      <c r="F88" s="925"/>
      <c r="G88" s="30"/>
      <c r="H88" s="767">
        <v>55</v>
      </c>
      <c r="I88" s="762" t="s">
        <v>130</v>
      </c>
      <c r="J88" s="12">
        <v>12</v>
      </c>
      <c r="K88" s="12">
        <v>12</v>
      </c>
      <c r="L88" s="12">
        <v>11</v>
      </c>
      <c r="M88" s="1039"/>
      <c r="N88" s="959"/>
      <c r="O88" s="942"/>
      <c r="P88" s="767" t="s">
        <v>47</v>
      </c>
      <c r="Q88" s="27"/>
      <c r="R88" s="27"/>
      <c r="S88" s="27"/>
      <c r="T88" s="27"/>
      <c r="U88" s="27"/>
      <c r="V88" s="11">
        <f>261000000+750000</f>
        <v>261750000</v>
      </c>
      <c r="W88" s="27"/>
      <c r="X88" s="27"/>
      <c r="Y88" s="27"/>
      <c r="Z88" s="27"/>
      <c r="AA88" s="27"/>
      <c r="AB88" s="27"/>
      <c r="AC88" s="27"/>
      <c r="AD88" s="27"/>
      <c r="AE88" s="27"/>
      <c r="AF88" s="27"/>
      <c r="AG88" s="27"/>
      <c r="AH88" s="27"/>
      <c r="AI88" s="27"/>
      <c r="AJ88" s="27"/>
      <c r="AK88" s="27"/>
      <c r="AL88" s="27"/>
      <c r="AM88" s="108">
        <f>169475000+25197500</f>
        <v>194672500</v>
      </c>
      <c r="AN88" s="40"/>
      <c r="AO88" s="27"/>
      <c r="AP88" s="28"/>
      <c r="AQ88" s="28"/>
      <c r="AR88" s="27">
        <f t="shared" si="38"/>
        <v>456422500</v>
      </c>
    </row>
    <row r="89" spans="1:44" s="29" customFormat="1" ht="99.75" x14ac:dyDescent="0.25">
      <c r="A89" s="20"/>
      <c r="B89" s="23"/>
      <c r="C89" s="926"/>
      <c r="D89" s="943"/>
      <c r="E89" s="926"/>
      <c r="F89" s="926"/>
      <c r="G89" s="32"/>
      <c r="H89" s="767">
        <v>56</v>
      </c>
      <c r="I89" s="762" t="s">
        <v>131</v>
      </c>
      <c r="J89" s="12">
        <v>9</v>
      </c>
      <c r="K89" s="12">
        <v>6</v>
      </c>
      <c r="L89" s="12">
        <v>5</v>
      </c>
      <c r="M89" s="1040"/>
      <c r="N89" s="949"/>
      <c r="O89" s="943"/>
      <c r="P89" s="767" t="s">
        <v>42</v>
      </c>
      <c r="Q89" s="27">
        <v>0</v>
      </c>
      <c r="R89" s="27">
        <v>0</v>
      </c>
      <c r="S89" s="27">
        <v>0</v>
      </c>
      <c r="T89" s="27">
        <v>0</v>
      </c>
      <c r="U89" s="27">
        <v>0</v>
      </c>
      <c r="V89" s="11">
        <f>129300000-43300000</f>
        <v>86000000</v>
      </c>
      <c r="W89" s="27">
        <v>0</v>
      </c>
      <c r="X89" s="27"/>
      <c r="Y89" s="27"/>
      <c r="Z89" s="27"/>
      <c r="AA89" s="27">
        <v>0</v>
      </c>
      <c r="AB89" s="27"/>
      <c r="AC89" s="27">
        <v>0</v>
      </c>
      <c r="AD89" s="27">
        <v>0</v>
      </c>
      <c r="AE89" s="27"/>
      <c r="AF89" s="27"/>
      <c r="AG89" s="27"/>
      <c r="AH89" s="27"/>
      <c r="AI89" s="27"/>
      <c r="AJ89" s="27"/>
      <c r="AK89" s="27">
        <v>0</v>
      </c>
      <c r="AL89" s="27">
        <v>0</v>
      </c>
      <c r="AM89" s="108">
        <f>206700000-206700000</f>
        <v>0</v>
      </c>
      <c r="AN89" s="40"/>
      <c r="AO89" s="27">
        <v>0</v>
      </c>
      <c r="AP89" s="28">
        <v>0</v>
      </c>
      <c r="AQ89" s="28"/>
      <c r="AR89" s="27">
        <f t="shared" si="38"/>
        <v>86000000</v>
      </c>
    </row>
    <row r="90" spans="1:44" s="29" customFormat="1" ht="15" x14ac:dyDescent="0.25">
      <c r="A90" s="20"/>
      <c r="B90" s="23"/>
      <c r="C90" s="767"/>
      <c r="D90" s="762"/>
      <c r="E90" s="767"/>
      <c r="F90" s="767"/>
      <c r="G90" s="160"/>
      <c r="H90" s="161"/>
      <c r="I90" s="160"/>
      <c r="J90" s="256"/>
      <c r="K90" s="256"/>
      <c r="L90" s="256"/>
      <c r="M90" s="256"/>
      <c r="N90" s="163"/>
      <c r="O90" s="160"/>
      <c r="P90" s="161"/>
      <c r="Q90" s="164">
        <f t="shared" ref="Q90:AO90" si="51">SUM(Q87:Q89)</f>
        <v>0</v>
      </c>
      <c r="R90" s="164">
        <f t="shared" si="51"/>
        <v>0</v>
      </c>
      <c r="S90" s="164">
        <f t="shared" si="51"/>
        <v>0</v>
      </c>
      <c r="T90" s="164">
        <f t="shared" si="51"/>
        <v>0</v>
      </c>
      <c r="U90" s="164">
        <f t="shared" si="51"/>
        <v>0</v>
      </c>
      <c r="V90" s="164">
        <f t="shared" si="51"/>
        <v>707154493</v>
      </c>
      <c r="W90" s="164">
        <f t="shared" si="51"/>
        <v>0</v>
      </c>
      <c r="X90" s="164">
        <f t="shared" si="51"/>
        <v>0</v>
      </c>
      <c r="Y90" s="164">
        <f t="shared" si="51"/>
        <v>0</v>
      </c>
      <c r="Z90" s="164">
        <f t="shared" si="51"/>
        <v>0</v>
      </c>
      <c r="AA90" s="164">
        <f t="shared" si="51"/>
        <v>0</v>
      </c>
      <c r="AB90" s="164">
        <f t="shared" si="51"/>
        <v>0</v>
      </c>
      <c r="AC90" s="164">
        <f t="shared" si="51"/>
        <v>0</v>
      </c>
      <c r="AD90" s="164">
        <f t="shared" si="51"/>
        <v>0</v>
      </c>
      <c r="AE90" s="164">
        <f t="shared" si="51"/>
        <v>0</v>
      </c>
      <c r="AF90" s="164">
        <f t="shared" si="51"/>
        <v>0</v>
      </c>
      <c r="AG90" s="164">
        <f t="shared" si="51"/>
        <v>0</v>
      </c>
      <c r="AH90" s="164">
        <f t="shared" si="51"/>
        <v>0</v>
      </c>
      <c r="AI90" s="164">
        <f t="shared" si="51"/>
        <v>0</v>
      </c>
      <c r="AJ90" s="164">
        <f t="shared" si="51"/>
        <v>0</v>
      </c>
      <c r="AK90" s="164">
        <f t="shared" si="51"/>
        <v>0</v>
      </c>
      <c r="AL90" s="164">
        <f t="shared" si="51"/>
        <v>0</v>
      </c>
      <c r="AM90" s="164">
        <f t="shared" si="51"/>
        <v>560401078</v>
      </c>
      <c r="AN90" s="164">
        <f t="shared" si="51"/>
        <v>0</v>
      </c>
      <c r="AO90" s="164">
        <f t="shared" si="51"/>
        <v>0</v>
      </c>
      <c r="AP90" s="164">
        <f t="shared" ref="AP90" si="52">SUM(AP87:AP89)</f>
        <v>0</v>
      </c>
      <c r="AQ90" s="164">
        <f t="shared" ref="AQ90" si="53">SUM(AQ87:AQ89)</f>
        <v>0</v>
      </c>
      <c r="AR90" s="164">
        <f t="shared" si="38"/>
        <v>1267555571</v>
      </c>
    </row>
    <row r="91" spans="1:44" s="29" customFormat="1" ht="15" x14ac:dyDescent="0.25">
      <c r="A91" s="20"/>
      <c r="B91" s="23"/>
      <c r="C91" s="767"/>
      <c r="D91" s="762"/>
      <c r="E91" s="767"/>
      <c r="F91" s="767"/>
      <c r="G91" s="762"/>
      <c r="H91" s="767"/>
      <c r="I91" s="762"/>
      <c r="J91" s="12"/>
      <c r="K91" s="12"/>
      <c r="L91" s="12"/>
      <c r="M91" s="12"/>
      <c r="N91" s="39"/>
      <c r="O91" s="762"/>
      <c r="P91" s="767"/>
      <c r="Q91" s="27"/>
      <c r="R91" s="27"/>
      <c r="S91" s="27"/>
      <c r="T91" s="27"/>
      <c r="U91" s="27"/>
      <c r="V91" s="27"/>
      <c r="W91" s="27"/>
      <c r="X91" s="27"/>
      <c r="Y91" s="27"/>
      <c r="Z91" s="27"/>
      <c r="AA91" s="27"/>
      <c r="AB91" s="27"/>
      <c r="AC91" s="27"/>
      <c r="AD91" s="27"/>
      <c r="AE91" s="257"/>
      <c r="AF91" s="257"/>
      <c r="AG91" s="257"/>
      <c r="AH91" s="257"/>
      <c r="AI91" s="257"/>
      <c r="AJ91" s="257"/>
      <c r="AK91" s="27"/>
      <c r="AL91" s="27"/>
      <c r="AM91" s="108"/>
      <c r="AN91" s="40"/>
      <c r="AO91" s="27"/>
      <c r="AP91" s="28"/>
      <c r="AQ91" s="28"/>
      <c r="AR91" s="27">
        <f t="shared" si="38"/>
        <v>0</v>
      </c>
    </row>
    <row r="92" spans="1:44" s="29" customFormat="1" x14ac:dyDescent="0.25">
      <c r="A92" s="20"/>
      <c r="B92" s="23"/>
      <c r="C92" s="258"/>
      <c r="D92" s="259"/>
      <c r="E92" s="259"/>
      <c r="F92" s="260"/>
      <c r="G92" s="261">
        <v>15</v>
      </c>
      <c r="H92" s="756" t="s">
        <v>132</v>
      </c>
      <c r="I92" s="194"/>
      <c r="J92" s="194"/>
      <c r="K92" s="194"/>
      <c r="L92" s="194"/>
      <c r="M92" s="194"/>
      <c r="N92" s="195"/>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6"/>
      <c r="AN92" s="194"/>
      <c r="AO92" s="194"/>
      <c r="AP92" s="194"/>
      <c r="AQ92" s="194"/>
      <c r="AR92" s="197">
        <f t="shared" si="38"/>
        <v>0</v>
      </c>
    </row>
    <row r="93" spans="1:44" s="29" customFormat="1" ht="69.75" customHeight="1" x14ac:dyDescent="0.25">
      <c r="A93" s="20"/>
      <c r="B93" s="23"/>
      <c r="C93" s="924">
        <v>7</v>
      </c>
      <c r="D93" s="941" t="s">
        <v>133</v>
      </c>
      <c r="E93" s="1016">
        <v>0.317</v>
      </c>
      <c r="F93" s="1068">
        <v>0.27</v>
      </c>
      <c r="G93" s="30"/>
      <c r="H93" s="719">
        <v>57</v>
      </c>
      <c r="I93" s="762" t="s">
        <v>134</v>
      </c>
      <c r="J93" s="12">
        <v>103</v>
      </c>
      <c r="K93" s="22">
        <v>12</v>
      </c>
      <c r="L93" s="22">
        <v>7</v>
      </c>
      <c r="M93" s="1038" t="s">
        <v>135</v>
      </c>
      <c r="N93" s="948" t="s">
        <v>136</v>
      </c>
      <c r="O93" s="941" t="s">
        <v>137</v>
      </c>
      <c r="P93" s="767" t="s">
        <v>42</v>
      </c>
      <c r="Q93" s="27"/>
      <c r="R93" s="27"/>
      <c r="S93" s="772">
        <f>4489900000+2081927185+53707500</f>
        <v>6625534685</v>
      </c>
      <c r="T93" s="27"/>
      <c r="U93" s="27"/>
      <c r="V93" s="27"/>
      <c r="W93" s="27"/>
      <c r="X93" s="27"/>
      <c r="Y93" s="27"/>
      <c r="Z93" s="27"/>
      <c r="AA93" s="27"/>
      <c r="AB93" s="27"/>
      <c r="AC93" s="27"/>
      <c r="AD93" s="27"/>
      <c r="AE93" s="27"/>
      <c r="AF93" s="27"/>
      <c r="AG93" s="27"/>
      <c r="AH93" s="27"/>
      <c r="AI93" s="27"/>
      <c r="AJ93" s="27"/>
      <c r="AK93" s="27"/>
      <c r="AL93" s="27"/>
      <c r="AM93" s="108">
        <v>8450000</v>
      </c>
      <c r="AN93" s="40"/>
      <c r="AO93" s="27">
        <v>0</v>
      </c>
      <c r="AP93" s="50"/>
      <c r="AQ93" s="50"/>
      <c r="AR93" s="27">
        <f t="shared" si="38"/>
        <v>6633984685</v>
      </c>
    </row>
    <row r="94" spans="1:44" s="29" customFormat="1" ht="63.75" customHeight="1" x14ac:dyDescent="0.25">
      <c r="A94" s="20"/>
      <c r="B94" s="23"/>
      <c r="C94" s="925"/>
      <c r="D94" s="942"/>
      <c r="E94" s="1067"/>
      <c r="F94" s="982"/>
      <c r="G94" s="30"/>
      <c r="H94" s="719">
        <v>58</v>
      </c>
      <c r="I94" s="762" t="s">
        <v>138</v>
      </c>
      <c r="J94" s="12">
        <v>6</v>
      </c>
      <c r="K94" s="22">
        <v>1</v>
      </c>
      <c r="L94" s="22">
        <v>0</v>
      </c>
      <c r="M94" s="1039"/>
      <c r="N94" s="959"/>
      <c r="O94" s="942"/>
      <c r="P94" s="767" t="s">
        <v>42</v>
      </c>
      <c r="Q94" s="27">
        <v>0</v>
      </c>
      <c r="R94" s="27">
        <v>0</v>
      </c>
      <c r="S94" s="11"/>
      <c r="T94" s="27">
        <v>0</v>
      </c>
      <c r="U94" s="27">
        <v>0</v>
      </c>
      <c r="V94" s="27">
        <v>0</v>
      </c>
      <c r="W94" s="27">
        <v>0</v>
      </c>
      <c r="X94" s="27"/>
      <c r="Y94" s="27"/>
      <c r="Z94" s="27"/>
      <c r="AA94" s="27">
        <v>0</v>
      </c>
      <c r="AB94" s="27"/>
      <c r="AC94" s="27">
        <v>0</v>
      </c>
      <c r="AD94" s="27">
        <v>0</v>
      </c>
      <c r="AE94" s="27"/>
      <c r="AF94" s="27"/>
      <c r="AG94" s="27"/>
      <c r="AH94" s="27"/>
      <c r="AI94" s="27"/>
      <c r="AJ94" s="27"/>
      <c r="AK94" s="27">
        <v>0</v>
      </c>
      <c r="AL94" s="27">
        <v>0</v>
      </c>
      <c r="AM94" s="108">
        <v>50000000</v>
      </c>
      <c r="AN94" s="40"/>
      <c r="AO94" s="27">
        <v>0</v>
      </c>
      <c r="AP94" s="28">
        <v>0</v>
      </c>
      <c r="AQ94" s="28"/>
      <c r="AR94" s="27">
        <f t="shared" si="38"/>
        <v>50000000</v>
      </c>
    </row>
    <row r="95" spans="1:44" s="29" customFormat="1" ht="80.25" customHeight="1" x14ac:dyDescent="0.25">
      <c r="A95" s="20"/>
      <c r="B95" s="23"/>
      <c r="C95" s="925"/>
      <c r="D95" s="942"/>
      <c r="E95" s="1067"/>
      <c r="F95" s="982"/>
      <c r="G95" s="30"/>
      <c r="H95" s="719">
        <v>59</v>
      </c>
      <c r="I95" s="762" t="s">
        <v>139</v>
      </c>
      <c r="J95" s="12">
        <v>82</v>
      </c>
      <c r="K95" s="22">
        <v>12</v>
      </c>
      <c r="L95" s="22">
        <v>9</v>
      </c>
      <c r="M95" s="1039"/>
      <c r="N95" s="959"/>
      <c r="O95" s="942"/>
      <c r="P95" s="767" t="s">
        <v>42</v>
      </c>
      <c r="Q95" s="27">
        <v>0</v>
      </c>
      <c r="R95" s="27">
        <v>0</v>
      </c>
      <c r="S95" s="11">
        <f>1000000000+1108433783-103333783+523000000+37237096</f>
        <v>2565337096</v>
      </c>
      <c r="T95" s="27">
        <v>0</v>
      </c>
      <c r="U95" s="27">
        <v>0</v>
      </c>
      <c r="V95" s="27">
        <v>0</v>
      </c>
      <c r="W95" s="27">
        <v>0</v>
      </c>
      <c r="X95" s="27"/>
      <c r="Y95" s="27"/>
      <c r="Z95" s="27"/>
      <c r="AA95" s="27">
        <v>0</v>
      </c>
      <c r="AB95" s="27"/>
      <c r="AC95" s="27">
        <v>0</v>
      </c>
      <c r="AD95" s="27">
        <v>0</v>
      </c>
      <c r="AE95" s="27"/>
      <c r="AF95" s="27"/>
      <c r="AG95" s="27"/>
      <c r="AH95" s="27"/>
      <c r="AI95" s="27"/>
      <c r="AJ95" s="27"/>
      <c r="AK95" s="27">
        <v>0</v>
      </c>
      <c r="AL95" s="27">
        <v>0</v>
      </c>
      <c r="AM95" s="108">
        <v>0</v>
      </c>
      <c r="AN95" s="40"/>
      <c r="AO95" s="27">
        <v>0</v>
      </c>
      <c r="AP95" s="28">
        <v>0</v>
      </c>
      <c r="AQ95" s="28"/>
      <c r="AR95" s="27">
        <f t="shared" si="38"/>
        <v>2565337096</v>
      </c>
    </row>
    <row r="96" spans="1:44" s="29" customFormat="1" ht="117.75" customHeight="1" x14ac:dyDescent="0.25">
      <c r="A96" s="20"/>
      <c r="B96" s="23"/>
      <c r="C96" s="925"/>
      <c r="D96" s="942"/>
      <c r="E96" s="1067"/>
      <c r="F96" s="982"/>
      <c r="G96" s="30"/>
      <c r="H96" s="719">
        <v>60</v>
      </c>
      <c r="I96" s="762" t="s">
        <v>932</v>
      </c>
      <c r="J96" s="12">
        <v>9</v>
      </c>
      <c r="K96" s="22">
        <v>12</v>
      </c>
      <c r="L96" s="22">
        <v>0</v>
      </c>
      <c r="M96" s="1039"/>
      <c r="N96" s="959"/>
      <c r="O96" s="942"/>
      <c r="P96" s="767" t="s">
        <v>42</v>
      </c>
      <c r="Q96" s="27">
        <v>0</v>
      </c>
      <c r="R96" s="27">
        <v>0</v>
      </c>
      <c r="S96" s="11"/>
      <c r="T96" s="27">
        <v>0</v>
      </c>
      <c r="U96" s="27">
        <v>0</v>
      </c>
      <c r="V96" s="27">
        <v>0</v>
      </c>
      <c r="W96" s="27">
        <v>0</v>
      </c>
      <c r="X96" s="27"/>
      <c r="Y96" s="27"/>
      <c r="Z96" s="27"/>
      <c r="AA96" s="27">
        <v>0</v>
      </c>
      <c r="AB96" s="27"/>
      <c r="AC96" s="27">
        <v>0</v>
      </c>
      <c r="AD96" s="27">
        <v>0</v>
      </c>
      <c r="AE96" s="27"/>
      <c r="AF96" s="27"/>
      <c r="AG96" s="27"/>
      <c r="AH96" s="27"/>
      <c r="AI96" s="27"/>
      <c r="AJ96" s="27"/>
      <c r="AK96" s="27">
        <v>0</v>
      </c>
      <c r="AL96" s="27">
        <v>0</v>
      </c>
      <c r="AM96" s="108">
        <v>50000000</v>
      </c>
      <c r="AN96" s="40"/>
      <c r="AO96" s="27">
        <v>0</v>
      </c>
      <c r="AP96" s="28">
        <v>0</v>
      </c>
      <c r="AQ96" s="28"/>
      <c r="AR96" s="27">
        <f t="shared" si="38"/>
        <v>50000000</v>
      </c>
    </row>
    <row r="97" spans="1:44" s="29" customFormat="1" ht="84" customHeight="1" x14ac:dyDescent="0.25">
      <c r="A97" s="20"/>
      <c r="B97" s="23"/>
      <c r="C97" s="925"/>
      <c r="D97" s="942"/>
      <c r="E97" s="1067"/>
      <c r="F97" s="982"/>
      <c r="G97" s="30"/>
      <c r="H97" s="719">
        <v>61</v>
      </c>
      <c r="I97" s="762" t="s">
        <v>140</v>
      </c>
      <c r="J97" s="12">
        <v>2</v>
      </c>
      <c r="K97" s="22">
        <v>2</v>
      </c>
      <c r="L97" s="22">
        <v>1</v>
      </c>
      <c r="M97" s="1039"/>
      <c r="N97" s="959"/>
      <c r="O97" s="942"/>
      <c r="P97" s="767" t="s">
        <v>42</v>
      </c>
      <c r="Q97" s="27">
        <v>0</v>
      </c>
      <c r="R97" s="27">
        <v>0</v>
      </c>
      <c r="S97" s="128">
        <v>0</v>
      </c>
      <c r="T97" s="27">
        <v>0</v>
      </c>
      <c r="U97" s="27">
        <v>0</v>
      </c>
      <c r="V97" s="27">
        <v>0</v>
      </c>
      <c r="W97" s="27">
        <v>0</v>
      </c>
      <c r="X97" s="27"/>
      <c r="Y97" s="27"/>
      <c r="Z97" s="27"/>
      <c r="AA97" s="27">
        <v>0</v>
      </c>
      <c r="AB97" s="27"/>
      <c r="AC97" s="27">
        <v>0</v>
      </c>
      <c r="AD97" s="27">
        <v>0</v>
      </c>
      <c r="AE97" s="27"/>
      <c r="AF97" s="27"/>
      <c r="AG97" s="27"/>
      <c r="AH97" s="27"/>
      <c r="AI97" s="27"/>
      <c r="AJ97" s="27"/>
      <c r="AK97" s="27">
        <v>0</v>
      </c>
      <c r="AL97" s="27">
        <v>0</v>
      </c>
      <c r="AM97" s="108">
        <f>50000000+94300000+70000000</f>
        <v>214300000</v>
      </c>
      <c r="AN97" s="40"/>
      <c r="AO97" s="27">
        <v>0</v>
      </c>
      <c r="AP97" s="28">
        <v>128000000</v>
      </c>
      <c r="AQ97" s="28"/>
      <c r="AR97" s="27">
        <f t="shared" si="38"/>
        <v>342300000</v>
      </c>
    </row>
    <row r="98" spans="1:44" s="29" customFormat="1" ht="84" customHeight="1" x14ac:dyDescent="0.25">
      <c r="A98" s="20"/>
      <c r="B98" s="23"/>
      <c r="C98" s="925"/>
      <c r="D98" s="942"/>
      <c r="E98" s="1067"/>
      <c r="F98" s="982"/>
      <c r="G98" s="30"/>
      <c r="H98" s="719">
        <v>62</v>
      </c>
      <c r="I98" s="762" t="s">
        <v>141</v>
      </c>
      <c r="J98" s="12">
        <v>1</v>
      </c>
      <c r="K98" s="22">
        <v>2</v>
      </c>
      <c r="L98" s="22">
        <v>1</v>
      </c>
      <c r="M98" s="1039"/>
      <c r="N98" s="959"/>
      <c r="O98" s="942"/>
      <c r="P98" s="767" t="s">
        <v>47</v>
      </c>
      <c r="Q98" s="27">
        <v>0</v>
      </c>
      <c r="R98" s="27">
        <v>0</v>
      </c>
      <c r="S98" s="11"/>
      <c r="T98" s="27">
        <v>0</v>
      </c>
      <c r="U98" s="27">
        <v>0</v>
      </c>
      <c r="V98" s="27">
        <v>0</v>
      </c>
      <c r="W98" s="27">
        <v>0</v>
      </c>
      <c r="X98" s="27"/>
      <c r="Y98" s="27"/>
      <c r="Z98" s="27"/>
      <c r="AA98" s="27">
        <v>0</v>
      </c>
      <c r="AB98" s="27"/>
      <c r="AC98" s="27">
        <v>0</v>
      </c>
      <c r="AD98" s="27">
        <v>0</v>
      </c>
      <c r="AE98" s="27"/>
      <c r="AF98" s="27"/>
      <c r="AG98" s="27"/>
      <c r="AH98" s="27"/>
      <c r="AI98" s="27"/>
      <c r="AJ98" s="27"/>
      <c r="AK98" s="27">
        <v>0</v>
      </c>
      <c r="AL98" s="27">
        <v>0</v>
      </c>
      <c r="AM98" s="108">
        <v>205550000</v>
      </c>
      <c r="AN98" s="40"/>
      <c r="AO98" s="27">
        <v>0</v>
      </c>
      <c r="AP98" s="28">
        <v>0</v>
      </c>
      <c r="AQ98" s="28"/>
      <c r="AR98" s="27">
        <f t="shared" si="38"/>
        <v>205550000</v>
      </c>
    </row>
    <row r="99" spans="1:44" s="29" customFormat="1" ht="57" customHeight="1" x14ac:dyDescent="0.25">
      <c r="A99" s="20"/>
      <c r="B99" s="23"/>
      <c r="C99" s="925"/>
      <c r="D99" s="942"/>
      <c r="E99" s="1067"/>
      <c r="F99" s="982"/>
      <c r="G99" s="30"/>
      <c r="H99" s="719">
        <v>63</v>
      </c>
      <c r="I99" s="762" t="s">
        <v>142</v>
      </c>
      <c r="J99" s="12" t="s">
        <v>38</v>
      </c>
      <c r="K99" s="22">
        <v>250</v>
      </c>
      <c r="L99" s="22">
        <v>0</v>
      </c>
      <c r="M99" s="1039"/>
      <c r="N99" s="959"/>
      <c r="O99" s="942"/>
      <c r="P99" s="767" t="s">
        <v>42</v>
      </c>
      <c r="Q99" s="27"/>
      <c r="R99" s="27"/>
      <c r="S99" s="15"/>
      <c r="T99" s="27"/>
      <c r="U99" s="27"/>
      <c r="V99" s="27"/>
      <c r="W99" s="27"/>
      <c r="X99" s="27"/>
      <c r="Y99" s="27"/>
      <c r="Z99" s="27"/>
      <c r="AA99" s="27"/>
      <c r="AB99" s="27"/>
      <c r="AC99" s="27"/>
      <c r="AD99" s="27"/>
      <c r="AE99" s="27"/>
      <c r="AF99" s="27"/>
      <c r="AG99" s="27"/>
      <c r="AH99" s="27"/>
      <c r="AI99" s="27"/>
      <c r="AJ99" s="27"/>
      <c r="AK99" s="27"/>
      <c r="AL99" s="27"/>
      <c r="AM99" s="110">
        <v>400000000</v>
      </c>
      <c r="AN99" s="51"/>
      <c r="AO99" s="27"/>
      <c r="AP99" s="28"/>
      <c r="AQ99" s="28"/>
      <c r="AR99" s="27">
        <f t="shared" si="38"/>
        <v>400000000</v>
      </c>
    </row>
    <row r="100" spans="1:44" s="29" customFormat="1" ht="71.25" customHeight="1" x14ac:dyDescent="0.25">
      <c r="A100" s="20"/>
      <c r="B100" s="23"/>
      <c r="C100" s="926"/>
      <c r="D100" s="943"/>
      <c r="E100" s="1017"/>
      <c r="F100" s="983"/>
      <c r="G100" s="32"/>
      <c r="H100" s="723">
        <v>64</v>
      </c>
      <c r="I100" s="762" t="s">
        <v>143</v>
      </c>
      <c r="J100" s="12">
        <v>0</v>
      </c>
      <c r="K100" s="22">
        <v>1</v>
      </c>
      <c r="L100" s="100">
        <v>0</v>
      </c>
      <c r="M100" s="1040"/>
      <c r="N100" s="949"/>
      <c r="O100" s="943"/>
      <c r="P100" s="767" t="s">
        <v>144</v>
      </c>
      <c r="Q100" s="27">
        <v>0</v>
      </c>
      <c r="R100" s="27">
        <v>0</v>
      </c>
      <c r="S100" s="847">
        <v>0</v>
      </c>
      <c r="T100" s="27">
        <v>0</v>
      </c>
      <c r="U100" s="27">
        <v>0</v>
      </c>
      <c r="V100" s="27">
        <v>0</v>
      </c>
      <c r="W100" s="27">
        <v>0</v>
      </c>
      <c r="X100" s="27"/>
      <c r="Y100" s="27"/>
      <c r="Z100" s="27"/>
      <c r="AA100" s="27">
        <v>0</v>
      </c>
      <c r="AB100" s="27"/>
      <c r="AC100" s="27">
        <v>0</v>
      </c>
      <c r="AD100" s="27">
        <v>0</v>
      </c>
      <c r="AE100" s="27"/>
      <c r="AF100" s="27"/>
      <c r="AG100" s="27"/>
      <c r="AH100" s="27"/>
      <c r="AI100" s="27"/>
      <c r="AJ100" s="27"/>
      <c r="AK100" s="27">
        <v>0</v>
      </c>
      <c r="AL100" s="27">
        <v>0</v>
      </c>
      <c r="AM100" s="110">
        <v>30000000</v>
      </c>
      <c r="AN100" s="11"/>
      <c r="AO100" s="27">
        <v>0</v>
      </c>
      <c r="AP100" s="28">
        <v>0</v>
      </c>
      <c r="AQ100" s="28"/>
      <c r="AR100" s="27">
        <f t="shared" si="38"/>
        <v>30000000</v>
      </c>
    </row>
    <row r="101" spans="1:44" s="165" customFormat="1" ht="15" x14ac:dyDescent="0.25">
      <c r="A101" s="20"/>
      <c r="B101" s="166"/>
      <c r="C101" s="767"/>
      <c r="D101" s="762"/>
      <c r="E101" s="767"/>
      <c r="F101" s="767"/>
      <c r="G101" s="160"/>
      <c r="H101" s="161"/>
      <c r="I101" s="262"/>
      <c r="J101" s="256"/>
      <c r="K101" s="256"/>
      <c r="L101" s="256"/>
      <c r="M101" s="263"/>
      <c r="N101" s="163"/>
      <c r="O101" s="262"/>
      <c r="P101" s="161"/>
      <c r="Q101" s="164">
        <f>SUM(Q93:Q100)</f>
        <v>0</v>
      </c>
      <c r="R101" s="164">
        <f t="shared" ref="R101:AL101" si="54">SUM(R93:R100)</f>
        <v>0</v>
      </c>
      <c r="S101" s="164">
        <f t="shared" si="54"/>
        <v>9190871781</v>
      </c>
      <c r="T101" s="164">
        <f t="shared" si="54"/>
        <v>0</v>
      </c>
      <c r="U101" s="164">
        <f t="shared" si="54"/>
        <v>0</v>
      </c>
      <c r="V101" s="164">
        <f t="shared" si="54"/>
        <v>0</v>
      </c>
      <c r="W101" s="164">
        <f t="shared" si="54"/>
        <v>0</v>
      </c>
      <c r="X101" s="164">
        <f t="shared" si="54"/>
        <v>0</v>
      </c>
      <c r="Y101" s="164">
        <f t="shared" si="54"/>
        <v>0</v>
      </c>
      <c r="Z101" s="164">
        <f t="shared" si="54"/>
        <v>0</v>
      </c>
      <c r="AA101" s="164">
        <f t="shared" si="54"/>
        <v>0</v>
      </c>
      <c r="AB101" s="164">
        <f t="shared" si="54"/>
        <v>0</v>
      </c>
      <c r="AC101" s="164">
        <f t="shared" si="54"/>
        <v>0</v>
      </c>
      <c r="AD101" s="164">
        <f t="shared" si="54"/>
        <v>0</v>
      </c>
      <c r="AE101" s="164">
        <f t="shared" si="54"/>
        <v>0</v>
      </c>
      <c r="AF101" s="164">
        <f t="shared" si="54"/>
        <v>0</v>
      </c>
      <c r="AG101" s="164">
        <f t="shared" si="54"/>
        <v>0</v>
      </c>
      <c r="AH101" s="164">
        <f t="shared" si="54"/>
        <v>0</v>
      </c>
      <c r="AI101" s="164">
        <f t="shared" si="54"/>
        <v>0</v>
      </c>
      <c r="AJ101" s="164">
        <f t="shared" si="54"/>
        <v>0</v>
      </c>
      <c r="AK101" s="164">
        <f t="shared" si="54"/>
        <v>0</v>
      </c>
      <c r="AL101" s="164">
        <f t="shared" si="54"/>
        <v>0</v>
      </c>
      <c r="AM101" s="164">
        <f t="shared" ref="AM101:AP101" si="55">SUM(AM93:AM100)</f>
        <v>958300000</v>
      </c>
      <c r="AN101" s="164">
        <f t="shared" si="55"/>
        <v>0</v>
      </c>
      <c r="AO101" s="164">
        <f t="shared" si="55"/>
        <v>0</v>
      </c>
      <c r="AP101" s="164">
        <f t="shared" si="55"/>
        <v>128000000</v>
      </c>
      <c r="AQ101" s="164">
        <f t="shared" ref="AQ101" si="56">SUM(AQ93:AQ100)</f>
        <v>0</v>
      </c>
      <c r="AR101" s="164">
        <f t="shared" si="38"/>
        <v>10277171781</v>
      </c>
    </row>
    <row r="102" spans="1:44" s="165" customFormat="1" ht="15" x14ac:dyDescent="0.25">
      <c r="A102" s="329"/>
      <c r="B102" s="167"/>
      <c r="C102" s="168"/>
      <c r="D102" s="167"/>
      <c r="E102" s="168"/>
      <c r="F102" s="168"/>
      <c r="G102" s="167"/>
      <c r="H102" s="168"/>
      <c r="I102" s="167"/>
      <c r="J102" s="264"/>
      <c r="K102" s="264"/>
      <c r="L102" s="264"/>
      <c r="M102" s="264"/>
      <c r="N102" s="170"/>
      <c r="O102" s="167"/>
      <c r="P102" s="168"/>
      <c r="Q102" s="171">
        <f t="shared" ref="Q102:AL102" si="57">Q101+Q90</f>
        <v>0</v>
      </c>
      <c r="R102" s="171">
        <f t="shared" si="57"/>
        <v>0</v>
      </c>
      <c r="S102" s="171">
        <f t="shared" si="57"/>
        <v>9190871781</v>
      </c>
      <c r="T102" s="171">
        <f t="shared" si="57"/>
        <v>0</v>
      </c>
      <c r="U102" s="171">
        <f t="shared" si="57"/>
        <v>0</v>
      </c>
      <c r="V102" s="171">
        <f t="shared" si="57"/>
        <v>707154493</v>
      </c>
      <c r="W102" s="171">
        <f t="shared" si="57"/>
        <v>0</v>
      </c>
      <c r="X102" s="171">
        <f t="shared" si="57"/>
        <v>0</v>
      </c>
      <c r="Y102" s="171">
        <f t="shared" si="57"/>
        <v>0</v>
      </c>
      <c r="Z102" s="171">
        <f t="shared" si="57"/>
        <v>0</v>
      </c>
      <c r="AA102" s="171">
        <f t="shared" si="57"/>
        <v>0</v>
      </c>
      <c r="AB102" s="171">
        <f t="shared" si="57"/>
        <v>0</v>
      </c>
      <c r="AC102" s="171">
        <f t="shared" si="57"/>
        <v>0</v>
      </c>
      <c r="AD102" s="171">
        <f t="shared" si="57"/>
        <v>0</v>
      </c>
      <c r="AE102" s="171">
        <f t="shared" si="57"/>
        <v>0</v>
      </c>
      <c r="AF102" s="171">
        <f t="shared" si="57"/>
        <v>0</v>
      </c>
      <c r="AG102" s="171">
        <f t="shared" si="57"/>
        <v>0</v>
      </c>
      <c r="AH102" s="171">
        <f t="shared" si="57"/>
        <v>0</v>
      </c>
      <c r="AI102" s="171">
        <f t="shared" si="57"/>
        <v>0</v>
      </c>
      <c r="AJ102" s="171">
        <f t="shared" si="57"/>
        <v>0</v>
      </c>
      <c r="AK102" s="171">
        <f t="shared" si="57"/>
        <v>0</v>
      </c>
      <c r="AL102" s="171">
        <f t="shared" si="57"/>
        <v>0</v>
      </c>
      <c r="AM102" s="171">
        <f t="shared" ref="AM102:AP102" si="58">AM101+AM90</f>
        <v>1518701078</v>
      </c>
      <c r="AN102" s="171">
        <f t="shared" si="58"/>
        <v>0</v>
      </c>
      <c r="AO102" s="171">
        <f t="shared" si="58"/>
        <v>0</v>
      </c>
      <c r="AP102" s="171">
        <f t="shared" si="58"/>
        <v>128000000</v>
      </c>
      <c r="AQ102" s="171">
        <f t="shared" ref="AQ102" si="59">AQ101+AQ90</f>
        <v>0</v>
      </c>
      <c r="AR102" s="171">
        <f t="shared" si="38"/>
        <v>11544727352</v>
      </c>
    </row>
    <row r="103" spans="1:44" s="165" customFormat="1" ht="15" x14ac:dyDescent="0.25">
      <c r="A103" s="172"/>
      <c r="B103" s="172"/>
      <c r="C103" s="173"/>
      <c r="D103" s="172"/>
      <c r="E103" s="173"/>
      <c r="F103" s="173"/>
      <c r="G103" s="172"/>
      <c r="H103" s="173"/>
      <c r="I103" s="172"/>
      <c r="J103" s="266"/>
      <c r="K103" s="266"/>
      <c r="L103" s="266"/>
      <c r="M103" s="266"/>
      <c r="N103" s="175"/>
      <c r="O103" s="172"/>
      <c r="P103" s="173"/>
      <c r="Q103" s="176">
        <f t="shared" ref="Q103:AL103" si="60">Q102</f>
        <v>0</v>
      </c>
      <c r="R103" s="176">
        <f t="shared" si="60"/>
        <v>0</v>
      </c>
      <c r="S103" s="176">
        <f t="shared" si="60"/>
        <v>9190871781</v>
      </c>
      <c r="T103" s="176">
        <f t="shared" si="60"/>
        <v>0</v>
      </c>
      <c r="U103" s="176">
        <f t="shared" si="60"/>
        <v>0</v>
      </c>
      <c r="V103" s="176">
        <f t="shared" si="60"/>
        <v>707154493</v>
      </c>
      <c r="W103" s="176">
        <f t="shared" si="60"/>
        <v>0</v>
      </c>
      <c r="X103" s="176">
        <f t="shared" si="60"/>
        <v>0</v>
      </c>
      <c r="Y103" s="176">
        <f t="shared" si="60"/>
        <v>0</v>
      </c>
      <c r="Z103" s="176">
        <f t="shared" si="60"/>
        <v>0</v>
      </c>
      <c r="AA103" s="176">
        <f t="shared" si="60"/>
        <v>0</v>
      </c>
      <c r="AB103" s="176">
        <f t="shared" si="60"/>
        <v>0</v>
      </c>
      <c r="AC103" s="176">
        <f t="shared" si="60"/>
        <v>0</v>
      </c>
      <c r="AD103" s="176">
        <f t="shared" si="60"/>
        <v>0</v>
      </c>
      <c r="AE103" s="176">
        <f t="shared" si="60"/>
        <v>0</v>
      </c>
      <c r="AF103" s="176">
        <f t="shared" si="60"/>
        <v>0</v>
      </c>
      <c r="AG103" s="176">
        <f t="shared" si="60"/>
        <v>0</v>
      </c>
      <c r="AH103" s="176">
        <f t="shared" si="60"/>
        <v>0</v>
      </c>
      <c r="AI103" s="176">
        <f t="shared" si="60"/>
        <v>0</v>
      </c>
      <c r="AJ103" s="176">
        <f t="shared" si="60"/>
        <v>0</v>
      </c>
      <c r="AK103" s="176">
        <f t="shared" si="60"/>
        <v>0</v>
      </c>
      <c r="AL103" s="176">
        <f t="shared" si="60"/>
        <v>0</v>
      </c>
      <c r="AM103" s="176">
        <f t="shared" ref="AM103:AP103" si="61">AM102</f>
        <v>1518701078</v>
      </c>
      <c r="AN103" s="176">
        <f t="shared" si="61"/>
        <v>0</v>
      </c>
      <c r="AO103" s="176">
        <f t="shared" si="61"/>
        <v>0</v>
      </c>
      <c r="AP103" s="176">
        <f t="shared" si="61"/>
        <v>128000000</v>
      </c>
      <c r="AQ103" s="176">
        <f t="shared" ref="AQ103" si="62">AQ102</f>
        <v>0</v>
      </c>
      <c r="AR103" s="176">
        <f t="shared" si="38"/>
        <v>11544727352</v>
      </c>
    </row>
    <row r="104" spans="1:44" s="29" customFormat="1" ht="15" x14ac:dyDescent="0.25">
      <c r="A104" s="182"/>
      <c r="B104" s="183"/>
      <c r="C104" s="760"/>
      <c r="D104" s="183"/>
      <c r="E104" s="760"/>
      <c r="F104" s="760"/>
      <c r="G104" s="183"/>
      <c r="H104" s="760"/>
      <c r="I104" s="183"/>
      <c r="J104" s="267"/>
      <c r="K104" s="267"/>
      <c r="L104" s="267"/>
      <c r="M104" s="267"/>
      <c r="N104" s="185"/>
      <c r="O104" s="183"/>
      <c r="P104" s="760"/>
      <c r="Q104" s="186"/>
      <c r="R104" s="186"/>
      <c r="S104" s="186"/>
      <c r="T104" s="186"/>
      <c r="U104" s="186"/>
      <c r="V104" s="186"/>
      <c r="W104" s="186"/>
      <c r="X104" s="186"/>
      <c r="Y104" s="186"/>
      <c r="Z104" s="186"/>
      <c r="AA104" s="186"/>
      <c r="AB104" s="186"/>
      <c r="AC104" s="186"/>
      <c r="AD104" s="186"/>
      <c r="AE104" s="268"/>
      <c r="AF104" s="268"/>
      <c r="AG104" s="268"/>
      <c r="AH104" s="268"/>
      <c r="AI104" s="268"/>
      <c r="AJ104" s="268"/>
      <c r="AK104" s="103"/>
      <c r="AL104" s="186"/>
      <c r="AM104" s="188"/>
      <c r="AN104" s="189"/>
      <c r="AO104" s="186"/>
      <c r="AP104" s="186"/>
      <c r="AQ104" s="186"/>
      <c r="AR104" s="205">
        <f t="shared" si="38"/>
        <v>0</v>
      </c>
    </row>
    <row r="105" spans="1:44" s="29" customFormat="1" x14ac:dyDescent="0.25">
      <c r="A105" s="826">
        <v>1</v>
      </c>
      <c r="B105" s="142" t="s">
        <v>145</v>
      </c>
      <c r="C105" s="143"/>
      <c r="D105" s="142"/>
      <c r="E105" s="142"/>
      <c r="F105" s="142"/>
      <c r="G105" s="142"/>
      <c r="H105" s="143"/>
      <c r="I105" s="142"/>
      <c r="J105" s="142"/>
      <c r="K105" s="142"/>
      <c r="L105" s="142"/>
      <c r="M105" s="142"/>
      <c r="N105" s="144"/>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5"/>
      <c r="AN105" s="142"/>
      <c r="AO105" s="142"/>
      <c r="AP105" s="142"/>
      <c r="AQ105" s="142"/>
      <c r="AR105" s="146"/>
    </row>
    <row r="106" spans="1:44" s="29" customFormat="1" x14ac:dyDescent="0.25">
      <c r="A106" s="190"/>
      <c r="B106" s="269">
        <v>1</v>
      </c>
      <c r="C106" s="150" t="s">
        <v>146</v>
      </c>
      <c r="D106" s="149"/>
      <c r="E106" s="149"/>
      <c r="F106" s="149"/>
      <c r="G106" s="149"/>
      <c r="H106" s="150"/>
      <c r="I106" s="149"/>
      <c r="J106" s="149"/>
      <c r="K106" s="149"/>
      <c r="L106" s="149"/>
      <c r="M106" s="149"/>
      <c r="N106" s="151"/>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49"/>
      <c r="AL106" s="149"/>
      <c r="AM106" s="152"/>
      <c r="AN106" s="149"/>
      <c r="AO106" s="149"/>
      <c r="AP106" s="149"/>
      <c r="AQ106" s="149"/>
      <c r="AR106" s="153"/>
    </row>
    <row r="107" spans="1:44" s="29" customFormat="1" ht="15" x14ac:dyDescent="0.25">
      <c r="A107" s="21"/>
      <c r="B107" s="190"/>
      <c r="C107" s="244"/>
      <c r="D107" s="191"/>
      <c r="E107" s="191"/>
      <c r="F107" s="192"/>
      <c r="G107" s="193">
        <v>2</v>
      </c>
      <c r="H107" s="933" t="s">
        <v>147</v>
      </c>
      <c r="I107" s="933"/>
      <c r="J107" s="933"/>
      <c r="K107" s="933"/>
      <c r="L107" s="933"/>
      <c r="M107" s="933"/>
      <c r="N107" s="933"/>
      <c r="O107" s="933"/>
      <c r="P107" s="194"/>
      <c r="Q107" s="194"/>
      <c r="R107" s="194"/>
      <c r="S107" s="270"/>
      <c r="T107" s="270"/>
      <c r="U107" s="194"/>
      <c r="V107" s="194"/>
      <c r="W107" s="194"/>
      <c r="X107" s="194"/>
      <c r="Y107" s="194"/>
      <c r="Z107" s="194"/>
      <c r="AA107" s="194"/>
      <c r="AB107" s="194"/>
      <c r="AC107" s="194"/>
      <c r="AD107" s="194"/>
      <c r="AE107" s="194"/>
      <c r="AF107" s="194"/>
      <c r="AG107" s="194"/>
      <c r="AH107" s="194"/>
      <c r="AI107" s="194"/>
      <c r="AJ107" s="194"/>
      <c r="AK107" s="194"/>
      <c r="AL107" s="194"/>
      <c r="AM107" s="196"/>
      <c r="AN107" s="194"/>
      <c r="AO107" s="194"/>
      <c r="AP107" s="194"/>
      <c r="AQ107" s="194"/>
      <c r="AR107" s="197"/>
    </row>
    <row r="108" spans="1:44" s="29" customFormat="1" ht="100.5" customHeight="1" x14ac:dyDescent="0.25">
      <c r="A108" s="21"/>
      <c r="B108" s="21"/>
      <c r="C108" s="761">
        <v>3</v>
      </c>
      <c r="D108" s="762" t="s">
        <v>148</v>
      </c>
      <c r="E108" s="767" t="s">
        <v>149</v>
      </c>
      <c r="F108" s="767" t="s">
        <v>150</v>
      </c>
      <c r="G108" s="24"/>
      <c r="H108" s="718">
        <v>9</v>
      </c>
      <c r="I108" s="762" t="s">
        <v>151</v>
      </c>
      <c r="J108" s="12">
        <v>35</v>
      </c>
      <c r="K108" s="12">
        <v>6</v>
      </c>
      <c r="L108" s="12">
        <v>2</v>
      </c>
      <c r="M108" s="52" t="s">
        <v>152</v>
      </c>
      <c r="N108" s="31" t="s">
        <v>153</v>
      </c>
      <c r="O108" s="762" t="s">
        <v>154</v>
      </c>
      <c r="P108" s="767" t="s">
        <v>42</v>
      </c>
      <c r="Q108" s="27">
        <v>0</v>
      </c>
      <c r="R108" s="27">
        <v>0</v>
      </c>
      <c r="S108" s="34">
        <f>106758463+610000000</f>
        <v>716758463</v>
      </c>
      <c r="T108" s="27">
        <v>0</v>
      </c>
      <c r="U108" s="27">
        <v>0</v>
      </c>
      <c r="V108" s="27">
        <v>0</v>
      </c>
      <c r="W108" s="27">
        <v>0</v>
      </c>
      <c r="X108" s="27"/>
      <c r="Y108" s="27"/>
      <c r="Z108" s="27"/>
      <c r="AA108" s="27">
        <v>0</v>
      </c>
      <c r="AB108" s="27"/>
      <c r="AC108" s="27">
        <v>0</v>
      </c>
      <c r="AD108" s="27">
        <v>0</v>
      </c>
      <c r="AE108" s="27"/>
      <c r="AF108" s="27"/>
      <c r="AG108" s="27"/>
      <c r="AH108" s="27"/>
      <c r="AI108" s="27"/>
      <c r="AJ108" s="27"/>
      <c r="AK108" s="27">
        <v>0</v>
      </c>
      <c r="AL108" s="34">
        <f>110991608+3283223</f>
        <v>114274831</v>
      </c>
      <c r="AM108" s="109"/>
      <c r="AN108" s="34"/>
      <c r="AO108" s="27">
        <v>0</v>
      </c>
      <c r="AP108" s="28">
        <v>0</v>
      </c>
      <c r="AQ108" s="28"/>
      <c r="AR108" s="27">
        <f t="shared" si="38"/>
        <v>831033294</v>
      </c>
    </row>
    <row r="109" spans="1:44" s="29" customFormat="1" ht="108.75" customHeight="1" x14ac:dyDescent="0.25">
      <c r="A109" s="21"/>
      <c r="B109" s="21"/>
      <c r="C109" s="761">
        <v>3</v>
      </c>
      <c r="D109" s="762" t="s">
        <v>148</v>
      </c>
      <c r="E109" s="767" t="s">
        <v>149</v>
      </c>
      <c r="F109" s="767" t="s">
        <v>150</v>
      </c>
      <c r="G109" s="30"/>
      <c r="H109" s="719">
        <v>9</v>
      </c>
      <c r="I109" s="762" t="s">
        <v>151</v>
      </c>
      <c r="J109" s="12">
        <v>35</v>
      </c>
      <c r="K109" s="12">
        <v>6</v>
      </c>
      <c r="L109" s="12">
        <v>2</v>
      </c>
      <c r="M109" s="52" t="s">
        <v>152</v>
      </c>
      <c r="N109" s="31" t="s">
        <v>155</v>
      </c>
      <c r="O109" s="762" t="s">
        <v>156</v>
      </c>
      <c r="P109" s="767" t="s">
        <v>42</v>
      </c>
      <c r="Q109" s="27"/>
      <c r="R109" s="27"/>
      <c r="S109" s="27">
        <f>200000000-106758463</f>
        <v>93241537</v>
      </c>
      <c r="T109" s="27"/>
      <c r="U109" s="27"/>
      <c r="V109" s="27"/>
      <c r="W109" s="27"/>
      <c r="X109" s="27"/>
      <c r="Y109" s="27"/>
      <c r="Z109" s="27"/>
      <c r="AA109" s="27"/>
      <c r="AB109" s="27"/>
      <c r="AC109" s="27"/>
      <c r="AD109" s="27"/>
      <c r="AE109" s="27"/>
      <c r="AF109" s="27"/>
      <c r="AG109" s="27"/>
      <c r="AH109" s="27"/>
      <c r="AI109" s="27"/>
      <c r="AJ109" s="27"/>
      <c r="AK109" s="27">
        <v>0</v>
      </c>
      <c r="AL109" s="53">
        <f>535600000-57958463-25000000-25000000+106758463+112307933</f>
        <v>646707933</v>
      </c>
      <c r="AM109" s="110"/>
      <c r="AN109" s="11"/>
      <c r="AO109" s="27"/>
      <c r="AP109" s="28"/>
      <c r="AQ109" s="28"/>
      <c r="AR109" s="27">
        <f t="shared" si="38"/>
        <v>739949470</v>
      </c>
    </row>
    <row r="110" spans="1:44" s="29" customFormat="1" ht="119.25" customHeight="1" x14ac:dyDescent="0.25">
      <c r="A110" s="21"/>
      <c r="B110" s="21"/>
      <c r="C110" s="761">
        <v>3</v>
      </c>
      <c r="D110" s="762" t="s">
        <v>148</v>
      </c>
      <c r="E110" s="767" t="s">
        <v>149</v>
      </c>
      <c r="F110" s="767" t="s">
        <v>150</v>
      </c>
      <c r="G110" s="30"/>
      <c r="H110" s="767">
        <v>10</v>
      </c>
      <c r="I110" s="762" t="s">
        <v>157</v>
      </c>
      <c r="J110" s="54">
        <v>1</v>
      </c>
      <c r="K110" s="54">
        <v>5</v>
      </c>
      <c r="L110" s="54">
        <v>2</v>
      </c>
      <c r="M110" s="52" t="s">
        <v>152</v>
      </c>
      <c r="N110" s="31" t="s">
        <v>158</v>
      </c>
      <c r="O110" s="762" t="s">
        <v>159</v>
      </c>
      <c r="P110" s="767" t="s">
        <v>42</v>
      </c>
      <c r="Q110" s="27">
        <v>0</v>
      </c>
      <c r="R110" s="27">
        <v>0</v>
      </c>
      <c r="S110" s="27">
        <v>0</v>
      </c>
      <c r="T110" s="27">
        <v>0</v>
      </c>
      <c r="U110" s="27">
        <v>0</v>
      </c>
      <c r="V110" s="27">
        <v>0</v>
      </c>
      <c r="W110" s="27">
        <v>0</v>
      </c>
      <c r="X110" s="27"/>
      <c r="Y110" s="27"/>
      <c r="Z110" s="27"/>
      <c r="AA110" s="27">
        <v>0</v>
      </c>
      <c r="AB110" s="27"/>
      <c r="AC110" s="27">
        <v>0</v>
      </c>
      <c r="AD110" s="27">
        <v>0</v>
      </c>
      <c r="AE110" s="27"/>
      <c r="AF110" s="27"/>
      <c r="AG110" s="27"/>
      <c r="AH110" s="27"/>
      <c r="AI110" s="27"/>
      <c r="AJ110" s="27"/>
      <c r="AK110" s="27">
        <v>0</v>
      </c>
      <c r="AL110" s="53">
        <f>49300000+417417.74</f>
        <v>49717417.740000002</v>
      </c>
      <c r="AM110" s="108">
        <v>0</v>
      </c>
      <c r="AN110" s="40"/>
      <c r="AO110" s="27">
        <v>0</v>
      </c>
      <c r="AP110" s="28">
        <v>0</v>
      </c>
      <c r="AQ110" s="28"/>
      <c r="AR110" s="27">
        <f t="shared" si="38"/>
        <v>49717417.740000002</v>
      </c>
    </row>
    <row r="111" spans="1:44" s="49" customFormat="1" ht="81" customHeight="1" x14ac:dyDescent="0.25">
      <c r="A111" s="21"/>
      <c r="B111" s="21"/>
      <c r="C111" s="761">
        <v>3</v>
      </c>
      <c r="D111" s="762" t="s">
        <v>148</v>
      </c>
      <c r="E111" s="767" t="s">
        <v>149</v>
      </c>
      <c r="F111" s="767" t="s">
        <v>150</v>
      </c>
      <c r="G111" s="30"/>
      <c r="H111" s="767">
        <v>11</v>
      </c>
      <c r="I111" s="762" t="s">
        <v>160</v>
      </c>
      <c r="J111" s="12">
        <v>1</v>
      </c>
      <c r="K111" s="12">
        <v>1</v>
      </c>
      <c r="L111" s="12">
        <v>0</v>
      </c>
      <c r="M111" s="52" t="s">
        <v>152</v>
      </c>
      <c r="N111" s="31" t="s">
        <v>161</v>
      </c>
      <c r="O111" s="55" t="s">
        <v>162</v>
      </c>
      <c r="P111" s="767" t="s">
        <v>47</v>
      </c>
      <c r="Q111" s="27">
        <v>0</v>
      </c>
      <c r="R111" s="27">
        <v>0</v>
      </c>
      <c r="S111" s="27">
        <v>0</v>
      </c>
      <c r="T111" s="27">
        <v>0</v>
      </c>
      <c r="U111" s="27">
        <v>0</v>
      </c>
      <c r="V111" s="27">
        <v>0</v>
      </c>
      <c r="W111" s="27">
        <v>0</v>
      </c>
      <c r="X111" s="27"/>
      <c r="Y111" s="27"/>
      <c r="Z111" s="27"/>
      <c r="AA111" s="27">
        <v>0</v>
      </c>
      <c r="AB111" s="27"/>
      <c r="AC111" s="27">
        <v>0</v>
      </c>
      <c r="AD111" s="27">
        <v>0</v>
      </c>
      <c r="AE111" s="27"/>
      <c r="AF111" s="27"/>
      <c r="AG111" s="27"/>
      <c r="AH111" s="27"/>
      <c r="AI111" s="27"/>
      <c r="AJ111" s="27"/>
      <c r="AK111" s="27">
        <v>0</v>
      </c>
      <c r="AL111" s="53">
        <v>324800000</v>
      </c>
      <c r="AM111" s="108">
        <v>0</v>
      </c>
      <c r="AN111" s="40"/>
      <c r="AO111" s="27">
        <v>0</v>
      </c>
      <c r="AP111" s="28">
        <v>0</v>
      </c>
      <c r="AQ111" s="28"/>
      <c r="AR111" s="27">
        <f t="shared" si="38"/>
        <v>324800000</v>
      </c>
    </row>
    <row r="112" spans="1:44" s="29" customFormat="1" ht="114" customHeight="1" x14ac:dyDescent="0.25">
      <c r="A112" s="21"/>
      <c r="B112" s="21"/>
      <c r="C112" s="761">
        <v>3</v>
      </c>
      <c r="D112" s="762" t="s">
        <v>148</v>
      </c>
      <c r="E112" s="767" t="s">
        <v>149</v>
      </c>
      <c r="F112" s="767" t="s">
        <v>150</v>
      </c>
      <c r="G112" s="30"/>
      <c r="H112" s="767">
        <v>12</v>
      </c>
      <c r="I112" s="762" t="s">
        <v>163</v>
      </c>
      <c r="J112" s="12">
        <v>1</v>
      </c>
      <c r="K112" s="12">
        <v>3</v>
      </c>
      <c r="L112" s="12">
        <v>2</v>
      </c>
      <c r="M112" s="52" t="s">
        <v>152</v>
      </c>
      <c r="N112" s="31" t="s">
        <v>164</v>
      </c>
      <c r="O112" s="55" t="s">
        <v>165</v>
      </c>
      <c r="P112" s="767" t="s">
        <v>47</v>
      </c>
      <c r="Q112" s="27">
        <v>0</v>
      </c>
      <c r="R112" s="27">
        <v>0</v>
      </c>
      <c r="S112" s="27">
        <v>0</v>
      </c>
      <c r="T112" s="27">
        <v>0</v>
      </c>
      <c r="U112" s="27">
        <v>0</v>
      </c>
      <c r="V112" s="27">
        <v>0</v>
      </c>
      <c r="W112" s="27">
        <v>0</v>
      </c>
      <c r="X112" s="27"/>
      <c r="Y112" s="27"/>
      <c r="Z112" s="27"/>
      <c r="AA112" s="27">
        <v>0</v>
      </c>
      <c r="AB112" s="27"/>
      <c r="AC112" s="27">
        <v>0</v>
      </c>
      <c r="AD112" s="27">
        <v>0</v>
      </c>
      <c r="AE112" s="27"/>
      <c r="AF112" s="27"/>
      <c r="AG112" s="27"/>
      <c r="AH112" s="27"/>
      <c r="AI112" s="27"/>
      <c r="AJ112" s="27"/>
      <c r="AK112" s="27">
        <v>0</v>
      </c>
      <c r="AL112" s="53">
        <v>1032300000</v>
      </c>
      <c r="AM112" s="108">
        <v>0</v>
      </c>
      <c r="AN112" s="40"/>
      <c r="AO112" s="27">
        <v>0</v>
      </c>
      <c r="AP112" s="28">
        <v>0</v>
      </c>
      <c r="AQ112" s="28"/>
      <c r="AR112" s="27">
        <f t="shared" si="38"/>
        <v>1032300000</v>
      </c>
    </row>
    <row r="113" spans="1:44" s="29" customFormat="1" ht="104.25" customHeight="1" x14ac:dyDescent="0.25">
      <c r="A113" s="21"/>
      <c r="B113" s="21"/>
      <c r="C113" s="761">
        <v>3</v>
      </c>
      <c r="D113" s="762" t="s">
        <v>148</v>
      </c>
      <c r="E113" s="767" t="s">
        <v>149</v>
      </c>
      <c r="F113" s="767" t="s">
        <v>150</v>
      </c>
      <c r="G113" s="32"/>
      <c r="H113" s="767">
        <v>13</v>
      </c>
      <c r="I113" s="762" t="s">
        <v>166</v>
      </c>
      <c r="J113" s="12">
        <v>0</v>
      </c>
      <c r="K113" s="12">
        <v>2</v>
      </c>
      <c r="L113" s="12">
        <v>0</v>
      </c>
      <c r="M113" s="52" t="s">
        <v>152</v>
      </c>
      <c r="N113" s="31" t="s">
        <v>167</v>
      </c>
      <c r="O113" s="55" t="s">
        <v>168</v>
      </c>
      <c r="P113" s="767" t="s">
        <v>47</v>
      </c>
      <c r="Q113" s="27">
        <v>0</v>
      </c>
      <c r="R113" s="27">
        <v>0</v>
      </c>
      <c r="S113" s="27">
        <v>0</v>
      </c>
      <c r="T113" s="27">
        <v>0</v>
      </c>
      <c r="U113" s="27">
        <v>0</v>
      </c>
      <c r="V113" s="27">
        <v>0</v>
      </c>
      <c r="W113" s="27">
        <v>0</v>
      </c>
      <c r="X113" s="27"/>
      <c r="Y113" s="27"/>
      <c r="Z113" s="27"/>
      <c r="AA113" s="27">
        <v>0</v>
      </c>
      <c r="AB113" s="27"/>
      <c r="AC113" s="27">
        <v>0</v>
      </c>
      <c r="AD113" s="27">
        <v>0</v>
      </c>
      <c r="AE113" s="27"/>
      <c r="AF113" s="27"/>
      <c r="AG113" s="27"/>
      <c r="AH113" s="27"/>
      <c r="AI113" s="27"/>
      <c r="AJ113" s="27"/>
      <c r="AK113" s="27">
        <v>0</v>
      </c>
      <c r="AL113" s="53">
        <v>265000000</v>
      </c>
      <c r="AM113" s="108">
        <v>0</v>
      </c>
      <c r="AN113" s="40"/>
      <c r="AO113" s="27">
        <v>0</v>
      </c>
      <c r="AP113" s="28">
        <v>0</v>
      </c>
      <c r="AQ113" s="28"/>
      <c r="AR113" s="27">
        <f t="shared" si="38"/>
        <v>265000000</v>
      </c>
    </row>
    <row r="114" spans="1:44" s="29" customFormat="1" ht="15" x14ac:dyDescent="0.25">
      <c r="A114" s="21"/>
      <c r="B114" s="158"/>
      <c r="C114" s="761"/>
      <c r="D114" s="762"/>
      <c r="E114" s="767"/>
      <c r="F114" s="767"/>
      <c r="G114" s="271"/>
      <c r="H114" s="272"/>
      <c r="I114" s="271"/>
      <c r="J114" s="273"/>
      <c r="K114" s="273"/>
      <c r="L114" s="273"/>
      <c r="M114" s="273"/>
      <c r="N114" s="274"/>
      <c r="O114" s="275"/>
      <c r="P114" s="272"/>
      <c r="Q114" s="276">
        <f t="shared" ref="Q114:AL114" si="63">SUM(Q108:Q113)</f>
        <v>0</v>
      </c>
      <c r="R114" s="276">
        <f t="shared" si="63"/>
        <v>0</v>
      </c>
      <c r="S114" s="276">
        <f t="shared" si="63"/>
        <v>810000000</v>
      </c>
      <c r="T114" s="276">
        <f t="shared" si="63"/>
        <v>0</v>
      </c>
      <c r="U114" s="276">
        <f t="shared" si="63"/>
        <v>0</v>
      </c>
      <c r="V114" s="276">
        <f t="shared" si="63"/>
        <v>0</v>
      </c>
      <c r="W114" s="276">
        <f t="shared" si="63"/>
        <v>0</v>
      </c>
      <c r="X114" s="276">
        <f t="shared" si="63"/>
        <v>0</v>
      </c>
      <c r="Y114" s="276">
        <f t="shared" si="63"/>
        <v>0</v>
      </c>
      <c r="Z114" s="276">
        <f t="shared" si="63"/>
        <v>0</v>
      </c>
      <c r="AA114" s="276">
        <f t="shared" si="63"/>
        <v>0</v>
      </c>
      <c r="AB114" s="276">
        <f t="shared" si="63"/>
        <v>0</v>
      </c>
      <c r="AC114" s="276">
        <f t="shared" si="63"/>
        <v>0</v>
      </c>
      <c r="AD114" s="276">
        <f t="shared" si="63"/>
        <v>0</v>
      </c>
      <c r="AE114" s="276">
        <f t="shared" si="63"/>
        <v>0</v>
      </c>
      <c r="AF114" s="276">
        <f t="shared" si="63"/>
        <v>0</v>
      </c>
      <c r="AG114" s="276">
        <f t="shared" si="63"/>
        <v>0</v>
      </c>
      <c r="AH114" s="276">
        <f t="shared" si="63"/>
        <v>0</v>
      </c>
      <c r="AI114" s="276">
        <f t="shared" si="63"/>
        <v>0</v>
      </c>
      <c r="AJ114" s="276">
        <f t="shared" si="63"/>
        <v>0</v>
      </c>
      <c r="AK114" s="276">
        <f t="shared" si="63"/>
        <v>0</v>
      </c>
      <c r="AL114" s="276">
        <f t="shared" si="63"/>
        <v>2432800181.7399998</v>
      </c>
      <c r="AM114" s="276">
        <f t="shared" ref="AM114:AP114" si="64">SUM(AM108:AM113)</f>
        <v>0</v>
      </c>
      <c r="AN114" s="276">
        <f t="shared" si="64"/>
        <v>0</v>
      </c>
      <c r="AO114" s="276">
        <f t="shared" si="64"/>
        <v>0</v>
      </c>
      <c r="AP114" s="276">
        <f t="shared" si="64"/>
        <v>0</v>
      </c>
      <c r="AQ114" s="276">
        <f t="shared" ref="AQ114" si="65">SUM(AQ108:AQ113)</f>
        <v>0</v>
      </c>
      <c r="AR114" s="276">
        <f t="shared" si="38"/>
        <v>3242800181.7399998</v>
      </c>
    </row>
    <row r="115" spans="1:44" s="165" customFormat="1" ht="15" x14ac:dyDescent="0.25">
      <c r="A115" s="158"/>
      <c r="B115" s="167"/>
      <c r="C115" s="229"/>
      <c r="D115" s="167"/>
      <c r="E115" s="168"/>
      <c r="F115" s="168"/>
      <c r="G115" s="167"/>
      <c r="H115" s="168"/>
      <c r="I115" s="167"/>
      <c r="J115" s="264"/>
      <c r="K115" s="264"/>
      <c r="L115" s="264"/>
      <c r="M115" s="264"/>
      <c r="N115" s="170"/>
      <c r="O115" s="167"/>
      <c r="P115" s="168"/>
      <c r="Q115" s="171">
        <f t="shared" ref="Q115:AL116" si="66">Q114</f>
        <v>0</v>
      </c>
      <c r="R115" s="171">
        <f t="shared" si="66"/>
        <v>0</v>
      </c>
      <c r="S115" s="171">
        <f t="shared" si="66"/>
        <v>810000000</v>
      </c>
      <c r="T115" s="171">
        <f t="shared" si="66"/>
        <v>0</v>
      </c>
      <c r="U115" s="171">
        <f t="shared" si="66"/>
        <v>0</v>
      </c>
      <c r="V115" s="171">
        <f t="shared" si="66"/>
        <v>0</v>
      </c>
      <c r="W115" s="171">
        <f t="shared" si="66"/>
        <v>0</v>
      </c>
      <c r="X115" s="171">
        <f t="shared" si="66"/>
        <v>0</v>
      </c>
      <c r="Y115" s="171">
        <f t="shared" si="66"/>
        <v>0</v>
      </c>
      <c r="Z115" s="171">
        <f t="shared" si="66"/>
        <v>0</v>
      </c>
      <c r="AA115" s="171">
        <f t="shared" si="66"/>
        <v>0</v>
      </c>
      <c r="AB115" s="171">
        <f t="shared" si="66"/>
        <v>0</v>
      </c>
      <c r="AC115" s="171">
        <f t="shared" si="66"/>
        <v>0</v>
      </c>
      <c r="AD115" s="171">
        <f t="shared" si="66"/>
        <v>0</v>
      </c>
      <c r="AE115" s="171">
        <f t="shared" si="66"/>
        <v>0</v>
      </c>
      <c r="AF115" s="171">
        <f t="shared" si="66"/>
        <v>0</v>
      </c>
      <c r="AG115" s="171">
        <f t="shared" si="66"/>
        <v>0</v>
      </c>
      <c r="AH115" s="171">
        <f t="shared" si="66"/>
        <v>0</v>
      </c>
      <c r="AI115" s="171">
        <f t="shared" si="66"/>
        <v>0</v>
      </c>
      <c r="AJ115" s="171">
        <f t="shared" si="66"/>
        <v>0</v>
      </c>
      <c r="AK115" s="171">
        <f t="shared" si="66"/>
        <v>0</v>
      </c>
      <c r="AL115" s="171">
        <f t="shared" si="66"/>
        <v>2432800181.7399998</v>
      </c>
      <c r="AM115" s="171">
        <f t="shared" ref="AM115:AP116" si="67">AM114</f>
        <v>0</v>
      </c>
      <c r="AN115" s="171">
        <f t="shared" si="67"/>
        <v>0</v>
      </c>
      <c r="AO115" s="171">
        <f t="shared" si="67"/>
        <v>0</v>
      </c>
      <c r="AP115" s="171">
        <f t="shared" si="67"/>
        <v>0</v>
      </c>
      <c r="AQ115" s="171">
        <f t="shared" ref="AQ115" si="68">AQ114</f>
        <v>0</v>
      </c>
      <c r="AR115" s="171">
        <f t="shared" si="38"/>
        <v>3242800181.7399998</v>
      </c>
    </row>
    <row r="116" spans="1:44" s="165" customFormat="1" ht="15" x14ac:dyDescent="0.25">
      <c r="A116" s="172"/>
      <c r="B116" s="172"/>
      <c r="C116" s="173"/>
      <c r="D116" s="172"/>
      <c r="E116" s="173"/>
      <c r="F116" s="173"/>
      <c r="G116" s="172"/>
      <c r="H116" s="173"/>
      <c r="I116" s="172"/>
      <c r="J116" s="266"/>
      <c r="K116" s="266"/>
      <c r="L116" s="266"/>
      <c r="M116" s="266"/>
      <c r="N116" s="175"/>
      <c r="O116" s="172"/>
      <c r="P116" s="173"/>
      <c r="Q116" s="176">
        <f t="shared" si="66"/>
        <v>0</v>
      </c>
      <c r="R116" s="176">
        <f t="shared" si="66"/>
        <v>0</v>
      </c>
      <c r="S116" s="176">
        <f t="shared" si="66"/>
        <v>810000000</v>
      </c>
      <c r="T116" s="176">
        <f t="shared" si="66"/>
        <v>0</v>
      </c>
      <c r="U116" s="176">
        <f t="shared" si="66"/>
        <v>0</v>
      </c>
      <c r="V116" s="176">
        <f t="shared" si="66"/>
        <v>0</v>
      </c>
      <c r="W116" s="176">
        <f t="shared" si="66"/>
        <v>0</v>
      </c>
      <c r="X116" s="176">
        <f t="shared" si="66"/>
        <v>0</v>
      </c>
      <c r="Y116" s="176">
        <f t="shared" si="66"/>
        <v>0</v>
      </c>
      <c r="Z116" s="176">
        <f t="shared" si="66"/>
        <v>0</v>
      </c>
      <c r="AA116" s="176">
        <f t="shared" si="66"/>
        <v>0</v>
      </c>
      <c r="AB116" s="176">
        <f t="shared" si="66"/>
        <v>0</v>
      </c>
      <c r="AC116" s="176">
        <f t="shared" si="66"/>
        <v>0</v>
      </c>
      <c r="AD116" s="176">
        <f t="shared" si="66"/>
        <v>0</v>
      </c>
      <c r="AE116" s="176">
        <f t="shared" si="66"/>
        <v>0</v>
      </c>
      <c r="AF116" s="176">
        <f t="shared" si="66"/>
        <v>0</v>
      </c>
      <c r="AG116" s="176">
        <f t="shared" si="66"/>
        <v>0</v>
      </c>
      <c r="AH116" s="176">
        <f t="shared" si="66"/>
        <v>0</v>
      </c>
      <c r="AI116" s="176">
        <f t="shared" si="66"/>
        <v>0</v>
      </c>
      <c r="AJ116" s="176">
        <f t="shared" si="66"/>
        <v>0</v>
      </c>
      <c r="AK116" s="176">
        <f t="shared" si="66"/>
        <v>0</v>
      </c>
      <c r="AL116" s="176">
        <f t="shared" si="66"/>
        <v>2432800181.7399998</v>
      </c>
      <c r="AM116" s="176">
        <f t="shared" si="67"/>
        <v>0</v>
      </c>
      <c r="AN116" s="176">
        <f t="shared" si="67"/>
        <v>0</v>
      </c>
      <c r="AO116" s="176">
        <f t="shared" si="67"/>
        <v>0</v>
      </c>
      <c r="AP116" s="176">
        <f t="shared" si="67"/>
        <v>0</v>
      </c>
      <c r="AQ116" s="176">
        <f t="shared" ref="AQ116" si="69">AQ115</f>
        <v>0</v>
      </c>
      <c r="AR116" s="176">
        <f t="shared" si="38"/>
        <v>3242800181.7399998</v>
      </c>
    </row>
    <row r="117" spans="1:44" s="165" customFormat="1" ht="15" x14ac:dyDescent="0.25">
      <c r="A117" s="177"/>
      <c r="B117" s="177"/>
      <c r="C117" s="178"/>
      <c r="D117" s="177"/>
      <c r="E117" s="178"/>
      <c r="F117" s="178"/>
      <c r="G117" s="177"/>
      <c r="H117" s="178"/>
      <c r="I117" s="177"/>
      <c r="J117" s="277"/>
      <c r="K117" s="277"/>
      <c r="L117" s="277"/>
      <c r="M117" s="277"/>
      <c r="N117" s="180"/>
      <c r="O117" s="177"/>
      <c r="P117" s="178"/>
      <c r="Q117" s="181">
        <f t="shared" ref="Q117:AL117" si="70">Q116+Q103</f>
        <v>0</v>
      </c>
      <c r="R117" s="181">
        <f t="shared" si="70"/>
        <v>0</v>
      </c>
      <c r="S117" s="181">
        <f t="shared" si="70"/>
        <v>10000871781</v>
      </c>
      <c r="T117" s="181">
        <f t="shared" si="70"/>
        <v>0</v>
      </c>
      <c r="U117" s="181">
        <f t="shared" si="70"/>
        <v>0</v>
      </c>
      <c r="V117" s="181">
        <f t="shared" si="70"/>
        <v>707154493</v>
      </c>
      <c r="W117" s="181">
        <f t="shared" si="70"/>
        <v>0</v>
      </c>
      <c r="X117" s="181">
        <f t="shared" si="70"/>
        <v>0</v>
      </c>
      <c r="Y117" s="181">
        <f t="shared" si="70"/>
        <v>0</v>
      </c>
      <c r="Z117" s="181">
        <f t="shared" si="70"/>
        <v>0</v>
      </c>
      <c r="AA117" s="181">
        <f t="shared" si="70"/>
        <v>0</v>
      </c>
      <c r="AB117" s="181">
        <f t="shared" si="70"/>
        <v>0</v>
      </c>
      <c r="AC117" s="181">
        <f t="shared" si="70"/>
        <v>0</v>
      </c>
      <c r="AD117" s="181">
        <f t="shared" si="70"/>
        <v>0</v>
      </c>
      <c r="AE117" s="181">
        <f t="shared" si="70"/>
        <v>0</v>
      </c>
      <c r="AF117" s="181">
        <f t="shared" si="70"/>
        <v>0</v>
      </c>
      <c r="AG117" s="181">
        <f t="shared" si="70"/>
        <v>0</v>
      </c>
      <c r="AH117" s="181">
        <f t="shared" si="70"/>
        <v>0</v>
      </c>
      <c r="AI117" s="181">
        <f t="shared" si="70"/>
        <v>0</v>
      </c>
      <c r="AJ117" s="181">
        <f t="shared" si="70"/>
        <v>0</v>
      </c>
      <c r="AK117" s="181">
        <f t="shared" si="70"/>
        <v>0</v>
      </c>
      <c r="AL117" s="181">
        <f t="shared" si="70"/>
        <v>2432800181.7399998</v>
      </c>
      <c r="AM117" s="181">
        <f t="shared" ref="AM117:AP117" si="71">AM116+AM103</f>
        <v>1518701078</v>
      </c>
      <c r="AN117" s="181">
        <f t="shared" si="71"/>
        <v>0</v>
      </c>
      <c r="AO117" s="181">
        <f t="shared" si="71"/>
        <v>0</v>
      </c>
      <c r="AP117" s="181">
        <f t="shared" si="71"/>
        <v>128000000</v>
      </c>
      <c r="AQ117" s="181">
        <f t="shared" ref="AQ117" si="72">AQ116+AQ103</f>
        <v>0</v>
      </c>
      <c r="AR117" s="181">
        <f t="shared" si="38"/>
        <v>14787527533.74</v>
      </c>
    </row>
    <row r="118" spans="1:44" s="29" customFormat="1" ht="15" x14ac:dyDescent="0.25">
      <c r="A118" s="182"/>
      <c r="B118" s="183"/>
      <c r="C118" s="760"/>
      <c r="D118" s="829"/>
      <c r="E118" s="760"/>
      <c r="F118" s="760"/>
      <c r="G118" s="183"/>
      <c r="H118" s="760"/>
      <c r="I118" s="183"/>
      <c r="J118" s="267"/>
      <c r="K118" s="267"/>
      <c r="L118" s="267"/>
      <c r="M118" s="267"/>
      <c r="N118" s="185"/>
      <c r="O118" s="183"/>
      <c r="P118" s="760"/>
      <c r="Q118" s="186"/>
      <c r="R118" s="186"/>
      <c r="S118" s="186"/>
      <c r="T118" s="186"/>
      <c r="U118" s="186"/>
      <c r="V118" s="186"/>
      <c r="W118" s="186"/>
      <c r="X118" s="186"/>
      <c r="Y118" s="186"/>
      <c r="Z118" s="186"/>
      <c r="AA118" s="186"/>
      <c r="AB118" s="186"/>
      <c r="AC118" s="186"/>
      <c r="AD118" s="186"/>
      <c r="AE118" s="187"/>
      <c r="AF118" s="187"/>
      <c r="AG118" s="187"/>
      <c r="AH118" s="187"/>
      <c r="AI118" s="187"/>
      <c r="AJ118" s="187"/>
      <c r="AK118" s="186"/>
      <c r="AL118" s="186"/>
      <c r="AM118" s="188"/>
      <c r="AN118" s="186"/>
      <c r="AO118" s="186"/>
      <c r="AP118" s="186"/>
      <c r="AQ118" s="186"/>
      <c r="AR118" s="710">
        <v>14787527534</v>
      </c>
    </row>
    <row r="119" spans="1:44" s="165" customFormat="1" ht="20.25" x14ac:dyDescent="0.25">
      <c r="A119" s="135" t="s">
        <v>169</v>
      </c>
      <c r="B119" s="136"/>
      <c r="C119" s="137"/>
      <c r="D119" s="839"/>
      <c r="E119" s="136"/>
      <c r="F119" s="136"/>
      <c r="G119" s="136"/>
      <c r="H119" s="137"/>
      <c r="I119" s="136"/>
      <c r="J119" s="136"/>
      <c r="K119" s="136"/>
      <c r="L119" s="136"/>
      <c r="M119" s="136"/>
      <c r="N119" s="138"/>
      <c r="O119" s="136"/>
      <c r="P119" s="137"/>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136"/>
      <c r="AL119" s="136"/>
      <c r="AM119" s="139"/>
      <c r="AN119" s="140"/>
      <c r="AO119" s="136"/>
      <c r="AP119" s="136"/>
      <c r="AQ119" s="136"/>
      <c r="AR119" s="141"/>
    </row>
    <row r="120" spans="1:44" s="165" customFormat="1" x14ac:dyDescent="0.25">
      <c r="A120" s="826">
        <v>4</v>
      </c>
      <c r="B120" s="142" t="s">
        <v>170</v>
      </c>
      <c r="C120" s="143"/>
      <c r="D120" s="142"/>
      <c r="E120" s="142"/>
      <c r="F120" s="142"/>
      <c r="G120" s="142"/>
      <c r="H120" s="143"/>
      <c r="I120" s="142"/>
      <c r="J120" s="142"/>
      <c r="K120" s="142"/>
      <c r="L120" s="142"/>
      <c r="M120" s="142"/>
      <c r="N120" s="144"/>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142"/>
      <c r="AM120" s="145"/>
      <c r="AN120" s="142"/>
      <c r="AO120" s="142"/>
      <c r="AP120" s="142"/>
      <c r="AQ120" s="142"/>
      <c r="AR120" s="146"/>
    </row>
    <row r="121" spans="1:44" s="165" customFormat="1" x14ac:dyDescent="0.25">
      <c r="A121" s="190"/>
      <c r="B121" s="269">
        <v>23</v>
      </c>
      <c r="C121" s="150" t="s">
        <v>171</v>
      </c>
      <c r="D121" s="149"/>
      <c r="E121" s="149"/>
      <c r="F121" s="149"/>
      <c r="G121" s="149"/>
      <c r="H121" s="150"/>
      <c r="I121" s="149"/>
      <c r="J121" s="149"/>
      <c r="K121" s="149"/>
      <c r="L121" s="149"/>
      <c r="M121" s="149"/>
      <c r="N121" s="151"/>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52"/>
      <c r="AN121" s="149"/>
      <c r="AO121" s="149"/>
      <c r="AP121" s="149"/>
      <c r="AQ121" s="149"/>
      <c r="AR121" s="153"/>
    </row>
    <row r="122" spans="1:44" s="165" customFormat="1" ht="16.5" thickBot="1" x14ac:dyDescent="0.3">
      <c r="A122" s="21"/>
      <c r="B122" s="190"/>
      <c r="C122" s="244"/>
      <c r="D122" s="191"/>
      <c r="E122" s="191"/>
      <c r="F122" s="192"/>
      <c r="G122" s="193">
        <v>75</v>
      </c>
      <c r="H122" s="194" t="s">
        <v>172</v>
      </c>
      <c r="I122" s="194"/>
      <c r="J122" s="194"/>
      <c r="K122" s="194"/>
      <c r="L122" s="194"/>
      <c r="M122" s="194"/>
      <c r="N122" s="195"/>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6"/>
      <c r="AN122" s="194"/>
      <c r="AO122" s="194"/>
      <c r="AP122" s="194"/>
      <c r="AQ122" s="194"/>
      <c r="AR122" s="197"/>
    </row>
    <row r="123" spans="1:44" s="29" customFormat="1" ht="85.5" x14ac:dyDescent="0.25">
      <c r="A123" s="21"/>
      <c r="B123" s="21"/>
      <c r="C123" s="1045">
        <v>10</v>
      </c>
      <c r="D123" s="1050" t="s">
        <v>173</v>
      </c>
      <c r="E123" s="906" t="s">
        <v>174</v>
      </c>
      <c r="F123" s="906" t="s">
        <v>175</v>
      </c>
      <c r="G123" s="24"/>
      <c r="H123" s="767">
        <v>214</v>
      </c>
      <c r="I123" s="762" t="s">
        <v>176</v>
      </c>
      <c r="J123" s="25" t="s">
        <v>38</v>
      </c>
      <c r="K123" s="57">
        <v>1</v>
      </c>
      <c r="L123" s="25">
        <v>0</v>
      </c>
      <c r="M123" s="1060" t="s">
        <v>177</v>
      </c>
      <c r="N123" s="948" t="s">
        <v>178</v>
      </c>
      <c r="O123" s="941" t="s">
        <v>179</v>
      </c>
      <c r="P123" s="58" t="s">
        <v>42</v>
      </c>
      <c r="Q123" s="27">
        <v>0</v>
      </c>
      <c r="R123" s="27">
        <v>0</v>
      </c>
      <c r="S123" s="27">
        <v>0</v>
      </c>
      <c r="T123" s="59">
        <v>49300000</v>
      </c>
      <c r="U123" s="27">
        <v>0</v>
      </c>
      <c r="V123" s="27">
        <v>0</v>
      </c>
      <c r="W123" s="27">
        <v>0</v>
      </c>
      <c r="X123" s="27"/>
      <c r="Y123" s="27"/>
      <c r="Z123" s="27"/>
      <c r="AA123" s="27">
        <v>0</v>
      </c>
      <c r="AB123" s="27"/>
      <c r="AC123" s="27">
        <v>0</v>
      </c>
      <c r="AD123" s="27">
        <v>0</v>
      </c>
      <c r="AE123" s="27"/>
      <c r="AF123" s="27"/>
      <c r="AG123" s="27"/>
      <c r="AH123" s="27"/>
      <c r="AI123" s="27"/>
      <c r="AJ123" s="27"/>
      <c r="AK123" s="27">
        <v>0</v>
      </c>
      <c r="AL123" s="27">
        <v>0</v>
      </c>
      <c r="AM123" s="108">
        <f>30000000-30000000</f>
        <v>0</v>
      </c>
      <c r="AN123" s="40"/>
      <c r="AO123" s="27">
        <v>0</v>
      </c>
      <c r="AP123" s="60">
        <v>0</v>
      </c>
      <c r="AQ123" s="60"/>
      <c r="AR123" s="27">
        <f t="shared" si="38"/>
        <v>49300000</v>
      </c>
    </row>
    <row r="124" spans="1:44" s="29" customFormat="1" ht="60.75" customHeight="1" x14ac:dyDescent="0.25">
      <c r="A124" s="21"/>
      <c r="B124" s="21"/>
      <c r="C124" s="912"/>
      <c r="D124" s="1050"/>
      <c r="E124" s="924"/>
      <c r="F124" s="924"/>
      <c r="G124" s="30"/>
      <c r="H124" s="767">
        <v>215</v>
      </c>
      <c r="I124" s="762" t="s">
        <v>180</v>
      </c>
      <c r="J124" s="25">
        <v>10</v>
      </c>
      <c r="K124" s="57">
        <v>3</v>
      </c>
      <c r="L124" s="25">
        <v>0</v>
      </c>
      <c r="M124" s="1058"/>
      <c r="N124" s="959"/>
      <c r="O124" s="942"/>
      <c r="P124" s="61" t="s">
        <v>144</v>
      </c>
      <c r="Q124" s="27">
        <v>0</v>
      </c>
      <c r="R124" s="27">
        <v>0</v>
      </c>
      <c r="S124" s="27">
        <v>0</v>
      </c>
      <c r="T124" s="56">
        <f>5100000+100000000</f>
        <v>105100000</v>
      </c>
      <c r="U124" s="27">
        <v>0</v>
      </c>
      <c r="V124" s="27">
        <v>0</v>
      </c>
      <c r="W124" s="27">
        <v>0</v>
      </c>
      <c r="X124" s="27"/>
      <c r="Y124" s="27"/>
      <c r="Z124" s="27"/>
      <c r="AA124" s="27">
        <v>0</v>
      </c>
      <c r="AB124" s="27"/>
      <c r="AC124" s="27">
        <v>0</v>
      </c>
      <c r="AD124" s="27">
        <v>0</v>
      </c>
      <c r="AE124" s="27"/>
      <c r="AF124" s="27"/>
      <c r="AG124" s="27"/>
      <c r="AH124" s="27"/>
      <c r="AI124" s="27"/>
      <c r="AJ124" s="27"/>
      <c r="AK124" s="27">
        <v>0</v>
      </c>
      <c r="AL124" s="27">
        <v>0</v>
      </c>
      <c r="AM124" s="108"/>
      <c r="AN124" s="40"/>
      <c r="AO124" s="27">
        <v>0</v>
      </c>
      <c r="AP124" s="27">
        <v>0</v>
      </c>
      <c r="AQ124" s="27"/>
      <c r="AR124" s="27">
        <f t="shared" si="38"/>
        <v>105100000</v>
      </c>
    </row>
    <row r="125" spans="1:44" s="29" customFormat="1" ht="72" customHeight="1" x14ac:dyDescent="0.25">
      <c r="A125" s="21"/>
      <c r="B125" s="21"/>
      <c r="C125" s="912"/>
      <c r="D125" s="1050"/>
      <c r="E125" s="924"/>
      <c r="F125" s="924"/>
      <c r="G125" s="30"/>
      <c r="H125" s="767">
        <v>216</v>
      </c>
      <c r="I125" s="762" t="s">
        <v>181</v>
      </c>
      <c r="J125" s="62" t="s">
        <v>182</v>
      </c>
      <c r="K125" s="773">
        <v>2.9940000000000002</v>
      </c>
      <c r="L125" s="489">
        <v>0.01</v>
      </c>
      <c r="M125" s="1058"/>
      <c r="N125" s="959"/>
      <c r="O125" s="942"/>
      <c r="P125" s="61" t="s">
        <v>42</v>
      </c>
      <c r="Q125" s="27">
        <v>0</v>
      </c>
      <c r="R125" s="27">
        <v>0</v>
      </c>
      <c r="S125" s="27">
        <v>0</v>
      </c>
      <c r="T125" s="56">
        <f>767600000+2000000000</f>
        <v>2767600000</v>
      </c>
      <c r="U125" s="27">
        <v>0</v>
      </c>
      <c r="V125" s="27">
        <v>0</v>
      </c>
      <c r="W125" s="27">
        <v>0</v>
      </c>
      <c r="X125" s="27"/>
      <c r="Y125" s="27"/>
      <c r="Z125" s="27"/>
      <c r="AA125" s="27">
        <v>0</v>
      </c>
      <c r="AB125" s="27"/>
      <c r="AC125" s="27">
        <v>0</v>
      </c>
      <c r="AD125" s="27">
        <v>0</v>
      </c>
      <c r="AE125" s="27"/>
      <c r="AF125" s="27"/>
      <c r="AG125" s="27"/>
      <c r="AH125" s="27"/>
      <c r="AI125" s="27"/>
      <c r="AJ125" s="27"/>
      <c r="AK125" s="27">
        <v>0</v>
      </c>
      <c r="AL125" s="27">
        <v>0</v>
      </c>
      <c r="AM125" s="108">
        <f>50000000+30000000</f>
        <v>80000000</v>
      </c>
      <c r="AN125" s="40"/>
      <c r="AO125" s="27">
        <v>0</v>
      </c>
      <c r="AP125" s="28">
        <v>0</v>
      </c>
      <c r="AQ125" s="28"/>
      <c r="AR125" s="27">
        <f t="shared" si="38"/>
        <v>2847600000</v>
      </c>
    </row>
    <row r="126" spans="1:44" s="29" customFormat="1" ht="75.75" customHeight="1" x14ac:dyDescent="0.25">
      <c r="A126" s="21"/>
      <c r="B126" s="21"/>
      <c r="C126" s="913">
        <v>12</v>
      </c>
      <c r="D126" s="1050" t="s">
        <v>183</v>
      </c>
      <c r="E126" s="925">
        <v>3166</v>
      </c>
      <c r="F126" s="925">
        <v>2500</v>
      </c>
      <c r="G126" s="30"/>
      <c r="H126" s="767">
        <v>217</v>
      </c>
      <c r="I126" s="762" t="s">
        <v>184</v>
      </c>
      <c r="J126" s="62" t="s">
        <v>182</v>
      </c>
      <c r="K126" s="63" t="s">
        <v>185</v>
      </c>
      <c r="L126" s="489">
        <v>0.01</v>
      </c>
      <c r="M126" s="1058"/>
      <c r="N126" s="959"/>
      <c r="O126" s="942"/>
      <c r="P126" s="58" t="s">
        <v>47</v>
      </c>
      <c r="Q126" s="27">
        <v>0</v>
      </c>
      <c r="R126" s="27">
        <v>0</v>
      </c>
      <c r="S126" s="27">
        <v>0</v>
      </c>
      <c r="T126" s="56">
        <f>460500000+5333631612</f>
        <v>5794131612</v>
      </c>
      <c r="U126" s="27">
        <v>0</v>
      </c>
      <c r="V126" s="27">
        <v>0</v>
      </c>
      <c r="W126" s="27">
        <v>0</v>
      </c>
      <c r="X126" s="27"/>
      <c r="Y126" s="27"/>
      <c r="Z126" s="27"/>
      <c r="AA126" s="27">
        <v>0</v>
      </c>
      <c r="AB126" s="27"/>
      <c r="AC126" s="27">
        <v>0</v>
      </c>
      <c r="AD126" s="27">
        <v>0</v>
      </c>
      <c r="AE126" s="27"/>
      <c r="AF126" s="27"/>
      <c r="AG126" s="27"/>
      <c r="AH126" s="27"/>
      <c r="AI126" s="27"/>
      <c r="AJ126" s="27"/>
      <c r="AK126" s="27">
        <v>0</v>
      </c>
      <c r="AL126" s="27">
        <v>0</v>
      </c>
      <c r="AM126" s="108">
        <v>0</v>
      </c>
      <c r="AN126" s="40"/>
      <c r="AO126" s="27">
        <v>0</v>
      </c>
      <c r="AP126" s="28">
        <v>0</v>
      </c>
      <c r="AQ126" s="28"/>
      <c r="AR126" s="27">
        <f t="shared" si="38"/>
        <v>5794131612</v>
      </c>
    </row>
    <row r="127" spans="1:44" s="29" customFormat="1" ht="39.75" customHeight="1" x14ac:dyDescent="0.25">
      <c r="A127" s="21"/>
      <c r="B127" s="21"/>
      <c r="C127" s="914"/>
      <c r="D127" s="1050"/>
      <c r="E127" s="926"/>
      <c r="F127" s="926"/>
      <c r="G127" s="32"/>
      <c r="H127" s="767">
        <v>218</v>
      </c>
      <c r="I127" s="762" t="s">
        <v>186</v>
      </c>
      <c r="J127" s="25">
        <v>3</v>
      </c>
      <c r="K127" s="25">
        <v>3</v>
      </c>
      <c r="L127" s="661">
        <v>5.8999999999999997E-2</v>
      </c>
      <c r="M127" s="1059"/>
      <c r="N127" s="949"/>
      <c r="O127" s="943"/>
      <c r="P127" s="58" t="s">
        <v>47</v>
      </c>
      <c r="Q127" s="27">
        <v>0</v>
      </c>
      <c r="R127" s="27">
        <v>0</v>
      </c>
      <c r="S127" s="27">
        <v>0</v>
      </c>
      <c r="T127" s="56">
        <f>230500000+25000000</f>
        <v>255500000</v>
      </c>
      <c r="U127" s="27">
        <v>0</v>
      </c>
      <c r="V127" s="27">
        <v>0</v>
      </c>
      <c r="W127" s="27">
        <v>0</v>
      </c>
      <c r="X127" s="27"/>
      <c r="Y127" s="27"/>
      <c r="Z127" s="27"/>
      <c r="AA127" s="27">
        <v>0</v>
      </c>
      <c r="AB127" s="27"/>
      <c r="AC127" s="27">
        <v>0</v>
      </c>
      <c r="AD127" s="27">
        <v>0</v>
      </c>
      <c r="AE127" s="27"/>
      <c r="AF127" s="27"/>
      <c r="AG127" s="27"/>
      <c r="AH127" s="27"/>
      <c r="AI127" s="27"/>
      <c r="AJ127" s="27"/>
      <c r="AK127" s="27">
        <v>0</v>
      </c>
      <c r="AL127" s="27">
        <v>0</v>
      </c>
      <c r="AM127" s="108">
        <v>0</v>
      </c>
      <c r="AN127" s="40"/>
      <c r="AO127" s="27">
        <v>0</v>
      </c>
      <c r="AP127" s="28">
        <v>0</v>
      </c>
      <c r="AQ127" s="28"/>
      <c r="AR127" s="27">
        <f t="shared" si="38"/>
        <v>255500000</v>
      </c>
    </row>
    <row r="128" spans="1:44" s="165" customFormat="1" ht="15" x14ac:dyDescent="0.25">
      <c r="A128" s="21"/>
      <c r="B128" s="21"/>
      <c r="C128" s="224"/>
      <c r="D128" s="733"/>
      <c r="E128" s="604"/>
      <c r="F128" s="604"/>
      <c r="G128" s="160"/>
      <c r="H128" s="161"/>
      <c r="I128" s="160"/>
      <c r="J128" s="162"/>
      <c r="K128" s="162"/>
      <c r="L128" s="162"/>
      <c r="M128" s="162"/>
      <c r="N128" s="163"/>
      <c r="O128" s="160"/>
      <c r="P128" s="161"/>
      <c r="Q128" s="164">
        <f t="shared" ref="Q128:AO128" si="73">SUM(Q123:Q127)</f>
        <v>0</v>
      </c>
      <c r="R128" s="164">
        <f t="shared" si="73"/>
        <v>0</v>
      </c>
      <c r="S128" s="164">
        <f t="shared" si="73"/>
        <v>0</v>
      </c>
      <c r="T128" s="164">
        <f t="shared" si="73"/>
        <v>8971631612</v>
      </c>
      <c r="U128" s="164">
        <f t="shared" si="73"/>
        <v>0</v>
      </c>
      <c r="V128" s="164">
        <f t="shared" si="73"/>
        <v>0</v>
      </c>
      <c r="W128" s="164">
        <f t="shared" si="73"/>
        <v>0</v>
      </c>
      <c r="X128" s="164">
        <f t="shared" si="73"/>
        <v>0</v>
      </c>
      <c r="Y128" s="164">
        <f t="shared" si="73"/>
        <v>0</v>
      </c>
      <c r="Z128" s="164">
        <f t="shared" si="73"/>
        <v>0</v>
      </c>
      <c r="AA128" s="164">
        <f t="shared" si="73"/>
        <v>0</v>
      </c>
      <c r="AB128" s="164">
        <f t="shared" si="73"/>
        <v>0</v>
      </c>
      <c r="AC128" s="164">
        <f t="shared" si="73"/>
        <v>0</v>
      </c>
      <c r="AD128" s="164">
        <f t="shared" si="73"/>
        <v>0</v>
      </c>
      <c r="AE128" s="164">
        <f t="shared" si="73"/>
        <v>0</v>
      </c>
      <c r="AF128" s="164">
        <f t="shared" si="73"/>
        <v>0</v>
      </c>
      <c r="AG128" s="164">
        <f t="shared" si="73"/>
        <v>0</v>
      </c>
      <c r="AH128" s="164">
        <f t="shared" si="73"/>
        <v>0</v>
      </c>
      <c r="AI128" s="164">
        <f t="shared" si="73"/>
        <v>0</v>
      </c>
      <c r="AJ128" s="164">
        <f t="shared" si="73"/>
        <v>0</v>
      </c>
      <c r="AK128" s="164">
        <f t="shared" si="73"/>
        <v>0</v>
      </c>
      <c r="AL128" s="164">
        <f t="shared" si="73"/>
        <v>0</v>
      </c>
      <c r="AM128" s="164">
        <f t="shared" si="73"/>
        <v>80000000</v>
      </c>
      <c r="AN128" s="164">
        <f t="shared" si="73"/>
        <v>0</v>
      </c>
      <c r="AO128" s="164">
        <f t="shared" si="73"/>
        <v>0</v>
      </c>
      <c r="AP128" s="164">
        <f t="shared" ref="AP128" si="74">SUM(AP123:AP127)</f>
        <v>0</v>
      </c>
      <c r="AQ128" s="164">
        <f t="shared" ref="AQ128" si="75">SUM(AQ123:AQ127)</f>
        <v>0</v>
      </c>
      <c r="AR128" s="164">
        <f t="shared" si="38"/>
        <v>9051631612</v>
      </c>
    </row>
    <row r="129" spans="1:44" s="29" customFormat="1" ht="15" x14ac:dyDescent="0.25">
      <c r="A129" s="21"/>
      <c r="B129" s="21"/>
      <c r="C129" s="761"/>
      <c r="D129" s="731"/>
      <c r="E129" s="767"/>
      <c r="F129" s="767"/>
      <c r="G129" s="762"/>
      <c r="H129" s="258"/>
      <c r="I129" s="183"/>
      <c r="J129" s="184"/>
      <c r="K129" s="184"/>
      <c r="L129" s="832"/>
      <c r="M129" s="832"/>
      <c r="N129" s="833"/>
      <c r="O129" s="829"/>
      <c r="P129" s="760"/>
      <c r="Q129" s="186"/>
      <c r="R129" s="186"/>
      <c r="S129" s="186"/>
      <c r="T129" s="186"/>
      <c r="U129" s="186"/>
      <c r="V129" s="186"/>
      <c r="W129" s="186"/>
      <c r="X129" s="186"/>
      <c r="Y129" s="186"/>
      <c r="Z129" s="186"/>
      <c r="AA129" s="186"/>
      <c r="AB129" s="186"/>
      <c r="AC129" s="186"/>
      <c r="AD129" s="186"/>
      <c r="AE129" s="187"/>
      <c r="AF129" s="187"/>
      <c r="AG129" s="187"/>
      <c r="AH129" s="187"/>
      <c r="AI129" s="187"/>
      <c r="AJ129" s="187"/>
      <c r="AK129" s="186"/>
      <c r="AL129" s="186"/>
      <c r="AM129" s="188"/>
      <c r="AN129" s="189"/>
      <c r="AO129" s="186"/>
      <c r="AP129" s="186"/>
      <c r="AQ129" s="186"/>
      <c r="AR129" s="205"/>
    </row>
    <row r="130" spans="1:44" s="165" customFormat="1" thickBot="1" x14ac:dyDescent="0.3">
      <c r="A130" s="21"/>
      <c r="B130" s="21"/>
      <c r="C130" s="224"/>
      <c r="D130" s="733"/>
      <c r="E130" s="604"/>
      <c r="F130" s="604"/>
      <c r="G130" s="261">
        <v>76</v>
      </c>
      <c r="H130" s="848" t="s">
        <v>187</v>
      </c>
      <c r="I130" s="849"/>
      <c r="J130" s="849"/>
      <c r="K130" s="849"/>
      <c r="L130" s="849"/>
      <c r="M130" s="849"/>
      <c r="N130" s="849"/>
      <c r="O130" s="849"/>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6"/>
      <c r="AN130" s="194"/>
      <c r="AO130" s="194"/>
      <c r="AP130" s="194"/>
      <c r="AQ130" s="194"/>
      <c r="AR130" s="197"/>
    </row>
    <row r="131" spans="1:44" s="29" customFormat="1" ht="95.25" customHeight="1" x14ac:dyDescent="0.25">
      <c r="A131" s="21"/>
      <c r="B131" s="21"/>
      <c r="C131" s="1061">
        <v>10</v>
      </c>
      <c r="D131" s="1050" t="s">
        <v>173</v>
      </c>
      <c r="E131" s="906" t="s">
        <v>174</v>
      </c>
      <c r="F131" s="906" t="s">
        <v>175</v>
      </c>
      <c r="G131" s="24"/>
      <c r="H131" s="767">
        <v>219</v>
      </c>
      <c r="I131" s="762" t="s">
        <v>188</v>
      </c>
      <c r="J131" s="25" t="s">
        <v>38</v>
      </c>
      <c r="K131" s="64">
        <v>11</v>
      </c>
      <c r="L131" s="662">
        <v>9</v>
      </c>
      <c r="M131" s="1060" t="s">
        <v>189</v>
      </c>
      <c r="N131" s="948" t="s">
        <v>190</v>
      </c>
      <c r="O131" s="941" t="s">
        <v>191</v>
      </c>
      <c r="P131" s="767" t="s">
        <v>42</v>
      </c>
      <c r="Q131" s="27">
        <v>0</v>
      </c>
      <c r="R131" s="27">
        <v>0</v>
      </c>
      <c r="S131" s="27">
        <v>0</v>
      </c>
      <c r="T131" s="15">
        <f>111600000+90000000</f>
        <v>201600000</v>
      </c>
      <c r="U131" s="27">
        <v>0</v>
      </c>
      <c r="V131" s="27">
        <v>0</v>
      </c>
      <c r="W131" s="27">
        <v>0</v>
      </c>
      <c r="X131" s="27"/>
      <c r="Y131" s="27"/>
      <c r="Z131" s="27"/>
      <c r="AA131" s="27">
        <v>0</v>
      </c>
      <c r="AB131" s="27"/>
      <c r="AC131" s="27">
        <v>0</v>
      </c>
      <c r="AD131" s="27">
        <v>0</v>
      </c>
      <c r="AE131" s="27"/>
      <c r="AF131" s="27"/>
      <c r="AG131" s="27"/>
      <c r="AH131" s="27"/>
      <c r="AI131" s="27"/>
      <c r="AJ131" s="27"/>
      <c r="AK131" s="27">
        <v>0</v>
      </c>
      <c r="AL131" s="27">
        <v>0</v>
      </c>
      <c r="AM131" s="108"/>
      <c r="AN131" s="15"/>
      <c r="AO131" s="27">
        <v>0</v>
      </c>
      <c r="AP131" s="28">
        <v>0</v>
      </c>
      <c r="AQ131" s="28"/>
      <c r="AR131" s="27">
        <f t="shared" si="38"/>
        <v>201600000</v>
      </c>
    </row>
    <row r="132" spans="1:44" s="29" customFormat="1" ht="60.75" customHeight="1" x14ac:dyDescent="0.25">
      <c r="A132" s="21"/>
      <c r="B132" s="21"/>
      <c r="C132" s="1062"/>
      <c r="D132" s="1050"/>
      <c r="E132" s="906"/>
      <c r="F132" s="906"/>
      <c r="G132" s="30"/>
      <c r="H132" s="767">
        <v>220</v>
      </c>
      <c r="I132" s="762" t="s">
        <v>192</v>
      </c>
      <c r="J132" s="25">
        <v>0</v>
      </c>
      <c r="K132" s="65">
        <v>9</v>
      </c>
      <c r="L132" s="662">
        <v>8</v>
      </c>
      <c r="M132" s="1058"/>
      <c r="N132" s="959"/>
      <c r="O132" s="942"/>
      <c r="P132" s="767" t="s">
        <v>42</v>
      </c>
      <c r="Q132" s="27">
        <v>0</v>
      </c>
      <c r="R132" s="27">
        <v>0</v>
      </c>
      <c r="S132" s="27">
        <v>0</v>
      </c>
      <c r="T132" s="15">
        <f>111600000+130000000-18000000</f>
        <v>223600000</v>
      </c>
      <c r="U132" s="27">
        <v>0</v>
      </c>
      <c r="V132" s="27">
        <v>0</v>
      </c>
      <c r="W132" s="27">
        <v>0</v>
      </c>
      <c r="X132" s="27"/>
      <c r="Y132" s="27"/>
      <c r="Z132" s="27"/>
      <c r="AA132" s="27">
        <v>0</v>
      </c>
      <c r="AB132" s="27"/>
      <c r="AC132" s="27">
        <v>0</v>
      </c>
      <c r="AD132" s="27">
        <v>0</v>
      </c>
      <c r="AE132" s="27"/>
      <c r="AF132" s="27"/>
      <c r="AG132" s="27"/>
      <c r="AH132" s="27"/>
      <c r="AI132" s="27"/>
      <c r="AJ132" s="27"/>
      <c r="AK132" s="27">
        <v>0</v>
      </c>
      <c r="AL132" s="27">
        <v>0</v>
      </c>
      <c r="AM132" s="108">
        <f>150000000+18000000</f>
        <v>168000000</v>
      </c>
      <c r="AN132" s="15"/>
      <c r="AO132" s="27">
        <v>0</v>
      </c>
      <c r="AP132" s="28">
        <v>0</v>
      </c>
      <c r="AQ132" s="28"/>
      <c r="AR132" s="27">
        <f t="shared" si="38"/>
        <v>391600000</v>
      </c>
    </row>
    <row r="133" spans="1:44" s="29" customFormat="1" ht="40.5" customHeight="1" x14ac:dyDescent="0.25">
      <c r="A133" s="21"/>
      <c r="B133" s="21"/>
      <c r="C133" s="912">
        <v>12</v>
      </c>
      <c r="D133" s="942" t="s">
        <v>183</v>
      </c>
      <c r="E133" s="925">
        <v>3166</v>
      </c>
      <c r="F133" s="925">
        <v>2500</v>
      </c>
      <c r="G133" s="30"/>
      <c r="H133" s="767">
        <v>221</v>
      </c>
      <c r="I133" s="762" t="s">
        <v>193</v>
      </c>
      <c r="J133" s="25">
        <v>1</v>
      </c>
      <c r="K133" s="66">
        <v>1</v>
      </c>
      <c r="L133" s="66">
        <v>0.5</v>
      </c>
      <c r="M133" s="1058"/>
      <c r="N133" s="959"/>
      <c r="O133" s="942"/>
      <c r="P133" s="767" t="s">
        <v>47</v>
      </c>
      <c r="Q133" s="27">
        <v>0</v>
      </c>
      <c r="R133" s="27">
        <v>0</v>
      </c>
      <c r="S133" s="27">
        <v>0</v>
      </c>
      <c r="T133" s="15">
        <f>26800000-12000000</f>
        <v>14800000</v>
      </c>
      <c r="U133" s="27">
        <v>0</v>
      </c>
      <c r="V133" s="27">
        <v>0</v>
      </c>
      <c r="W133" s="27">
        <v>0</v>
      </c>
      <c r="X133" s="27"/>
      <c r="Y133" s="27"/>
      <c r="Z133" s="27"/>
      <c r="AA133" s="27">
        <v>0</v>
      </c>
      <c r="AB133" s="27"/>
      <c r="AC133" s="27">
        <v>0</v>
      </c>
      <c r="AD133" s="27">
        <v>0</v>
      </c>
      <c r="AE133" s="27"/>
      <c r="AF133" s="27"/>
      <c r="AG133" s="27"/>
      <c r="AH133" s="27"/>
      <c r="AI133" s="27"/>
      <c r="AJ133" s="27"/>
      <c r="AK133" s="27">
        <v>0</v>
      </c>
      <c r="AL133" s="27">
        <v>0</v>
      </c>
      <c r="AM133" s="108">
        <v>12000000</v>
      </c>
      <c r="AN133" s="15"/>
      <c r="AO133" s="27">
        <v>0</v>
      </c>
      <c r="AP133" s="28">
        <v>0</v>
      </c>
      <c r="AQ133" s="28"/>
      <c r="AR133" s="27">
        <f t="shared" si="38"/>
        <v>26800000</v>
      </c>
    </row>
    <row r="134" spans="1:44" s="29" customFormat="1" ht="49.5" customHeight="1" x14ac:dyDescent="0.25">
      <c r="A134" s="21"/>
      <c r="B134" s="21"/>
      <c r="C134" s="914"/>
      <c r="D134" s="943"/>
      <c r="E134" s="926"/>
      <c r="F134" s="926"/>
      <c r="G134" s="32"/>
      <c r="H134" s="767">
        <v>222</v>
      </c>
      <c r="I134" s="762" t="s">
        <v>194</v>
      </c>
      <c r="J134" s="25">
        <v>1</v>
      </c>
      <c r="K134" s="66">
        <v>1</v>
      </c>
      <c r="L134" s="66">
        <v>0</v>
      </c>
      <c r="M134" s="1059"/>
      <c r="N134" s="949"/>
      <c r="O134" s="943"/>
      <c r="P134" s="767" t="s">
        <v>47</v>
      </c>
      <c r="Q134" s="27">
        <v>0</v>
      </c>
      <c r="R134" s="27">
        <v>0</v>
      </c>
      <c r="S134" s="27">
        <v>0</v>
      </c>
      <c r="T134" s="27">
        <v>18000000</v>
      </c>
      <c r="U134" s="27">
        <v>0</v>
      </c>
      <c r="V134" s="27">
        <v>0</v>
      </c>
      <c r="W134" s="27">
        <v>0</v>
      </c>
      <c r="X134" s="27"/>
      <c r="Y134" s="27"/>
      <c r="Z134" s="27"/>
      <c r="AA134" s="27">
        <v>0</v>
      </c>
      <c r="AB134" s="27"/>
      <c r="AC134" s="27">
        <v>0</v>
      </c>
      <c r="AD134" s="27">
        <v>0</v>
      </c>
      <c r="AE134" s="27"/>
      <c r="AF134" s="27"/>
      <c r="AG134" s="27"/>
      <c r="AH134" s="27"/>
      <c r="AI134" s="27"/>
      <c r="AJ134" s="27"/>
      <c r="AK134" s="27">
        <v>0</v>
      </c>
      <c r="AL134" s="27">
        <v>0</v>
      </c>
      <c r="AM134" s="110">
        <f>18000000-18000000</f>
        <v>0</v>
      </c>
      <c r="AN134" s="11"/>
      <c r="AO134" s="27">
        <v>0</v>
      </c>
      <c r="AP134" s="28">
        <v>0</v>
      </c>
      <c r="AQ134" s="28"/>
      <c r="AR134" s="27">
        <f t="shared" si="38"/>
        <v>18000000</v>
      </c>
    </row>
    <row r="135" spans="1:44" s="165" customFormat="1" x14ac:dyDescent="0.25">
      <c r="A135" s="21"/>
      <c r="B135" s="158"/>
      <c r="C135" s="224"/>
      <c r="D135" s="159"/>
      <c r="E135" s="604"/>
      <c r="F135" s="604"/>
      <c r="G135" s="278"/>
      <c r="H135" s="736"/>
      <c r="I135" s="194"/>
      <c r="J135" s="194"/>
      <c r="K135" s="638"/>
      <c r="L135" s="194"/>
      <c r="M135" s="194"/>
      <c r="N135" s="195"/>
      <c r="O135" s="194"/>
      <c r="P135" s="194"/>
      <c r="Q135" s="279">
        <f>SUM(Q131:Q134)</f>
        <v>0</v>
      </c>
      <c r="R135" s="279">
        <f t="shared" ref="R135:AL135" si="76">SUM(R131:R134)</f>
        <v>0</v>
      </c>
      <c r="S135" s="279">
        <f t="shared" si="76"/>
        <v>0</v>
      </c>
      <c r="T135" s="279">
        <f t="shared" si="76"/>
        <v>458000000</v>
      </c>
      <c r="U135" s="279">
        <f t="shared" si="76"/>
        <v>0</v>
      </c>
      <c r="V135" s="279">
        <f t="shared" si="76"/>
        <v>0</v>
      </c>
      <c r="W135" s="279">
        <f t="shared" si="76"/>
        <v>0</v>
      </c>
      <c r="X135" s="279">
        <f t="shared" si="76"/>
        <v>0</v>
      </c>
      <c r="Y135" s="279">
        <f t="shared" si="76"/>
        <v>0</v>
      </c>
      <c r="Z135" s="279">
        <f t="shared" si="76"/>
        <v>0</v>
      </c>
      <c r="AA135" s="279">
        <f t="shared" si="76"/>
        <v>0</v>
      </c>
      <c r="AB135" s="279">
        <f t="shared" si="76"/>
        <v>0</v>
      </c>
      <c r="AC135" s="279">
        <f t="shared" si="76"/>
        <v>0</v>
      </c>
      <c r="AD135" s="279">
        <f t="shared" si="76"/>
        <v>0</v>
      </c>
      <c r="AE135" s="279">
        <f t="shared" si="76"/>
        <v>0</v>
      </c>
      <c r="AF135" s="279">
        <f t="shared" si="76"/>
        <v>0</v>
      </c>
      <c r="AG135" s="279">
        <f t="shared" si="76"/>
        <v>0</v>
      </c>
      <c r="AH135" s="279">
        <f t="shared" si="76"/>
        <v>0</v>
      </c>
      <c r="AI135" s="279">
        <f t="shared" si="76"/>
        <v>0</v>
      </c>
      <c r="AJ135" s="279">
        <f t="shared" si="76"/>
        <v>0</v>
      </c>
      <c r="AK135" s="279">
        <f t="shared" si="76"/>
        <v>0</v>
      </c>
      <c r="AL135" s="279">
        <f t="shared" si="76"/>
        <v>0</v>
      </c>
      <c r="AM135" s="279">
        <f t="shared" ref="AM135:AP135" si="77">SUM(AM131:AM134)</f>
        <v>180000000</v>
      </c>
      <c r="AN135" s="279">
        <f t="shared" si="77"/>
        <v>0</v>
      </c>
      <c r="AO135" s="279">
        <f t="shared" si="77"/>
        <v>0</v>
      </c>
      <c r="AP135" s="279">
        <f t="shared" si="77"/>
        <v>0</v>
      </c>
      <c r="AQ135" s="279">
        <f t="shared" ref="AQ135" si="78">SUM(AQ131:AQ134)</f>
        <v>0</v>
      </c>
      <c r="AR135" s="850">
        <f t="shared" si="38"/>
        <v>638000000</v>
      </c>
    </row>
    <row r="136" spans="1:44" s="165" customFormat="1" ht="15" x14ac:dyDescent="0.25">
      <c r="A136" s="21"/>
      <c r="B136" s="167"/>
      <c r="C136" s="229"/>
      <c r="D136" s="167"/>
      <c r="E136" s="168"/>
      <c r="F136" s="168"/>
      <c r="G136" s="167"/>
      <c r="H136" s="168"/>
      <c r="I136" s="167"/>
      <c r="J136" s="169"/>
      <c r="K136" s="169"/>
      <c r="L136" s="169"/>
      <c r="M136" s="169"/>
      <c r="N136" s="170"/>
      <c r="O136" s="167"/>
      <c r="P136" s="168"/>
      <c r="Q136" s="171">
        <f>Q135+Q128</f>
        <v>0</v>
      </c>
      <c r="R136" s="171">
        <f t="shared" ref="R136:AL136" si="79">R135+R128</f>
        <v>0</v>
      </c>
      <c r="S136" s="171">
        <f t="shared" si="79"/>
        <v>0</v>
      </c>
      <c r="T136" s="171">
        <f t="shared" si="79"/>
        <v>9429631612</v>
      </c>
      <c r="U136" s="171">
        <f t="shared" si="79"/>
        <v>0</v>
      </c>
      <c r="V136" s="171">
        <f t="shared" si="79"/>
        <v>0</v>
      </c>
      <c r="W136" s="171">
        <f t="shared" si="79"/>
        <v>0</v>
      </c>
      <c r="X136" s="171">
        <f t="shared" si="79"/>
        <v>0</v>
      </c>
      <c r="Y136" s="171">
        <f t="shared" si="79"/>
        <v>0</v>
      </c>
      <c r="Z136" s="171">
        <f t="shared" si="79"/>
        <v>0</v>
      </c>
      <c r="AA136" s="171">
        <f t="shared" si="79"/>
        <v>0</v>
      </c>
      <c r="AB136" s="171">
        <f t="shared" si="79"/>
        <v>0</v>
      </c>
      <c r="AC136" s="171">
        <f t="shared" si="79"/>
        <v>0</v>
      </c>
      <c r="AD136" s="171">
        <f t="shared" si="79"/>
        <v>0</v>
      </c>
      <c r="AE136" s="171">
        <f t="shared" si="79"/>
        <v>0</v>
      </c>
      <c r="AF136" s="171">
        <f t="shared" si="79"/>
        <v>0</v>
      </c>
      <c r="AG136" s="171">
        <f t="shared" si="79"/>
        <v>0</v>
      </c>
      <c r="AH136" s="171">
        <f t="shared" si="79"/>
        <v>0</v>
      </c>
      <c r="AI136" s="171">
        <f t="shared" si="79"/>
        <v>0</v>
      </c>
      <c r="AJ136" s="171">
        <f t="shared" si="79"/>
        <v>0</v>
      </c>
      <c r="AK136" s="171">
        <f t="shared" si="79"/>
        <v>0</v>
      </c>
      <c r="AL136" s="171">
        <f t="shared" si="79"/>
        <v>0</v>
      </c>
      <c r="AM136" s="171">
        <f t="shared" ref="AM136:AP136" si="80">AM135+AM128</f>
        <v>260000000</v>
      </c>
      <c r="AN136" s="171">
        <f t="shared" si="80"/>
        <v>0</v>
      </c>
      <c r="AO136" s="171">
        <f t="shared" si="80"/>
        <v>0</v>
      </c>
      <c r="AP136" s="171">
        <f t="shared" si="80"/>
        <v>0</v>
      </c>
      <c r="AQ136" s="171">
        <f t="shared" ref="AQ136" si="81">AQ135+AQ128</f>
        <v>0</v>
      </c>
      <c r="AR136" s="171">
        <f t="shared" si="38"/>
        <v>9689631612</v>
      </c>
    </row>
    <row r="137" spans="1:44" s="29" customFormat="1" ht="15" x14ac:dyDescent="0.25">
      <c r="A137" s="21"/>
      <c r="B137" s="762"/>
      <c r="C137" s="760"/>
      <c r="D137" s="183"/>
      <c r="E137" s="760"/>
      <c r="F137" s="760"/>
      <c r="G137" s="183"/>
      <c r="H137" s="760"/>
      <c r="I137" s="183"/>
      <c r="J137" s="184"/>
      <c r="K137" s="184"/>
      <c r="L137" s="832"/>
      <c r="M137" s="832"/>
      <c r="N137" s="833"/>
      <c r="O137" s="829"/>
      <c r="P137" s="760"/>
      <c r="Q137" s="186"/>
      <c r="R137" s="186"/>
      <c r="S137" s="186"/>
      <c r="T137" s="186"/>
      <c r="U137" s="186"/>
      <c r="V137" s="186"/>
      <c r="W137" s="186"/>
      <c r="X137" s="186"/>
      <c r="Y137" s="186"/>
      <c r="Z137" s="186"/>
      <c r="AA137" s="186"/>
      <c r="AB137" s="186"/>
      <c r="AC137" s="186"/>
      <c r="AD137" s="186"/>
      <c r="AE137" s="187"/>
      <c r="AF137" s="187"/>
      <c r="AG137" s="187"/>
      <c r="AH137" s="187"/>
      <c r="AI137" s="187"/>
      <c r="AJ137" s="187"/>
      <c r="AK137" s="186"/>
      <c r="AL137" s="186"/>
      <c r="AM137" s="188"/>
      <c r="AN137" s="189"/>
      <c r="AO137" s="186"/>
      <c r="AP137" s="186"/>
      <c r="AQ137" s="186"/>
      <c r="AR137" s="205">
        <f t="shared" si="38"/>
        <v>0</v>
      </c>
    </row>
    <row r="138" spans="1:44" s="29" customFormat="1" x14ac:dyDescent="0.25">
      <c r="A138" s="21"/>
      <c r="B138" s="269">
        <v>24</v>
      </c>
      <c r="C138" s="150" t="s">
        <v>195</v>
      </c>
      <c r="D138" s="149"/>
      <c r="E138" s="149"/>
      <c r="F138" s="149"/>
      <c r="G138" s="149"/>
      <c r="H138" s="150"/>
      <c r="I138" s="149"/>
      <c r="J138" s="149"/>
      <c r="K138" s="149"/>
      <c r="L138" s="149"/>
      <c r="M138" s="149"/>
      <c r="N138" s="151"/>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49"/>
      <c r="AJ138" s="149"/>
      <c r="AK138" s="149"/>
      <c r="AL138" s="149"/>
      <c r="AM138" s="152"/>
      <c r="AN138" s="149"/>
      <c r="AO138" s="149"/>
      <c r="AP138" s="149"/>
      <c r="AQ138" s="149"/>
      <c r="AR138" s="153"/>
    </row>
    <row r="139" spans="1:44" s="29" customFormat="1" ht="15" x14ac:dyDescent="0.25">
      <c r="A139" s="21"/>
      <c r="B139" s="24"/>
      <c r="C139" s="760"/>
      <c r="D139" s="280"/>
      <c r="E139" s="280"/>
      <c r="F139" s="280"/>
      <c r="G139" s="281">
        <v>78</v>
      </c>
      <c r="H139" s="236" t="s">
        <v>196</v>
      </c>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8"/>
      <c r="AN139" s="236"/>
      <c r="AO139" s="236"/>
      <c r="AP139" s="236"/>
      <c r="AQ139" s="236"/>
      <c r="AR139" s="239"/>
    </row>
    <row r="140" spans="1:44" s="29" customFormat="1" ht="84.75" customHeight="1" x14ac:dyDescent="0.25">
      <c r="A140" s="21"/>
      <c r="B140" s="30"/>
      <c r="C140" s="912">
        <v>13</v>
      </c>
      <c r="D140" s="941" t="s">
        <v>197</v>
      </c>
      <c r="E140" s="924" t="s">
        <v>198</v>
      </c>
      <c r="F140" s="924" t="s">
        <v>199</v>
      </c>
      <c r="G140" s="24"/>
      <c r="H140" s="767">
        <v>226</v>
      </c>
      <c r="I140" s="762" t="s">
        <v>200</v>
      </c>
      <c r="J140" s="25">
        <v>12</v>
      </c>
      <c r="K140" s="66">
        <v>12</v>
      </c>
      <c r="L140" s="66">
        <v>11</v>
      </c>
      <c r="M140" s="1060" t="s">
        <v>201</v>
      </c>
      <c r="N140" s="948" t="s">
        <v>202</v>
      </c>
      <c r="O140" s="941" t="s">
        <v>203</v>
      </c>
      <c r="P140" s="58" t="s">
        <v>47</v>
      </c>
      <c r="Q140" s="27">
        <v>0</v>
      </c>
      <c r="R140" s="27">
        <v>0</v>
      </c>
      <c r="S140" s="27">
        <v>0</v>
      </c>
      <c r="T140" s="27">
        <v>0</v>
      </c>
      <c r="U140" s="27">
        <v>0</v>
      </c>
      <c r="V140" s="27">
        <v>0</v>
      </c>
      <c r="W140" s="27">
        <v>0</v>
      </c>
      <c r="X140" s="27"/>
      <c r="Y140" s="27"/>
      <c r="Z140" s="27"/>
      <c r="AA140" s="27">
        <v>0</v>
      </c>
      <c r="AB140" s="27"/>
      <c r="AC140" s="27">
        <v>0</v>
      </c>
      <c r="AD140" s="27">
        <v>0</v>
      </c>
      <c r="AE140" s="27"/>
      <c r="AF140" s="27"/>
      <c r="AG140" s="27"/>
      <c r="AH140" s="27"/>
      <c r="AI140" s="27"/>
      <c r="AJ140" s="27"/>
      <c r="AK140" s="27">
        <v>0</v>
      </c>
      <c r="AL140" s="27">
        <v>0</v>
      </c>
      <c r="AM140" s="108">
        <f>140400000+110000000</f>
        <v>250400000</v>
      </c>
      <c r="AN140" s="15"/>
      <c r="AO140" s="27">
        <v>0</v>
      </c>
      <c r="AP140" s="28">
        <v>0</v>
      </c>
      <c r="AQ140" s="28"/>
      <c r="AR140" s="27">
        <f t="shared" si="38"/>
        <v>250400000</v>
      </c>
    </row>
    <row r="141" spans="1:44" s="29" customFormat="1" ht="60.75" customHeight="1" x14ac:dyDescent="0.25">
      <c r="A141" s="21"/>
      <c r="B141" s="30"/>
      <c r="C141" s="913"/>
      <c r="D141" s="942"/>
      <c r="E141" s="925"/>
      <c r="F141" s="925"/>
      <c r="G141" s="30"/>
      <c r="H141" s="767">
        <v>227</v>
      </c>
      <c r="I141" s="762" t="s">
        <v>204</v>
      </c>
      <c r="J141" s="25">
        <v>12</v>
      </c>
      <c r="K141" s="66">
        <v>12</v>
      </c>
      <c r="L141" s="66">
        <v>0.5</v>
      </c>
      <c r="M141" s="1058"/>
      <c r="N141" s="959"/>
      <c r="O141" s="942"/>
      <c r="P141" s="58" t="s">
        <v>47</v>
      </c>
      <c r="Q141" s="27">
        <v>0</v>
      </c>
      <c r="R141" s="27">
        <v>0</v>
      </c>
      <c r="S141" s="27">
        <v>0</v>
      </c>
      <c r="T141" s="27">
        <v>0</v>
      </c>
      <c r="U141" s="27">
        <v>0</v>
      </c>
      <c r="V141" s="27">
        <v>0</v>
      </c>
      <c r="W141" s="27">
        <v>0</v>
      </c>
      <c r="X141" s="27"/>
      <c r="Y141" s="27"/>
      <c r="Z141" s="27"/>
      <c r="AA141" s="27">
        <v>0</v>
      </c>
      <c r="AB141" s="27"/>
      <c r="AC141" s="27">
        <v>0</v>
      </c>
      <c r="AD141" s="27">
        <v>0</v>
      </c>
      <c r="AE141" s="27"/>
      <c r="AF141" s="27"/>
      <c r="AG141" s="27"/>
      <c r="AH141" s="27"/>
      <c r="AI141" s="27"/>
      <c r="AJ141" s="27"/>
      <c r="AK141" s="27">
        <v>0</v>
      </c>
      <c r="AL141" s="27">
        <v>0</v>
      </c>
      <c r="AM141" s="108">
        <f>154300000+52000000</f>
        <v>206300000</v>
      </c>
      <c r="AN141" s="15"/>
      <c r="AO141" s="27">
        <v>0</v>
      </c>
      <c r="AP141" s="28">
        <v>0</v>
      </c>
      <c r="AQ141" s="28"/>
      <c r="AR141" s="27">
        <f t="shared" ref="AR141:AR204" si="82">Q141+R141+S141+T141+U141+V141+W141+X141+Y141+Z141+AA141+AB141+AC141+AD141+AE141+AF141+AG141+AH141+AI141+AJ141+AK141+AL141+AM141+AN141+AO141+AP141+AQ141</f>
        <v>206300000</v>
      </c>
    </row>
    <row r="142" spans="1:44" s="29" customFormat="1" ht="69" customHeight="1" x14ac:dyDescent="0.25">
      <c r="A142" s="21"/>
      <c r="B142" s="30"/>
      <c r="C142" s="913"/>
      <c r="D142" s="942"/>
      <c r="E142" s="925"/>
      <c r="F142" s="925"/>
      <c r="G142" s="30"/>
      <c r="H142" s="767">
        <v>228</v>
      </c>
      <c r="I142" s="762" t="s">
        <v>205</v>
      </c>
      <c r="J142" s="25">
        <v>2</v>
      </c>
      <c r="K142" s="66">
        <v>2</v>
      </c>
      <c r="L142" s="66">
        <v>0.49</v>
      </c>
      <c r="M142" s="1058"/>
      <c r="N142" s="959"/>
      <c r="O142" s="942"/>
      <c r="P142" s="58" t="s">
        <v>47</v>
      </c>
      <c r="Q142" s="27">
        <v>0</v>
      </c>
      <c r="R142" s="27">
        <v>0</v>
      </c>
      <c r="S142" s="27">
        <v>0</v>
      </c>
      <c r="T142" s="27">
        <v>0</v>
      </c>
      <c r="U142" s="27">
        <v>0</v>
      </c>
      <c r="V142" s="27">
        <v>0</v>
      </c>
      <c r="W142" s="27">
        <v>0</v>
      </c>
      <c r="X142" s="27"/>
      <c r="Y142" s="27"/>
      <c r="Z142" s="27"/>
      <c r="AA142" s="27">
        <v>0</v>
      </c>
      <c r="AB142" s="27"/>
      <c r="AC142" s="27">
        <v>0</v>
      </c>
      <c r="AD142" s="27">
        <v>0</v>
      </c>
      <c r="AE142" s="27"/>
      <c r="AF142" s="27"/>
      <c r="AG142" s="27"/>
      <c r="AH142" s="27"/>
      <c r="AI142" s="27"/>
      <c r="AJ142" s="27"/>
      <c r="AK142" s="27">
        <v>0</v>
      </c>
      <c r="AL142" s="27">
        <v>0</v>
      </c>
      <c r="AM142" s="108">
        <v>25100000</v>
      </c>
      <c r="AN142" s="15"/>
      <c r="AO142" s="27">
        <v>0</v>
      </c>
      <c r="AP142" s="28">
        <v>0</v>
      </c>
      <c r="AQ142" s="28"/>
      <c r="AR142" s="27">
        <f t="shared" si="82"/>
        <v>25100000</v>
      </c>
    </row>
    <row r="143" spans="1:44" s="29" customFormat="1" ht="69" customHeight="1" x14ac:dyDescent="0.25">
      <c r="A143" s="21"/>
      <c r="B143" s="30"/>
      <c r="C143" s="913"/>
      <c r="D143" s="942"/>
      <c r="E143" s="925"/>
      <c r="F143" s="925"/>
      <c r="G143" s="30"/>
      <c r="H143" s="767">
        <v>229</v>
      </c>
      <c r="I143" s="762" t="s">
        <v>206</v>
      </c>
      <c r="J143" s="67">
        <v>13</v>
      </c>
      <c r="K143" s="66">
        <v>13</v>
      </c>
      <c r="L143" s="66">
        <v>5</v>
      </c>
      <c r="M143" s="1058"/>
      <c r="N143" s="959"/>
      <c r="O143" s="942"/>
      <c r="P143" s="58" t="s">
        <v>47</v>
      </c>
      <c r="Q143" s="27">
        <v>0</v>
      </c>
      <c r="R143" s="27">
        <v>0</v>
      </c>
      <c r="S143" s="27">
        <v>0</v>
      </c>
      <c r="T143" s="27">
        <v>0</v>
      </c>
      <c r="U143" s="27">
        <v>0</v>
      </c>
      <c r="V143" s="27">
        <v>0</v>
      </c>
      <c r="W143" s="27">
        <v>0</v>
      </c>
      <c r="X143" s="27"/>
      <c r="Y143" s="27"/>
      <c r="Z143" s="27"/>
      <c r="AA143" s="27">
        <v>0</v>
      </c>
      <c r="AB143" s="27"/>
      <c r="AC143" s="27">
        <v>0</v>
      </c>
      <c r="AD143" s="27">
        <v>0</v>
      </c>
      <c r="AE143" s="27"/>
      <c r="AF143" s="27"/>
      <c r="AG143" s="27"/>
      <c r="AH143" s="27"/>
      <c r="AI143" s="27"/>
      <c r="AJ143" s="27"/>
      <c r="AK143" s="27">
        <v>0</v>
      </c>
      <c r="AL143" s="27">
        <v>0</v>
      </c>
      <c r="AM143" s="108">
        <v>47350000</v>
      </c>
      <c r="AN143" s="15"/>
      <c r="AO143" s="27">
        <v>0</v>
      </c>
      <c r="AP143" s="28">
        <v>0</v>
      </c>
      <c r="AQ143" s="28"/>
      <c r="AR143" s="27">
        <f t="shared" si="82"/>
        <v>47350000</v>
      </c>
    </row>
    <row r="144" spans="1:44" s="29" customFormat="1" ht="69" customHeight="1" thickBot="1" x14ac:dyDescent="0.3">
      <c r="A144" s="21"/>
      <c r="B144" s="30"/>
      <c r="C144" s="914"/>
      <c r="D144" s="943"/>
      <c r="E144" s="926"/>
      <c r="F144" s="926"/>
      <c r="G144" s="30"/>
      <c r="H144" s="767">
        <v>230</v>
      </c>
      <c r="I144" s="762" t="s">
        <v>207</v>
      </c>
      <c r="J144" s="25">
        <v>0</v>
      </c>
      <c r="K144" s="68">
        <v>1</v>
      </c>
      <c r="L144" s="129">
        <v>0.31</v>
      </c>
      <c r="M144" s="1059"/>
      <c r="N144" s="949"/>
      <c r="O144" s="943"/>
      <c r="P144" s="58" t="s">
        <v>47</v>
      </c>
      <c r="Q144" s="27">
        <v>0</v>
      </c>
      <c r="R144" s="27">
        <v>0</v>
      </c>
      <c r="S144" s="27">
        <v>0</v>
      </c>
      <c r="T144" s="27">
        <v>0</v>
      </c>
      <c r="U144" s="27">
        <v>0</v>
      </c>
      <c r="V144" s="27">
        <v>0</v>
      </c>
      <c r="W144" s="27">
        <v>0</v>
      </c>
      <c r="X144" s="27"/>
      <c r="Y144" s="27"/>
      <c r="Z144" s="27"/>
      <c r="AA144" s="27">
        <v>0</v>
      </c>
      <c r="AB144" s="27"/>
      <c r="AC144" s="27">
        <v>0</v>
      </c>
      <c r="AD144" s="27">
        <v>0</v>
      </c>
      <c r="AE144" s="27"/>
      <c r="AF144" s="27"/>
      <c r="AG144" s="27"/>
      <c r="AH144" s="27"/>
      <c r="AI144" s="27"/>
      <c r="AJ144" s="27"/>
      <c r="AK144" s="27">
        <v>0</v>
      </c>
      <c r="AL144" s="27">
        <v>0</v>
      </c>
      <c r="AM144" s="108">
        <f>23039775.75+25000000</f>
        <v>48039775.75</v>
      </c>
      <c r="AN144" s="15"/>
      <c r="AO144" s="27">
        <v>0</v>
      </c>
      <c r="AP144" s="28">
        <v>0</v>
      </c>
      <c r="AQ144" s="28"/>
      <c r="AR144" s="27">
        <f t="shared" si="82"/>
        <v>48039775.75</v>
      </c>
    </row>
    <row r="145" spans="1:44" s="165" customFormat="1" ht="15" x14ac:dyDescent="0.25">
      <c r="A145" s="21"/>
      <c r="B145" s="30"/>
      <c r="C145" s="224"/>
      <c r="D145" s="159"/>
      <c r="E145" s="604"/>
      <c r="F145" s="604"/>
      <c r="G145" s="160"/>
      <c r="H145" s="161"/>
      <c r="I145" s="160"/>
      <c r="J145" s="162"/>
      <c r="K145" s="282"/>
      <c r="L145" s="282"/>
      <c r="M145" s="282"/>
      <c r="N145" s="163"/>
      <c r="O145" s="160"/>
      <c r="P145" s="161"/>
      <c r="Q145" s="164">
        <f t="shared" ref="Q145:AP145" si="83">SUM(Q140:Q144)</f>
        <v>0</v>
      </c>
      <c r="R145" s="164">
        <f t="shared" si="83"/>
        <v>0</v>
      </c>
      <c r="S145" s="164">
        <f t="shared" si="83"/>
        <v>0</v>
      </c>
      <c r="T145" s="164">
        <f t="shared" si="83"/>
        <v>0</v>
      </c>
      <c r="U145" s="164">
        <f t="shared" si="83"/>
        <v>0</v>
      </c>
      <c r="V145" s="164">
        <f t="shared" si="83"/>
        <v>0</v>
      </c>
      <c r="W145" s="164">
        <f t="shared" si="83"/>
        <v>0</v>
      </c>
      <c r="X145" s="164">
        <f t="shared" si="83"/>
        <v>0</v>
      </c>
      <c r="Y145" s="164">
        <f t="shared" si="83"/>
        <v>0</v>
      </c>
      <c r="Z145" s="164">
        <f t="shared" si="83"/>
        <v>0</v>
      </c>
      <c r="AA145" s="164">
        <f t="shared" si="83"/>
        <v>0</v>
      </c>
      <c r="AB145" s="164">
        <f t="shared" si="83"/>
        <v>0</v>
      </c>
      <c r="AC145" s="164">
        <f t="shared" si="83"/>
        <v>0</v>
      </c>
      <c r="AD145" s="164">
        <f t="shared" si="83"/>
        <v>0</v>
      </c>
      <c r="AE145" s="164">
        <f t="shared" si="83"/>
        <v>0</v>
      </c>
      <c r="AF145" s="164">
        <f t="shared" si="83"/>
        <v>0</v>
      </c>
      <c r="AG145" s="164">
        <f t="shared" si="83"/>
        <v>0</v>
      </c>
      <c r="AH145" s="164">
        <f t="shared" si="83"/>
        <v>0</v>
      </c>
      <c r="AI145" s="164">
        <f t="shared" si="83"/>
        <v>0</v>
      </c>
      <c r="AJ145" s="164">
        <f t="shared" si="83"/>
        <v>0</v>
      </c>
      <c r="AK145" s="164">
        <f t="shared" si="83"/>
        <v>0</v>
      </c>
      <c r="AL145" s="164">
        <f t="shared" si="83"/>
        <v>0</v>
      </c>
      <c r="AM145" s="164">
        <f t="shared" si="83"/>
        <v>577189775.75</v>
      </c>
      <c r="AN145" s="164">
        <f t="shared" si="83"/>
        <v>0</v>
      </c>
      <c r="AO145" s="164">
        <f t="shared" si="83"/>
        <v>0</v>
      </c>
      <c r="AP145" s="164">
        <f t="shared" si="83"/>
        <v>0</v>
      </c>
      <c r="AQ145" s="164">
        <f t="shared" ref="AQ145" si="84">SUM(AQ140:AQ144)</f>
        <v>0</v>
      </c>
      <c r="AR145" s="164">
        <f t="shared" si="82"/>
        <v>577189775.75</v>
      </c>
    </row>
    <row r="146" spans="1:44" s="29" customFormat="1" ht="15" x14ac:dyDescent="0.25">
      <c r="A146" s="21"/>
      <c r="B146" s="30"/>
      <c r="C146" s="760"/>
      <c r="D146" s="183"/>
      <c r="E146" s="760"/>
      <c r="F146" s="760"/>
      <c r="G146" s="183"/>
      <c r="H146" s="760"/>
      <c r="I146" s="183"/>
      <c r="J146" s="184"/>
      <c r="K146" s="283"/>
      <c r="L146" s="851"/>
      <c r="M146" s="851"/>
      <c r="N146" s="833"/>
      <c r="O146" s="829"/>
      <c r="P146" s="760"/>
      <c r="Q146" s="186"/>
      <c r="R146" s="186"/>
      <c r="S146" s="186"/>
      <c r="T146" s="186"/>
      <c r="U146" s="186"/>
      <c r="V146" s="186"/>
      <c r="W146" s="186"/>
      <c r="X146" s="186"/>
      <c r="Y146" s="186"/>
      <c r="Z146" s="186"/>
      <c r="AA146" s="186"/>
      <c r="AB146" s="186"/>
      <c r="AC146" s="186"/>
      <c r="AD146" s="186"/>
      <c r="AE146" s="187"/>
      <c r="AF146" s="187"/>
      <c r="AG146" s="187"/>
      <c r="AH146" s="187"/>
      <c r="AI146" s="187"/>
      <c r="AJ146" s="187"/>
      <c r="AK146" s="186"/>
      <c r="AL146" s="186"/>
      <c r="AM146" s="285"/>
      <c r="AN146" s="284"/>
      <c r="AO146" s="186"/>
      <c r="AP146" s="186"/>
      <c r="AQ146" s="186"/>
      <c r="AR146" s="205">
        <f t="shared" si="82"/>
        <v>0</v>
      </c>
    </row>
    <row r="147" spans="1:44" s="165" customFormat="1" ht="15" x14ac:dyDescent="0.25">
      <c r="A147" s="21"/>
      <c r="B147" s="30"/>
      <c r="C147" s="224"/>
      <c r="D147" s="159"/>
      <c r="E147" s="604"/>
      <c r="F147" s="604"/>
      <c r="G147" s="261">
        <v>79</v>
      </c>
      <c r="H147" s="278" t="s">
        <v>208</v>
      </c>
      <c r="I147" s="194"/>
      <c r="J147" s="194"/>
      <c r="K147" s="194"/>
      <c r="L147" s="194"/>
      <c r="M147" s="194"/>
      <c r="N147" s="194"/>
      <c r="O147" s="194"/>
      <c r="P147" s="194"/>
      <c r="Q147" s="849"/>
      <c r="R147" s="849"/>
      <c r="S147" s="849"/>
      <c r="T147" s="849"/>
      <c r="U147" s="849"/>
      <c r="V147" s="849"/>
      <c r="W147" s="849"/>
      <c r="X147" s="849"/>
      <c r="Y147" s="849"/>
      <c r="Z147" s="849"/>
      <c r="AA147" s="849"/>
      <c r="AB147" s="849"/>
      <c r="AC147" s="849"/>
      <c r="AD147" s="849"/>
      <c r="AE147" s="849"/>
      <c r="AF147" s="849"/>
      <c r="AG147" s="849"/>
      <c r="AH147" s="849"/>
      <c r="AI147" s="849"/>
      <c r="AJ147" s="849"/>
      <c r="AK147" s="849"/>
      <c r="AL147" s="849"/>
      <c r="AM147" s="852"/>
      <c r="AN147" s="849"/>
      <c r="AO147" s="849"/>
      <c r="AP147" s="849"/>
      <c r="AQ147" s="849"/>
      <c r="AR147" s="197"/>
    </row>
    <row r="148" spans="1:44" s="29" customFormat="1" ht="71.25" x14ac:dyDescent="0.25">
      <c r="A148" s="21"/>
      <c r="B148" s="30"/>
      <c r="C148" s="912">
        <v>13</v>
      </c>
      <c r="D148" s="941" t="s">
        <v>197</v>
      </c>
      <c r="E148" s="924" t="s">
        <v>198</v>
      </c>
      <c r="F148" s="924" t="s">
        <v>199</v>
      </c>
      <c r="G148" s="24"/>
      <c r="H148" s="767">
        <v>231</v>
      </c>
      <c r="I148" s="762" t="s">
        <v>209</v>
      </c>
      <c r="J148" s="25">
        <v>1</v>
      </c>
      <c r="K148" s="25">
        <v>1</v>
      </c>
      <c r="L148" s="25">
        <v>1</v>
      </c>
      <c r="M148" s="1060" t="s">
        <v>201</v>
      </c>
      <c r="N148" s="948" t="s">
        <v>210</v>
      </c>
      <c r="O148" s="941" t="s">
        <v>211</v>
      </c>
      <c r="P148" s="767" t="s">
        <v>47</v>
      </c>
      <c r="Q148" s="27">
        <v>0</v>
      </c>
      <c r="R148" s="27">
        <v>0</v>
      </c>
      <c r="S148" s="27">
        <v>0</v>
      </c>
      <c r="T148" s="27">
        <v>0</v>
      </c>
      <c r="U148" s="27">
        <v>0</v>
      </c>
      <c r="V148" s="27">
        <v>0</v>
      </c>
      <c r="W148" s="27">
        <v>0</v>
      </c>
      <c r="X148" s="27"/>
      <c r="Y148" s="27"/>
      <c r="Z148" s="27"/>
      <c r="AA148" s="27">
        <v>0</v>
      </c>
      <c r="AB148" s="27"/>
      <c r="AC148" s="27">
        <v>0</v>
      </c>
      <c r="AD148" s="27">
        <v>0</v>
      </c>
      <c r="AE148" s="27"/>
      <c r="AF148" s="27"/>
      <c r="AG148" s="27"/>
      <c r="AH148" s="27"/>
      <c r="AI148" s="27"/>
      <c r="AJ148" s="27"/>
      <c r="AK148" s="27">
        <v>0</v>
      </c>
      <c r="AL148" s="27">
        <v>0</v>
      </c>
      <c r="AM148" s="108">
        <v>3090000</v>
      </c>
      <c r="AN148" s="15"/>
      <c r="AO148" s="27">
        <v>0</v>
      </c>
      <c r="AP148" s="28">
        <v>0</v>
      </c>
      <c r="AQ148" s="28"/>
      <c r="AR148" s="27">
        <f t="shared" si="82"/>
        <v>3090000</v>
      </c>
    </row>
    <row r="149" spans="1:44" s="29" customFormat="1" ht="71.25" x14ac:dyDescent="0.25">
      <c r="A149" s="21"/>
      <c r="B149" s="30"/>
      <c r="C149" s="913"/>
      <c r="D149" s="942"/>
      <c r="E149" s="925"/>
      <c r="F149" s="925"/>
      <c r="G149" s="30"/>
      <c r="H149" s="767">
        <v>232</v>
      </c>
      <c r="I149" s="762" t="s">
        <v>212</v>
      </c>
      <c r="J149" s="25">
        <v>12</v>
      </c>
      <c r="K149" s="25">
        <v>12</v>
      </c>
      <c r="L149" s="25">
        <v>11</v>
      </c>
      <c r="M149" s="1058"/>
      <c r="N149" s="959"/>
      <c r="O149" s="942"/>
      <c r="P149" s="767" t="s">
        <v>47</v>
      </c>
      <c r="Q149" s="27">
        <v>0</v>
      </c>
      <c r="R149" s="27">
        <v>0</v>
      </c>
      <c r="S149" s="27">
        <v>0</v>
      </c>
      <c r="T149" s="27">
        <v>0</v>
      </c>
      <c r="U149" s="27">
        <v>0</v>
      </c>
      <c r="V149" s="27">
        <v>0</v>
      </c>
      <c r="W149" s="27">
        <v>0</v>
      </c>
      <c r="X149" s="27"/>
      <c r="Y149" s="27"/>
      <c r="Z149" s="27"/>
      <c r="AA149" s="27">
        <v>0</v>
      </c>
      <c r="AB149" s="27"/>
      <c r="AC149" s="27">
        <v>0</v>
      </c>
      <c r="AD149" s="27">
        <v>0</v>
      </c>
      <c r="AE149" s="27"/>
      <c r="AF149" s="27"/>
      <c r="AG149" s="27"/>
      <c r="AH149" s="27"/>
      <c r="AI149" s="27"/>
      <c r="AJ149" s="27"/>
      <c r="AK149" s="27">
        <v>0</v>
      </c>
      <c r="AL149" s="27">
        <v>0</v>
      </c>
      <c r="AM149" s="108">
        <v>18952000</v>
      </c>
      <c r="AN149" s="15"/>
      <c r="AO149" s="27">
        <v>0</v>
      </c>
      <c r="AP149" s="28">
        <v>0</v>
      </c>
      <c r="AQ149" s="28"/>
      <c r="AR149" s="27">
        <f t="shared" si="82"/>
        <v>18952000</v>
      </c>
    </row>
    <row r="150" spans="1:44" s="29" customFormat="1" ht="43.5" customHeight="1" x14ac:dyDescent="0.25">
      <c r="A150" s="21"/>
      <c r="B150" s="30"/>
      <c r="C150" s="914"/>
      <c r="D150" s="943"/>
      <c r="E150" s="926"/>
      <c r="F150" s="926"/>
      <c r="G150" s="30"/>
      <c r="H150" s="767">
        <v>233</v>
      </c>
      <c r="I150" s="762" t="s">
        <v>213</v>
      </c>
      <c r="J150" s="25">
        <v>1</v>
      </c>
      <c r="K150" s="25">
        <v>1</v>
      </c>
      <c r="L150" s="44">
        <v>0.49</v>
      </c>
      <c r="M150" s="1059"/>
      <c r="N150" s="949"/>
      <c r="O150" s="943"/>
      <c r="P150" s="767" t="s">
        <v>47</v>
      </c>
      <c r="Q150" s="27">
        <v>0</v>
      </c>
      <c r="R150" s="27">
        <v>0</v>
      </c>
      <c r="S150" s="27">
        <v>0</v>
      </c>
      <c r="T150" s="27">
        <v>0</v>
      </c>
      <c r="U150" s="27">
        <v>0</v>
      </c>
      <c r="V150" s="27">
        <v>0</v>
      </c>
      <c r="W150" s="27">
        <v>0</v>
      </c>
      <c r="X150" s="27"/>
      <c r="Y150" s="27"/>
      <c r="Z150" s="27"/>
      <c r="AA150" s="27">
        <v>0</v>
      </c>
      <c r="AB150" s="27"/>
      <c r="AC150" s="27">
        <v>0</v>
      </c>
      <c r="AD150" s="27">
        <v>0</v>
      </c>
      <c r="AE150" s="27"/>
      <c r="AF150" s="27"/>
      <c r="AG150" s="27"/>
      <c r="AH150" s="27"/>
      <c r="AI150" s="27"/>
      <c r="AJ150" s="27"/>
      <c r="AK150" s="27">
        <v>0</v>
      </c>
      <c r="AL150" s="27">
        <v>0</v>
      </c>
      <c r="AM150" s="108">
        <v>15038000</v>
      </c>
      <c r="AN150" s="15"/>
      <c r="AO150" s="27">
        <v>0</v>
      </c>
      <c r="AP150" s="28">
        <v>0</v>
      </c>
      <c r="AQ150" s="28"/>
      <c r="AR150" s="27">
        <f t="shared" si="82"/>
        <v>15038000</v>
      </c>
    </row>
    <row r="151" spans="1:44" s="165" customFormat="1" ht="15" x14ac:dyDescent="0.25">
      <c r="A151" s="21"/>
      <c r="B151" s="30"/>
      <c r="C151" s="224"/>
      <c r="D151" s="159"/>
      <c r="E151" s="604"/>
      <c r="F151" s="604"/>
      <c r="G151" s="160"/>
      <c r="H151" s="161"/>
      <c r="I151" s="160"/>
      <c r="J151" s="162"/>
      <c r="K151" s="162"/>
      <c r="L151" s="162"/>
      <c r="M151" s="162"/>
      <c r="N151" s="163"/>
      <c r="O151" s="160"/>
      <c r="P151" s="161"/>
      <c r="Q151" s="164">
        <f t="shared" ref="Q151:AO151" si="85">SUM(Q148:Q150)</f>
        <v>0</v>
      </c>
      <c r="R151" s="164">
        <f t="shared" si="85"/>
        <v>0</v>
      </c>
      <c r="S151" s="164">
        <f t="shared" si="85"/>
        <v>0</v>
      </c>
      <c r="T151" s="164">
        <f t="shared" si="85"/>
        <v>0</v>
      </c>
      <c r="U151" s="164">
        <f t="shared" si="85"/>
        <v>0</v>
      </c>
      <c r="V151" s="164">
        <f t="shared" si="85"/>
        <v>0</v>
      </c>
      <c r="W151" s="164">
        <f t="shared" si="85"/>
        <v>0</v>
      </c>
      <c r="X151" s="164">
        <f t="shared" si="85"/>
        <v>0</v>
      </c>
      <c r="Y151" s="164">
        <f t="shared" si="85"/>
        <v>0</v>
      </c>
      <c r="Z151" s="164">
        <f t="shared" si="85"/>
        <v>0</v>
      </c>
      <c r="AA151" s="164">
        <f t="shared" si="85"/>
        <v>0</v>
      </c>
      <c r="AB151" s="164">
        <f t="shared" si="85"/>
        <v>0</v>
      </c>
      <c r="AC151" s="164">
        <f t="shared" si="85"/>
        <v>0</v>
      </c>
      <c r="AD151" s="164">
        <f t="shared" si="85"/>
        <v>0</v>
      </c>
      <c r="AE151" s="164">
        <f t="shared" si="85"/>
        <v>0</v>
      </c>
      <c r="AF151" s="164">
        <f t="shared" si="85"/>
        <v>0</v>
      </c>
      <c r="AG151" s="164">
        <f t="shared" si="85"/>
        <v>0</v>
      </c>
      <c r="AH151" s="164">
        <f t="shared" si="85"/>
        <v>0</v>
      </c>
      <c r="AI151" s="164">
        <f t="shared" si="85"/>
        <v>0</v>
      </c>
      <c r="AJ151" s="164">
        <f t="shared" si="85"/>
        <v>0</v>
      </c>
      <c r="AK151" s="164">
        <f t="shared" si="85"/>
        <v>0</v>
      </c>
      <c r="AL151" s="164">
        <f t="shared" si="85"/>
        <v>0</v>
      </c>
      <c r="AM151" s="164">
        <f t="shared" si="85"/>
        <v>37080000</v>
      </c>
      <c r="AN151" s="164">
        <f t="shared" si="85"/>
        <v>0</v>
      </c>
      <c r="AO151" s="164">
        <f t="shared" si="85"/>
        <v>0</v>
      </c>
      <c r="AP151" s="164">
        <f t="shared" ref="AP151" si="86">SUM(AP148:AP150)</f>
        <v>0</v>
      </c>
      <c r="AQ151" s="164">
        <f t="shared" ref="AQ151" si="87">SUM(AQ148:AQ150)</f>
        <v>0</v>
      </c>
      <c r="AR151" s="164">
        <f t="shared" si="82"/>
        <v>37080000</v>
      </c>
    </row>
    <row r="152" spans="1:44" s="29" customFormat="1" ht="15" x14ac:dyDescent="0.25">
      <c r="A152" s="21"/>
      <c r="B152" s="30"/>
      <c r="C152" s="760"/>
      <c r="D152" s="183"/>
      <c r="E152" s="760"/>
      <c r="F152" s="760"/>
      <c r="G152" s="183"/>
      <c r="H152" s="760"/>
      <c r="I152" s="183"/>
      <c r="J152" s="184"/>
      <c r="K152" s="184"/>
      <c r="L152" s="832"/>
      <c r="M152" s="832"/>
      <c r="N152" s="833"/>
      <c r="O152" s="829"/>
      <c r="P152" s="760"/>
      <c r="Q152" s="186"/>
      <c r="R152" s="186"/>
      <c r="S152" s="186"/>
      <c r="T152" s="186"/>
      <c r="U152" s="186"/>
      <c r="V152" s="186"/>
      <c r="W152" s="186"/>
      <c r="X152" s="186"/>
      <c r="Y152" s="186"/>
      <c r="Z152" s="186"/>
      <c r="AA152" s="186"/>
      <c r="AB152" s="186"/>
      <c r="AC152" s="186"/>
      <c r="AD152" s="186"/>
      <c r="AE152" s="187"/>
      <c r="AF152" s="187"/>
      <c r="AG152" s="187"/>
      <c r="AH152" s="187"/>
      <c r="AI152" s="187"/>
      <c r="AJ152" s="187"/>
      <c r="AK152" s="186"/>
      <c r="AL152" s="186"/>
      <c r="AM152" s="285"/>
      <c r="AN152" s="286"/>
      <c r="AO152" s="186"/>
      <c r="AP152" s="186"/>
      <c r="AQ152" s="186"/>
      <c r="AR152" s="205">
        <f t="shared" si="82"/>
        <v>0</v>
      </c>
    </row>
    <row r="153" spans="1:44" s="165" customFormat="1" ht="15" x14ac:dyDescent="0.25">
      <c r="A153" s="21"/>
      <c r="B153" s="30"/>
      <c r="C153" s="224"/>
      <c r="D153" s="159"/>
      <c r="E153" s="604"/>
      <c r="F153" s="604"/>
      <c r="G153" s="261">
        <v>80</v>
      </c>
      <c r="H153" s="278" t="s">
        <v>214</v>
      </c>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E153" s="194"/>
      <c r="AF153" s="194"/>
      <c r="AG153" s="194"/>
      <c r="AH153" s="194"/>
      <c r="AI153" s="194"/>
      <c r="AJ153" s="194"/>
      <c r="AK153" s="194"/>
      <c r="AL153" s="194"/>
      <c r="AM153" s="196"/>
      <c r="AN153" s="194"/>
      <c r="AO153" s="194"/>
      <c r="AP153" s="194"/>
      <c r="AQ153" s="194"/>
      <c r="AR153" s="197"/>
    </row>
    <row r="154" spans="1:44" s="29" customFormat="1" ht="99.75" x14ac:dyDescent="0.25">
      <c r="A154" s="21"/>
      <c r="B154" s="30"/>
      <c r="C154" s="912">
        <v>13</v>
      </c>
      <c r="D154" s="941" t="s">
        <v>197</v>
      </c>
      <c r="E154" s="924">
        <v>71.040000000000006</v>
      </c>
      <c r="F154" s="924">
        <v>88.17</v>
      </c>
      <c r="G154" s="24"/>
      <c r="H154" s="767">
        <v>234</v>
      </c>
      <c r="I154" s="762" t="s">
        <v>215</v>
      </c>
      <c r="J154" s="25" t="s">
        <v>38</v>
      </c>
      <c r="K154" s="69">
        <v>7</v>
      </c>
      <c r="L154" s="66">
        <v>6</v>
      </c>
      <c r="M154" s="1060" t="s">
        <v>201</v>
      </c>
      <c r="N154" s="948" t="s">
        <v>216</v>
      </c>
      <c r="O154" s="941" t="s">
        <v>217</v>
      </c>
      <c r="P154" s="767" t="s">
        <v>42</v>
      </c>
      <c r="Q154" s="27">
        <v>0</v>
      </c>
      <c r="R154" s="27">
        <v>0</v>
      </c>
      <c r="S154" s="27">
        <v>0</v>
      </c>
      <c r="T154" s="27">
        <v>0</v>
      </c>
      <c r="U154" s="27">
        <v>0</v>
      </c>
      <c r="V154" s="27">
        <v>0</v>
      </c>
      <c r="W154" s="27">
        <v>0</v>
      </c>
      <c r="X154" s="27"/>
      <c r="Y154" s="27"/>
      <c r="Z154" s="27"/>
      <c r="AA154" s="27">
        <v>0</v>
      </c>
      <c r="AB154" s="27"/>
      <c r="AC154" s="27">
        <v>0</v>
      </c>
      <c r="AD154" s="27">
        <v>0</v>
      </c>
      <c r="AE154" s="27"/>
      <c r="AF154" s="27"/>
      <c r="AG154" s="27"/>
      <c r="AH154" s="27"/>
      <c r="AI154" s="27"/>
      <c r="AJ154" s="27"/>
      <c r="AK154" s="27">
        <v>0</v>
      </c>
      <c r="AL154" s="27">
        <v>0</v>
      </c>
      <c r="AM154" s="108">
        <v>13390000</v>
      </c>
      <c r="AN154" s="15"/>
      <c r="AO154" s="27">
        <v>0</v>
      </c>
      <c r="AP154" s="28">
        <v>0</v>
      </c>
      <c r="AQ154" s="28"/>
      <c r="AR154" s="27">
        <f t="shared" si="82"/>
        <v>13390000</v>
      </c>
    </row>
    <row r="155" spans="1:44" s="29" customFormat="1" ht="87.75" customHeight="1" x14ac:dyDescent="0.25">
      <c r="A155" s="21"/>
      <c r="B155" s="30"/>
      <c r="C155" s="914"/>
      <c r="D155" s="943"/>
      <c r="E155" s="926"/>
      <c r="F155" s="926"/>
      <c r="G155" s="30"/>
      <c r="H155" s="767">
        <v>235</v>
      </c>
      <c r="I155" s="762" t="s">
        <v>218</v>
      </c>
      <c r="J155" s="25" t="s">
        <v>38</v>
      </c>
      <c r="K155" s="70">
        <v>7</v>
      </c>
      <c r="L155" s="70">
        <v>5</v>
      </c>
      <c r="M155" s="1059"/>
      <c r="N155" s="949"/>
      <c r="O155" s="943"/>
      <c r="P155" s="767" t="s">
        <v>42</v>
      </c>
      <c r="Q155" s="27">
        <v>0</v>
      </c>
      <c r="R155" s="27">
        <v>0</v>
      </c>
      <c r="S155" s="27">
        <v>0</v>
      </c>
      <c r="T155" s="27">
        <v>0</v>
      </c>
      <c r="U155" s="27">
        <v>0</v>
      </c>
      <c r="V155" s="27">
        <v>0</v>
      </c>
      <c r="W155" s="27">
        <v>0</v>
      </c>
      <c r="X155" s="27"/>
      <c r="Y155" s="27"/>
      <c r="Z155" s="27"/>
      <c r="AA155" s="27">
        <v>0</v>
      </c>
      <c r="AB155" s="27"/>
      <c r="AC155" s="27">
        <v>0</v>
      </c>
      <c r="AD155" s="27">
        <v>0</v>
      </c>
      <c r="AE155" s="27"/>
      <c r="AF155" s="27"/>
      <c r="AG155" s="27"/>
      <c r="AH155" s="27"/>
      <c r="AI155" s="27"/>
      <c r="AJ155" s="27"/>
      <c r="AK155" s="27">
        <v>0</v>
      </c>
      <c r="AL155" s="27">
        <v>0</v>
      </c>
      <c r="AM155" s="108">
        <v>23690000</v>
      </c>
      <c r="AN155" s="15"/>
      <c r="AO155" s="27">
        <v>0</v>
      </c>
      <c r="AP155" s="28">
        <v>0</v>
      </c>
      <c r="AQ155" s="28"/>
      <c r="AR155" s="27">
        <f t="shared" si="82"/>
        <v>23690000</v>
      </c>
    </row>
    <row r="156" spans="1:44" s="165" customFormat="1" ht="15" x14ac:dyDescent="0.25">
      <c r="A156" s="21"/>
      <c r="B156" s="32"/>
      <c r="C156" s="224"/>
      <c r="D156" s="159"/>
      <c r="E156" s="604"/>
      <c r="F156" s="604"/>
      <c r="G156" s="160"/>
      <c r="H156" s="161"/>
      <c r="I156" s="160"/>
      <c r="J156" s="162"/>
      <c r="K156" s="162"/>
      <c r="L156" s="162"/>
      <c r="M156" s="162"/>
      <c r="N156" s="163"/>
      <c r="O156" s="160"/>
      <c r="P156" s="161"/>
      <c r="Q156" s="164">
        <f t="shared" ref="Q156:AL156" si="88">SUM(Q154:Q155)</f>
        <v>0</v>
      </c>
      <c r="R156" s="164">
        <f t="shared" si="88"/>
        <v>0</v>
      </c>
      <c r="S156" s="164">
        <f t="shared" si="88"/>
        <v>0</v>
      </c>
      <c r="T156" s="164">
        <f t="shared" si="88"/>
        <v>0</v>
      </c>
      <c r="U156" s="164">
        <f t="shared" si="88"/>
        <v>0</v>
      </c>
      <c r="V156" s="164">
        <f t="shared" si="88"/>
        <v>0</v>
      </c>
      <c r="W156" s="164">
        <f t="shared" si="88"/>
        <v>0</v>
      </c>
      <c r="X156" s="164">
        <f t="shared" si="88"/>
        <v>0</v>
      </c>
      <c r="Y156" s="164">
        <f t="shared" si="88"/>
        <v>0</v>
      </c>
      <c r="Z156" s="164">
        <f t="shared" si="88"/>
        <v>0</v>
      </c>
      <c r="AA156" s="164">
        <f t="shared" si="88"/>
        <v>0</v>
      </c>
      <c r="AB156" s="164">
        <f t="shared" si="88"/>
        <v>0</v>
      </c>
      <c r="AC156" s="164">
        <f t="shared" si="88"/>
        <v>0</v>
      </c>
      <c r="AD156" s="164">
        <f t="shared" si="88"/>
        <v>0</v>
      </c>
      <c r="AE156" s="164">
        <f t="shared" si="88"/>
        <v>0</v>
      </c>
      <c r="AF156" s="164">
        <f t="shared" si="88"/>
        <v>0</v>
      </c>
      <c r="AG156" s="164">
        <f t="shared" si="88"/>
        <v>0</v>
      </c>
      <c r="AH156" s="164">
        <f t="shared" si="88"/>
        <v>0</v>
      </c>
      <c r="AI156" s="164">
        <f t="shared" si="88"/>
        <v>0</v>
      </c>
      <c r="AJ156" s="164">
        <f t="shared" si="88"/>
        <v>0</v>
      </c>
      <c r="AK156" s="164">
        <f t="shared" si="88"/>
        <v>0</v>
      </c>
      <c r="AL156" s="164">
        <f t="shared" si="88"/>
        <v>0</v>
      </c>
      <c r="AM156" s="164">
        <f t="shared" ref="AM156:AP156" si="89">SUM(AM154:AM155)</f>
        <v>37080000</v>
      </c>
      <c r="AN156" s="164">
        <f t="shared" si="89"/>
        <v>0</v>
      </c>
      <c r="AO156" s="164">
        <f t="shared" si="89"/>
        <v>0</v>
      </c>
      <c r="AP156" s="164">
        <f t="shared" si="89"/>
        <v>0</v>
      </c>
      <c r="AQ156" s="164">
        <f t="shared" ref="AQ156" si="90">SUM(AQ154:AQ155)</f>
        <v>0</v>
      </c>
      <c r="AR156" s="164">
        <f t="shared" si="82"/>
        <v>37080000</v>
      </c>
    </row>
    <row r="157" spans="1:44" s="165" customFormat="1" ht="15" x14ac:dyDescent="0.25">
      <c r="A157" s="21"/>
      <c r="B157" s="167"/>
      <c r="C157" s="229"/>
      <c r="D157" s="167"/>
      <c r="E157" s="168"/>
      <c r="F157" s="168"/>
      <c r="G157" s="167"/>
      <c r="H157" s="168"/>
      <c r="I157" s="167"/>
      <c r="J157" s="169"/>
      <c r="K157" s="169"/>
      <c r="L157" s="169"/>
      <c r="M157" s="169"/>
      <c r="N157" s="170"/>
      <c r="O157" s="167"/>
      <c r="P157" s="168"/>
      <c r="Q157" s="171">
        <f t="shared" ref="Q157:AL157" si="91">Q156+Q151+Q145</f>
        <v>0</v>
      </c>
      <c r="R157" s="171">
        <f t="shared" si="91"/>
        <v>0</v>
      </c>
      <c r="S157" s="171">
        <f t="shared" si="91"/>
        <v>0</v>
      </c>
      <c r="T157" s="171">
        <f t="shared" si="91"/>
        <v>0</v>
      </c>
      <c r="U157" s="171">
        <f t="shared" si="91"/>
        <v>0</v>
      </c>
      <c r="V157" s="171">
        <f t="shared" si="91"/>
        <v>0</v>
      </c>
      <c r="W157" s="171">
        <f t="shared" si="91"/>
        <v>0</v>
      </c>
      <c r="X157" s="171">
        <f t="shared" si="91"/>
        <v>0</v>
      </c>
      <c r="Y157" s="171">
        <f t="shared" si="91"/>
        <v>0</v>
      </c>
      <c r="Z157" s="171">
        <f t="shared" si="91"/>
        <v>0</v>
      </c>
      <c r="AA157" s="171">
        <f t="shared" si="91"/>
        <v>0</v>
      </c>
      <c r="AB157" s="171">
        <f t="shared" si="91"/>
        <v>0</v>
      </c>
      <c r="AC157" s="171">
        <f t="shared" si="91"/>
        <v>0</v>
      </c>
      <c r="AD157" s="171">
        <f t="shared" si="91"/>
        <v>0</v>
      </c>
      <c r="AE157" s="171">
        <f t="shared" si="91"/>
        <v>0</v>
      </c>
      <c r="AF157" s="171">
        <f t="shared" si="91"/>
        <v>0</v>
      </c>
      <c r="AG157" s="171">
        <f t="shared" si="91"/>
        <v>0</v>
      </c>
      <c r="AH157" s="171">
        <f t="shared" si="91"/>
        <v>0</v>
      </c>
      <c r="AI157" s="171">
        <f t="shared" si="91"/>
        <v>0</v>
      </c>
      <c r="AJ157" s="171">
        <f t="shared" si="91"/>
        <v>0</v>
      </c>
      <c r="AK157" s="171">
        <f t="shared" si="91"/>
        <v>0</v>
      </c>
      <c r="AL157" s="171">
        <f t="shared" si="91"/>
        <v>0</v>
      </c>
      <c r="AM157" s="171">
        <f t="shared" ref="AM157:AP157" si="92">AM156+AM151+AM145</f>
        <v>651349775.75</v>
      </c>
      <c r="AN157" s="171">
        <f t="shared" si="92"/>
        <v>0</v>
      </c>
      <c r="AO157" s="171">
        <f t="shared" si="92"/>
        <v>0</v>
      </c>
      <c r="AP157" s="171">
        <f t="shared" si="92"/>
        <v>0</v>
      </c>
      <c r="AQ157" s="171">
        <f t="shared" ref="AQ157" si="93">AQ156+AQ151+AQ145</f>
        <v>0</v>
      </c>
      <c r="AR157" s="171">
        <f t="shared" si="82"/>
        <v>651349775.75</v>
      </c>
    </row>
    <row r="158" spans="1:44" s="29" customFormat="1" ht="15" x14ac:dyDescent="0.25">
      <c r="A158" s="21"/>
      <c r="B158" s="762"/>
      <c r="C158" s="760"/>
      <c r="D158" s="183"/>
      <c r="E158" s="760"/>
      <c r="F158" s="760"/>
      <c r="G158" s="183"/>
      <c r="H158" s="760"/>
      <c r="I158" s="183"/>
      <c r="J158" s="184"/>
      <c r="K158" s="184"/>
      <c r="L158" s="832"/>
      <c r="M158" s="832"/>
      <c r="N158" s="833"/>
      <c r="O158" s="829"/>
      <c r="P158" s="760"/>
      <c r="Q158" s="186"/>
      <c r="R158" s="186"/>
      <c r="S158" s="186"/>
      <c r="T158" s="186"/>
      <c r="U158" s="186"/>
      <c r="V158" s="186"/>
      <c r="W158" s="186"/>
      <c r="X158" s="186"/>
      <c r="Y158" s="186"/>
      <c r="Z158" s="186"/>
      <c r="AA158" s="186"/>
      <c r="AB158" s="186"/>
      <c r="AC158" s="186"/>
      <c r="AD158" s="186"/>
      <c r="AE158" s="187"/>
      <c r="AF158" s="187"/>
      <c r="AG158" s="187"/>
      <c r="AH158" s="187"/>
      <c r="AI158" s="187"/>
      <c r="AJ158" s="187"/>
      <c r="AK158" s="186"/>
      <c r="AL158" s="186"/>
      <c r="AM158" s="285"/>
      <c r="AN158" s="284"/>
      <c r="AO158" s="186"/>
      <c r="AP158" s="186"/>
      <c r="AQ158" s="186"/>
      <c r="AR158" s="205">
        <f t="shared" si="82"/>
        <v>0</v>
      </c>
    </row>
    <row r="159" spans="1:44" s="165" customFormat="1" x14ac:dyDescent="0.25">
      <c r="A159" s="21"/>
      <c r="B159" s="269">
        <v>25</v>
      </c>
      <c r="C159" s="853" t="s">
        <v>219</v>
      </c>
      <c r="D159" s="854"/>
      <c r="E159" s="854"/>
      <c r="F159" s="854"/>
      <c r="G159" s="854"/>
      <c r="H159" s="853"/>
      <c r="I159" s="854"/>
      <c r="J159" s="854"/>
      <c r="K159" s="854"/>
      <c r="L159" s="854"/>
      <c r="M159" s="854"/>
      <c r="N159" s="855"/>
      <c r="O159" s="854"/>
      <c r="P159" s="854"/>
      <c r="Q159" s="854"/>
      <c r="R159" s="854"/>
      <c r="S159" s="854"/>
      <c r="T159" s="854"/>
      <c r="U159" s="854"/>
      <c r="V159" s="854"/>
      <c r="W159" s="854"/>
      <c r="X159" s="854"/>
      <c r="Y159" s="854"/>
      <c r="Z159" s="854"/>
      <c r="AA159" s="854"/>
      <c r="AB159" s="854"/>
      <c r="AC159" s="854"/>
      <c r="AD159" s="854"/>
      <c r="AE159" s="854"/>
      <c r="AF159" s="854"/>
      <c r="AG159" s="854"/>
      <c r="AH159" s="854"/>
      <c r="AI159" s="854"/>
      <c r="AJ159" s="854"/>
      <c r="AK159" s="854"/>
      <c r="AL159" s="854"/>
      <c r="AM159" s="856"/>
      <c r="AN159" s="854"/>
      <c r="AO159" s="854"/>
      <c r="AP159" s="854"/>
      <c r="AQ159" s="854"/>
      <c r="AR159" s="857"/>
    </row>
    <row r="160" spans="1:44" s="165" customFormat="1" ht="15" x14ac:dyDescent="0.25">
      <c r="A160" s="21"/>
      <c r="B160" s="190"/>
      <c r="C160" s="858"/>
      <c r="D160" s="859"/>
      <c r="E160" s="859"/>
      <c r="F160" s="859"/>
      <c r="G160" s="193">
        <v>81</v>
      </c>
      <c r="H160" s="194" t="s">
        <v>220</v>
      </c>
      <c r="I160" s="194"/>
      <c r="J160" s="194"/>
      <c r="K160" s="194"/>
      <c r="L160" s="194"/>
      <c r="M160" s="194"/>
      <c r="N160" s="194"/>
      <c r="O160" s="194"/>
      <c r="P160" s="194"/>
      <c r="Q160" s="194"/>
      <c r="R160" s="194"/>
      <c r="S160" s="194"/>
      <c r="T160" s="194"/>
      <c r="U160" s="194"/>
      <c r="V160" s="194"/>
      <c r="W160" s="194"/>
      <c r="X160" s="194"/>
      <c r="Y160" s="194"/>
      <c r="Z160" s="194"/>
      <c r="AA160" s="194"/>
      <c r="AB160" s="194"/>
      <c r="AC160" s="194"/>
      <c r="AD160" s="194"/>
      <c r="AE160" s="194"/>
      <c r="AF160" s="194"/>
      <c r="AG160" s="194"/>
      <c r="AH160" s="194"/>
      <c r="AI160" s="194"/>
      <c r="AJ160" s="194"/>
      <c r="AK160" s="194"/>
      <c r="AL160" s="194"/>
      <c r="AM160" s="196"/>
      <c r="AN160" s="194"/>
      <c r="AO160" s="194"/>
      <c r="AP160" s="194"/>
      <c r="AQ160" s="194"/>
      <c r="AR160" s="197"/>
    </row>
    <row r="161" spans="1:44" s="29" customFormat="1" ht="57" x14ac:dyDescent="0.25">
      <c r="A161" s="21"/>
      <c r="B161" s="21"/>
      <c r="C161" s="912">
        <v>13</v>
      </c>
      <c r="D161" s="941" t="s">
        <v>197</v>
      </c>
      <c r="E161" s="924" t="s">
        <v>198</v>
      </c>
      <c r="F161" s="924" t="s">
        <v>199</v>
      </c>
      <c r="G161" s="24"/>
      <c r="H161" s="767">
        <v>236</v>
      </c>
      <c r="I161" s="762" t="s">
        <v>221</v>
      </c>
      <c r="J161" s="25">
        <v>1</v>
      </c>
      <c r="K161" s="66">
        <v>7</v>
      </c>
      <c r="L161" s="101">
        <v>1</v>
      </c>
      <c r="M161" s="1060" t="s">
        <v>222</v>
      </c>
      <c r="N161" s="948" t="s">
        <v>223</v>
      </c>
      <c r="O161" s="941" t="s">
        <v>224</v>
      </c>
      <c r="P161" s="767" t="s">
        <v>42</v>
      </c>
      <c r="Q161" s="27">
        <v>0</v>
      </c>
      <c r="R161" s="27">
        <v>0</v>
      </c>
      <c r="S161" s="27">
        <v>0</v>
      </c>
      <c r="T161" s="27">
        <v>0</v>
      </c>
      <c r="U161" s="27">
        <v>0</v>
      </c>
      <c r="V161" s="27">
        <v>0</v>
      </c>
      <c r="W161" s="27">
        <v>0</v>
      </c>
      <c r="X161" s="27"/>
      <c r="Y161" s="27"/>
      <c r="Z161" s="27"/>
      <c r="AA161" s="27">
        <v>0</v>
      </c>
      <c r="AB161" s="27"/>
      <c r="AC161" s="27">
        <v>0</v>
      </c>
      <c r="AD161" s="27">
        <v>0</v>
      </c>
      <c r="AE161" s="27"/>
      <c r="AF161" s="27"/>
      <c r="AG161" s="27"/>
      <c r="AH161" s="27"/>
      <c r="AI161" s="27"/>
      <c r="AJ161" s="27"/>
      <c r="AK161" s="27">
        <v>0</v>
      </c>
      <c r="AL161" s="27">
        <v>0</v>
      </c>
      <c r="AM161" s="110">
        <v>57499999.999999993</v>
      </c>
      <c r="AN161" s="11"/>
      <c r="AO161" s="27">
        <v>0</v>
      </c>
      <c r="AP161" s="28">
        <v>0</v>
      </c>
      <c r="AQ161" s="28"/>
      <c r="AR161" s="27">
        <f t="shared" si="82"/>
        <v>57499999.999999993</v>
      </c>
    </row>
    <row r="162" spans="1:44" s="29" customFormat="1" ht="71.25" x14ac:dyDescent="0.25">
      <c r="A162" s="21"/>
      <c r="B162" s="21"/>
      <c r="C162" s="913"/>
      <c r="D162" s="942"/>
      <c r="E162" s="925"/>
      <c r="F162" s="925"/>
      <c r="G162" s="30"/>
      <c r="H162" s="767">
        <v>237</v>
      </c>
      <c r="I162" s="762" t="s">
        <v>225</v>
      </c>
      <c r="J162" s="25" t="s">
        <v>38</v>
      </c>
      <c r="K162" s="66">
        <v>89</v>
      </c>
      <c r="L162" s="66">
        <v>10</v>
      </c>
      <c r="M162" s="1058"/>
      <c r="N162" s="959"/>
      <c r="O162" s="942"/>
      <c r="P162" s="767" t="s">
        <v>42</v>
      </c>
      <c r="Q162" s="27">
        <v>0</v>
      </c>
      <c r="R162" s="27">
        <v>0</v>
      </c>
      <c r="S162" s="27">
        <v>0</v>
      </c>
      <c r="T162" s="27">
        <v>0</v>
      </c>
      <c r="U162" s="27">
        <v>0</v>
      </c>
      <c r="V162" s="27">
        <v>0</v>
      </c>
      <c r="W162" s="27">
        <v>0</v>
      </c>
      <c r="X162" s="27"/>
      <c r="Y162" s="27"/>
      <c r="Z162" s="27"/>
      <c r="AA162" s="27">
        <v>0</v>
      </c>
      <c r="AB162" s="27"/>
      <c r="AC162" s="27">
        <v>0</v>
      </c>
      <c r="AD162" s="27">
        <v>0</v>
      </c>
      <c r="AE162" s="27"/>
      <c r="AF162" s="27"/>
      <c r="AG162" s="27"/>
      <c r="AH162" s="27"/>
      <c r="AI162" s="27"/>
      <c r="AJ162" s="27"/>
      <c r="AK162" s="27">
        <v>0</v>
      </c>
      <c r="AL162" s="27">
        <v>0</v>
      </c>
      <c r="AM162" s="110">
        <v>64200000</v>
      </c>
      <c r="AN162" s="11"/>
      <c r="AO162" s="27">
        <v>0</v>
      </c>
      <c r="AP162" s="28">
        <v>0</v>
      </c>
      <c r="AQ162" s="28"/>
      <c r="AR162" s="27">
        <f t="shared" si="82"/>
        <v>64200000</v>
      </c>
    </row>
    <row r="163" spans="1:44" s="29" customFormat="1" ht="104.25" customHeight="1" x14ac:dyDescent="0.25">
      <c r="A163" s="21"/>
      <c r="B163" s="21"/>
      <c r="C163" s="913"/>
      <c r="D163" s="942"/>
      <c r="E163" s="925"/>
      <c r="F163" s="925"/>
      <c r="G163" s="30"/>
      <c r="H163" s="767">
        <v>238</v>
      </c>
      <c r="I163" s="762" t="s">
        <v>226</v>
      </c>
      <c r="J163" s="25" t="s">
        <v>38</v>
      </c>
      <c r="K163" s="66">
        <v>12</v>
      </c>
      <c r="L163" s="66">
        <v>12</v>
      </c>
      <c r="M163" s="1058"/>
      <c r="N163" s="959"/>
      <c r="O163" s="942"/>
      <c r="P163" s="767" t="s">
        <v>47</v>
      </c>
      <c r="Q163" s="27">
        <v>0</v>
      </c>
      <c r="R163" s="27">
        <v>0</v>
      </c>
      <c r="S163" s="27">
        <v>0</v>
      </c>
      <c r="T163" s="27">
        <v>0</v>
      </c>
      <c r="U163" s="27">
        <v>0</v>
      </c>
      <c r="V163" s="27">
        <v>0</v>
      </c>
      <c r="W163" s="27">
        <v>0</v>
      </c>
      <c r="X163" s="27"/>
      <c r="Y163" s="27"/>
      <c r="Z163" s="27"/>
      <c r="AA163" s="27">
        <v>0</v>
      </c>
      <c r="AB163" s="27"/>
      <c r="AC163" s="27">
        <v>0</v>
      </c>
      <c r="AD163" s="27">
        <v>0</v>
      </c>
      <c r="AE163" s="27"/>
      <c r="AF163" s="27"/>
      <c r="AG163" s="27"/>
      <c r="AH163" s="27"/>
      <c r="AI163" s="27"/>
      <c r="AJ163" s="27"/>
      <c r="AK163" s="27">
        <v>0</v>
      </c>
      <c r="AL163" s="27">
        <v>0</v>
      </c>
      <c r="AM163" s="110">
        <v>97600000</v>
      </c>
      <c r="AN163" s="11"/>
      <c r="AO163" s="27">
        <v>0</v>
      </c>
      <c r="AP163" s="28">
        <v>0</v>
      </c>
      <c r="AQ163" s="28"/>
      <c r="AR163" s="27">
        <f t="shared" si="82"/>
        <v>97600000</v>
      </c>
    </row>
    <row r="164" spans="1:44" s="29" customFormat="1" ht="41.25" customHeight="1" x14ac:dyDescent="0.25">
      <c r="A164" s="21"/>
      <c r="B164" s="21"/>
      <c r="C164" s="913"/>
      <c r="D164" s="942"/>
      <c r="E164" s="925"/>
      <c r="F164" s="925"/>
      <c r="G164" s="30"/>
      <c r="H164" s="767">
        <v>239</v>
      </c>
      <c r="I164" s="762" t="s">
        <v>227</v>
      </c>
      <c r="J164" s="25" t="s">
        <v>38</v>
      </c>
      <c r="K164" s="66">
        <v>6</v>
      </c>
      <c r="L164" s="66">
        <v>0</v>
      </c>
      <c r="M164" s="1058"/>
      <c r="N164" s="959"/>
      <c r="O164" s="942"/>
      <c r="P164" s="767" t="s">
        <v>42</v>
      </c>
      <c r="Q164" s="27">
        <v>0</v>
      </c>
      <c r="R164" s="27">
        <v>0</v>
      </c>
      <c r="S164" s="27">
        <v>0</v>
      </c>
      <c r="T164" s="27">
        <v>0</v>
      </c>
      <c r="U164" s="27">
        <v>0</v>
      </c>
      <c r="V164" s="27">
        <v>0</v>
      </c>
      <c r="W164" s="27">
        <v>0</v>
      </c>
      <c r="X164" s="27"/>
      <c r="Y164" s="27"/>
      <c r="Z164" s="27"/>
      <c r="AA164" s="27">
        <v>0</v>
      </c>
      <c r="AB164" s="27"/>
      <c r="AC164" s="27">
        <v>0</v>
      </c>
      <c r="AD164" s="27">
        <v>0</v>
      </c>
      <c r="AE164" s="27"/>
      <c r="AF164" s="27"/>
      <c r="AG164" s="27"/>
      <c r="AH164" s="27"/>
      <c r="AI164" s="27"/>
      <c r="AJ164" s="27"/>
      <c r="AK164" s="27">
        <v>0</v>
      </c>
      <c r="AL164" s="27">
        <v>0</v>
      </c>
      <c r="AM164" s="110">
        <v>60028000</v>
      </c>
      <c r="AN164" s="11"/>
      <c r="AO164" s="27">
        <v>0</v>
      </c>
      <c r="AP164" s="28">
        <v>0</v>
      </c>
      <c r="AQ164" s="28"/>
      <c r="AR164" s="27">
        <f t="shared" si="82"/>
        <v>60028000</v>
      </c>
    </row>
    <row r="165" spans="1:44" s="29" customFormat="1" ht="54.75" customHeight="1" x14ac:dyDescent="0.25">
      <c r="A165" s="21"/>
      <c r="B165" s="21"/>
      <c r="C165" s="913"/>
      <c r="D165" s="942"/>
      <c r="E165" s="925"/>
      <c r="F165" s="925"/>
      <c r="G165" s="30"/>
      <c r="H165" s="767">
        <v>240</v>
      </c>
      <c r="I165" s="762" t="s">
        <v>228</v>
      </c>
      <c r="J165" s="25">
        <v>1</v>
      </c>
      <c r="K165" s="66">
        <v>1</v>
      </c>
      <c r="L165" s="69">
        <v>0.25</v>
      </c>
      <c r="M165" s="1059"/>
      <c r="N165" s="949"/>
      <c r="O165" s="943"/>
      <c r="P165" s="767" t="s">
        <v>47</v>
      </c>
      <c r="Q165" s="27">
        <v>0</v>
      </c>
      <c r="R165" s="27">
        <v>0</v>
      </c>
      <c r="S165" s="27">
        <v>0</v>
      </c>
      <c r="T165" s="27">
        <v>0</v>
      </c>
      <c r="U165" s="27">
        <v>0</v>
      </c>
      <c r="V165" s="27">
        <v>0</v>
      </c>
      <c r="W165" s="27">
        <v>0</v>
      </c>
      <c r="X165" s="27"/>
      <c r="Y165" s="27"/>
      <c r="Z165" s="27"/>
      <c r="AA165" s="27">
        <v>0</v>
      </c>
      <c r="AB165" s="27"/>
      <c r="AC165" s="27">
        <v>0</v>
      </c>
      <c r="AD165" s="27">
        <v>0</v>
      </c>
      <c r="AE165" s="27"/>
      <c r="AF165" s="27"/>
      <c r="AG165" s="27"/>
      <c r="AH165" s="27"/>
      <c r="AI165" s="27"/>
      <c r="AJ165" s="27"/>
      <c r="AK165" s="27">
        <v>0</v>
      </c>
      <c r="AL165" s="27">
        <v>0</v>
      </c>
      <c r="AM165" s="110">
        <f>120672000+107500000</f>
        <v>228172000</v>
      </c>
      <c r="AN165" s="11"/>
      <c r="AO165" s="27">
        <v>0</v>
      </c>
      <c r="AP165" s="28">
        <v>0</v>
      </c>
      <c r="AQ165" s="28"/>
      <c r="AR165" s="27">
        <f t="shared" si="82"/>
        <v>228172000</v>
      </c>
    </row>
    <row r="166" spans="1:44" s="165" customFormat="1" ht="15" x14ac:dyDescent="0.25">
      <c r="A166" s="21"/>
      <c r="B166" s="21"/>
      <c r="C166" s="224"/>
      <c r="D166" s="159"/>
      <c r="E166" s="604"/>
      <c r="F166" s="604"/>
      <c r="G166" s="160"/>
      <c r="H166" s="161"/>
      <c r="I166" s="160"/>
      <c r="J166" s="162"/>
      <c r="K166" s="162"/>
      <c r="L166" s="162"/>
      <c r="M166" s="162"/>
      <c r="N166" s="163"/>
      <c r="O166" s="160"/>
      <c r="P166" s="161"/>
      <c r="Q166" s="164">
        <f t="shared" ref="Q166:AO166" si="94">SUM(Q161:Q165)</f>
        <v>0</v>
      </c>
      <c r="R166" s="164">
        <f t="shared" si="94"/>
        <v>0</v>
      </c>
      <c r="S166" s="164">
        <f t="shared" si="94"/>
        <v>0</v>
      </c>
      <c r="T166" s="164">
        <f t="shared" si="94"/>
        <v>0</v>
      </c>
      <c r="U166" s="164">
        <f t="shared" si="94"/>
        <v>0</v>
      </c>
      <c r="V166" s="164">
        <f t="shared" si="94"/>
        <v>0</v>
      </c>
      <c r="W166" s="164">
        <f t="shared" si="94"/>
        <v>0</v>
      </c>
      <c r="X166" s="164">
        <f t="shared" si="94"/>
        <v>0</v>
      </c>
      <c r="Y166" s="164">
        <f t="shared" si="94"/>
        <v>0</v>
      </c>
      <c r="Z166" s="164">
        <f t="shared" si="94"/>
        <v>0</v>
      </c>
      <c r="AA166" s="164">
        <f t="shared" si="94"/>
        <v>0</v>
      </c>
      <c r="AB166" s="164">
        <f t="shared" si="94"/>
        <v>0</v>
      </c>
      <c r="AC166" s="164">
        <f t="shared" si="94"/>
        <v>0</v>
      </c>
      <c r="AD166" s="164">
        <f t="shared" si="94"/>
        <v>0</v>
      </c>
      <c r="AE166" s="164">
        <f t="shared" si="94"/>
        <v>0</v>
      </c>
      <c r="AF166" s="164">
        <f t="shared" si="94"/>
        <v>0</v>
      </c>
      <c r="AG166" s="164">
        <f t="shared" si="94"/>
        <v>0</v>
      </c>
      <c r="AH166" s="164">
        <f t="shared" si="94"/>
        <v>0</v>
      </c>
      <c r="AI166" s="164">
        <f t="shared" si="94"/>
        <v>0</v>
      </c>
      <c r="AJ166" s="164">
        <f t="shared" si="94"/>
        <v>0</v>
      </c>
      <c r="AK166" s="164">
        <f t="shared" si="94"/>
        <v>0</v>
      </c>
      <c r="AL166" s="164">
        <f t="shared" si="94"/>
        <v>0</v>
      </c>
      <c r="AM166" s="164">
        <f t="shared" si="94"/>
        <v>507500000</v>
      </c>
      <c r="AN166" s="164">
        <f t="shared" si="94"/>
        <v>0</v>
      </c>
      <c r="AO166" s="164">
        <f t="shared" si="94"/>
        <v>0</v>
      </c>
      <c r="AP166" s="164">
        <f t="shared" ref="AP166" si="95">SUM(AP161:AP165)</f>
        <v>0</v>
      </c>
      <c r="AQ166" s="164">
        <f t="shared" ref="AQ166" si="96">SUM(AQ161:AQ165)</f>
        <v>0</v>
      </c>
      <c r="AR166" s="164">
        <f t="shared" si="82"/>
        <v>507500000</v>
      </c>
    </row>
    <row r="167" spans="1:44" s="29" customFormat="1" ht="15" x14ac:dyDescent="0.25">
      <c r="A167" s="21"/>
      <c r="B167" s="21"/>
      <c r="C167" s="760"/>
      <c r="D167" s="183"/>
      <c r="E167" s="760"/>
      <c r="F167" s="760"/>
      <c r="G167" s="183"/>
      <c r="H167" s="760"/>
      <c r="I167" s="183"/>
      <c r="J167" s="184"/>
      <c r="K167" s="184"/>
      <c r="L167" s="832"/>
      <c r="M167" s="832"/>
      <c r="N167" s="833"/>
      <c r="O167" s="829"/>
      <c r="P167" s="760"/>
      <c r="Q167" s="186"/>
      <c r="R167" s="186"/>
      <c r="S167" s="186"/>
      <c r="T167" s="186"/>
      <c r="U167" s="186"/>
      <c r="V167" s="186"/>
      <c r="W167" s="186"/>
      <c r="X167" s="186"/>
      <c r="Y167" s="186"/>
      <c r="Z167" s="186"/>
      <c r="AA167" s="186"/>
      <c r="AB167" s="186"/>
      <c r="AC167" s="186"/>
      <c r="AD167" s="186"/>
      <c r="AE167" s="187"/>
      <c r="AF167" s="187"/>
      <c r="AG167" s="187"/>
      <c r="AH167" s="187"/>
      <c r="AI167" s="187"/>
      <c r="AJ167" s="187"/>
      <c r="AK167" s="186"/>
      <c r="AL167" s="186"/>
      <c r="AM167" s="287"/>
      <c r="AN167" s="288"/>
      <c r="AO167" s="186"/>
      <c r="AP167" s="186"/>
      <c r="AQ167" s="186"/>
      <c r="AR167" s="205">
        <f t="shared" si="82"/>
        <v>0</v>
      </c>
    </row>
    <row r="168" spans="1:44" s="165" customFormat="1" x14ac:dyDescent="0.25">
      <c r="A168" s="21"/>
      <c r="B168" s="21"/>
      <c r="C168" s="224"/>
      <c r="D168" s="159"/>
      <c r="E168" s="604"/>
      <c r="F168" s="604"/>
      <c r="G168" s="193">
        <v>82</v>
      </c>
      <c r="H168" s="736" t="s">
        <v>229</v>
      </c>
      <c r="I168" s="194"/>
      <c r="J168" s="194"/>
      <c r="K168" s="194"/>
      <c r="L168" s="194"/>
      <c r="M168" s="194"/>
      <c r="N168" s="195"/>
      <c r="O168" s="194"/>
      <c r="P168" s="194"/>
      <c r="Q168" s="194"/>
      <c r="R168" s="194"/>
      <c r="S168" s="194"/>
      <c r="T168" s="194"/>
      <c r="U168" s="194"/>
      <c r="V168" s="194"/>
      <c r="W168" s="194"/>
      <c r="X168" s="194"/>
      <c r="Y168" s="194"/>
      <c r="Z168" s="194"/>
      <c r="AA168" s="194"/>
      <c r="AB168" s="194"/>
      <c r="AC168" s="194"/>
      <c r="AD168" s="194"/>
      <c r="AE168" s="194"/>
      <c r="AF168" s="194"/>
      <c r="AG168" s="194"/>
      <c r="AH168" s="194"/>
      <c r="AI168" s="194"/>
      <c r="AJ168" s="194"/>
      <c r="AK168" s="194"/>
      <c r="AL168" s="194"/>
      <c r="AM168" s="196"/>
      <c r="AN168" s="194"/>
      <c r="AO168" s="194"/>
      <c r="AP168" s="194"/>
      <c r="AQ168" s="194"/>
      <c r="AR168" s="197"/>
    </row>
    <row r="169" spans="1:44" s="165" customFormat="1" ht="57" customHeight="1" x14ac:dyDescent="0.25">
      <c r="A169" s="21"/>
      <c r="B169" s="21"/>
      <c r="C169" s="965">
        <v>13</v>
      </c>
      <c r="D169" s="999" t="s">
        <v>197</v>
      </c>
      <c r="E169" s="993">
        <v>71.040000000000006</v>
      </c>
      <c r="F169" s="993">
        <v>88.17</v>
      </c>
      <c r="G169" s="924"/>
      <c r="H169" s="767">
        <v>241</v>
      </c>
      <c r="I169" s="762" t="s">
        <v>230</v>
      </c>
      <c r="J169" s="25">
        <v>1</v>
      </c>
      <c r="K169" s="25">
        <v>1</v>
      </c>
      <c r="L169" s="289">
        <v>0.72</v>
      </c>
      <c r="M169" s="1060" t="s">
        <v>222</v>
      </c>
      <c r="N169" s="948" t="s">
        <v>231</v>
      </c>
      <c r="O169" s="941" t="s">
        <v>232</v>
      </c>
      <c r="P169" s="767" t="s">
        <v>47</v>
      </c>
      <c r="Q169" s="27">
        <v>0</v>
      </c>
      <c r="R169" s="27">
        <v>0</v>
      </c>
      <c r="S169" s="27">
        <v>0</v>
      </c>
      <c r="T169" s="27">
        <v>0</v>
      </c>
      <c r="U169" s="27">
        <v>0</v>
      </c>
      <c r="V169" s="27">
        <v>0</v>
      </c>
      <c r="W169" s="27">
        <v>0</v>
      </c>
      <c r="X169" s="27"/>
      <c r="Y169" s="27"/>
      <c r="Z169" s="27"/>
      <c r="AA169" s="27">
        <v>0</v>
      </c>
      <c r="AB169" s="27"/>
      <c r="AC169" s="27">
        <v>0</v>
      </c>
      <c r="AD169" s="27">
        <v>0</v>
      </c>
      <c r="AE169" s="257"/>
      <c r="AF169" s="257"/>
      <c r="AG169" s="257"/>
      <c r="AH169" s="257"/>
      <c r="AI169" s="257"/>
      <c r="AJ169" s="257"/>
      <c r="AK169" s="27">
        <v>0</v>
      </c>
      <c r="AL169" s="27">
        <v>0</v>
      </c>
      <c r="AM169" s="112">
        <v>50625000</v>
      </c>
      <c r="AN169" s="5"/>
      <c r="AO169" s="27">
        <v>0</v>
      </c>
      <c r="AP169" s="290">
        <v>0</v>
      </c>
      <c r="AQ169" s="290"/>
      <c r="AR169" s="27">
        <f t="shared" si="82"/>
        <v>50625000</v>
      </c>
    </row>
    <row r="170" spans="1:44" s="165" customFormat="1" ht="81" customHeight="1" x14ac:dyDescent="0.25">
      <c r="A170" s="21"/>
      <c r="B170" s="21"/>
      <c r="C170" s="967"/>
      <c r="D170" s="1001"/>
      <c r="E170" s="994"/>
      <c r="F170" s="994"/>
      <c r="G170" s="926"/>
      <c r="H170" s="767">
        <v>242</v>
      </c>
      <c r="I170" s="762" t="s">
        <v>233</v>
      </c>
      <c r="J170" s="25">
        <v>1</v>
      </c>
      <c r="K170" s="25">
        <v>1</v>
      </c>
      <c r="L170" s="25">
        <v>0</v>
      </c>
      <c r="M170" s="1059"/>
      <c r="N170" s="949"/>
      <c r="O170" s="943"/>
      <c r="P170" s="767" t="s">
        <v>47</v>
      </c>
      <c r="Q170" s="27">
        <v>0</v>
      </c>
      <c r="R170" s="27">
        <v>0</v>
      </c>
      <c r="S170" s="27">
        <v>0</v>
      </c>
      <c r="T170" s="27">
        <v>0</v>
      </c>
      <c r="U170" s="27">
        <v>0</v>
      </c>
      <c r="V170" s="27">
        <v>0</v>
      </c>
      <c r="W170" s="27">
        <v>0</v>
      </c>
      <c r="X170" s="27"/>
      <c r="Y170" s="27"/>
      <c r="Z170" s="27"/>
      <c r="AA170" s="27">
        <v>0</v>
      </c>
      <c r="AB170" s="27"/>
      <c r="AC170" s="27">
        <v>0</v>
      </c>
      <c r="AD170" s="27">
        <v>0</v>
      </c>
      <c r="AE170" s="257"/>
      <c r="AF170" s="257"/>
      <c r="AG170" s="257"/>
      <c r="AH170" s="257"/>
      <c r="AI170" s="257"/>
      <c r="AJ170" s="257"/>
      <c r="AK170" s="27">
        <v>0</v>
      </c>
      <c r="AL170" s="27">
        <v>0</v>
      </c>
      <c r="AM170" s="112">
        <v>39375000</v>
      </c>
      <c r="AN170" s="5"/>
      <c r="AO170" s="27">
        <v>0</v>
      </c>
      <c r="AP170" s="290">
        <v>0</v>
      </c>
      <c r="AQ170" s="290"/>
      <c r="AR170" s="27">
        <f t="shared" si="82"/>
        <v>39375000</v>
      </c>
    </row>
    <row r="171" spans="1:44" s="165" customFormat="1" ht="15" x14ac:dyDescent="0.25">
      <c r="A171" s="21"/>
      <c r="B171" s="158"/>
      <c r="C171" s="224"/>
      <c r="D171" s="159"/>
      <c r="E171" s="604"/>
      <c r="F171" s="604"/>
      <c r="G171" s="225"/>
      <c r="H171" s="226"/>
      <c r="I171" s="160"/>
      <c r="J171" s="162"/>
      <c r="K171" s="162"/>
      <c r="L171" s="162"/>
      <c r="M171" s="162"/>
      <c r="N171" s="163"/>
      <c r="O171" s="160"/>
      <c r="P171" s="161"/>
      <c r="Q171" s="164">
        <f t="shared" ref="Q171:AL171" si="97">SUM(Q169:Q170)</f>
        <v>0</v>
      </c>
      <c r="R171" s="164">
        <f t="shared" si="97"/>
        <v>0</v>
      </c>
      <c r="S171" s="164">
        <f t="shared" si="97"/>
        <v>0</v>
      </c>
      <c r="T171" s="164">
        <f t="shared" si="97"/>
        <v>0</v>
      </c>
      <c r="U171" s="164">
        <f t="shared" si="97"/>
        <v>0</v>
      </c>
      <c r="V171" s="164">
        <f t="shared" si="97"/>
        <v>0</v>
      </c>
      <c r="W171" s="164">
        <f t="shared" si="97"/>
        <v>0</v>
      </c>
      <c r="X171" s="164">
        <f t="shared" si="97"/>
        <v>0</v>
      </c>
      <c r="Y171" s="164">
        <f t="shared" si="97"/>
        <v>0</v>
      </c>
      <c r="Z171" s="164">
        <f t="shared" si="97"/>
        <v>0</v>
      </c>
      <c r="AA171" s="164">
        <f t="shared" si="97"/>
        <v>0</v>
      </c>
      <c r="AB171" s="164">
        <f t="shared" si="97"/>
        <v>0</v>
      </c>
      <c r="AC171" s="164">
        <f t="shared" si="97"/>
        <v>0</v>
      </c>
      <c r="AD171" s="164">
        <f t="shared" si="97"/>
        <v>0</v>
      </c>
      <c r="AE171" s="164">
        <f t="shared" si="97"/>
        <v>0</v>
      </c>
      <c r="AF171" s="164">
        <f t="shared" si="97"/>
        <v>0</v>
      </c>
      <c r="AG171" s="164">
        <f t="shared" si="97"/>
        <v>0</v>
      </c>
      <c r="AH171" s="164">
        <f t="shared" si="97"/>
        <v>0</v>
      </c>
      <c r="AI171" s="164">
        <f t="shared" si="97"/>
        <v>0</v>
      </c>
      <c r="AJ171" s="164">
        <f t="shared" si="97"/>
        <v>0</v>
      </c>
      <c r="AK171" s="164">
        <f t="shared" si="97"/>
        <v>0</v>
      </c>
      <c r="AL171" s="164">
        <f t="shared" si="97"/>
        <v>0</v>
      </c>
      <c r="AM171" s="164">
        <f t="shared" ref="AM171:AP171" si="98">SUM(AM169:AM170)</f>
        <v>90000000</v>
      </c>
      <c r="AN171" s="164">
        <f t="shared" si="98"/>
        <v>0</v>
      </c>
      <c r="AO171" s="164">
        <f t="shared" si="98"/>
        <v>0</v>
      </c>
      <c r="AP171" s="164">
        <f t="shared" si="98"/>
        <v>0</v>
      </c>
      <c r="AQ171" s="164">
        <f t="shared" ref="AQ171" si="99">SUM(AQ169:AQ170)</f>
        <v>0</v>
      </c>
      <c r="AR171" s="164">
        <f t="shared" si="82"/>
        <v>90000000</v>
      </c>
    </row>
    <row r="172" spans="1:44" s="165" customFormat="1" ht="15" x14ac:dyDescent="0.25">
      <c r="A172" s="158"/>
      <c r="B172" s="167"/>
      <c r="C172" s="229"/>
      <c r="D172" s="167"/>
      <c r="E172" s="168"/>
      <c r="F172" s="168"/>
      <c r="G172" s="230"/>
      <c r="H172" s="231"/>
      <c r="I172" s="167"/>
      <c r="J172" s="169"/>
      <c r="K172" s="169"/>
      <c r="L172" s="169"/>
      <c r="M172" s="169"/>
      <c r="N172" s="170"/>
      <c r="O172" s="167"/>
      <c r="P172" s="168"/>
      <c r="Q172" s="171">
        <f t="shared" ref="Q172:AL172" si="100">Q171+Q166</f>
        <v>0</v>
      </c>
      <c r="R172" s="171">
        <f t="shared" si="100"/>
        <v>0</v>
      </c>
      <c r="S172" s="171">
        <f t="shared" si="100"/>
        <v>0</v>
      </c>
      <c r="T172" s="171">
        <f t="shared" si="100"/>
        <v>0</v>
      </c>
      <c r="U172" s="171">
        <f t="shared" si="100"/>
        <v>0</v>
      </c>
      <c r="V172" s="171">
        <f t="shared" si="100"/>
        <v>0</v>
      </c>
      <c r="W172" s="171">
        <f t="shared" si="100"/>
        <v>0</v>
      </c>
      <c r="X172" s="171">
        <f t="shared" si="100"/>
        <v>0</v>
      </c>
      <c r="Y172" s="171">
        <f t="shared" si="100"/>
        <v>0</v>
      </c>
      <c r="Z172" s="171">
        <f t="shared" si="100"/>
        <v>0</v>
      </c>
      <c r="AA172" s="171">
        <f t="shared" si="100"/>
        <v>0</v>
      </c>
      <c r="AB172" s="171">
        <f t="shared" si="100"/>
        <v>0</v>
      </c>
      <c r="AC172" s="171">
        <f t="shared" si="100"/>
        <v>0</v>
      </c>
      <c r="AD172" s="171">
        <f t="shared" si="100"/>
        <v>0</v>
      </c>
      <c r="AE172" s="171">
        <f t="shared" si="100"/>
        <v>0</v>
      </c>
      <c r="AF172" s="171">
        <f t="shared" si="100"/>
        <v>0</v>
      </c>
      <c r="AG172" s="171">
        <f t="shared" si="100"/>
        <v>0</v>
      </c>
      <c r="AH172" s="171">
        <f t="shared" si="100"/>
        <v>0</v>
      </c>
      <c r="AI172" s="171">
        <f t="shared" si="100"/>
        <v>0</v>
      </c>
      <c r="AJ172" s="171">
        <f t="shared" si="100"/>
        <v>0</v>
      </c>
      <c r="AK172" s="171">
        <f t="shared" si="100"/>
        <v>0</v>
      </c>
      <c r="AL172" s="171">
        <f t="shared" si="100"/>
        <v>0</v>
      </c>
      <c r="AM172" s="171">
        <f t="shared" ref="AM172:AP172" si="101">AM171+AM166</f>
        <v>597500000</v>
      </c>
      <c r="AN172" s="171">
        <f t="shared" si="101"/>
        <v>0</v>
      </c>
      <c r="AO172" s="171">
        <f t="shared" si="101"/>
        <v>0</v>
      </c>
      <c r="AP172" s="171">
        <f t="shared" si="101"/>
        <v>0</v>
      </c>
      <c r="AQ172" s="171">
        <f t="shared" ref="AQ172" si="102">AQ171+AQ166</f>
        <v>0</v>
      </c>
      <c r="AR172" s="171">
        <f t="shared" si="82"/>
        <v>597500000</v>
      </c>
    </row>
    <row r="173" spans="1:44" s="165" customFormat="1" ht="15" x14ac:dyDescent="0.25">
      <c r="A173" s="172"/>
      <c r="B173" s="172"/>
      <c r="C173" s="173"/>
      <c r="D173" s="172"/>
      <c r="E173" s="173"/>
      <c r="F173" s="173"/>
      <c r="G173" s="291"/>
      <c r="H173" s="292"/>
      <c r="I173" s="172"/>
      <c r="J173" s="174"/>
      <c r="K173" s="174"/>
      <c r="L173" s="174"/>
      <c r="M173" s="174"/>
      <c r="N173" s="175"/>
      <c r="O173" s="172"/>
      <c r="P173" s="173"/>
      <c r="Q173" s="176">
        <f t="shared" ref="Q173:AL173" si="103">Q172+Q157+Q136</f>
        <v>0</v>
      </c>
      <c r="R173" s="176">
        <f t="shared" si="103"/>
        <v>0</v>
      </c>
      <c r="S173" s="176">
        <f t="shared" si="103"/>
        <v>0</v>
      </c>
      <c r="T173" s="176">
        <f t="shared" si="103"/>
        <v>9429631612</v>
      </c>
      <c r="U173" s="176">
        <f t="shared" si="103"/>
        <v>0</v>
      </c>
      <c r="V173" s="176">
        <f t="shared" si="103"/>
        <v>0</v>
      </c>
      <c r="W173" s="176">
        <f t="shared" si="103"/>
        <v>0</v>
      </c>
      <c r="X173" s="176">
        <f t="shared" si="103"/>
        <v>0</v>
      </c>
      <c r="Y173" s="176">
        <f t="shared" si="103"/>
        <v>0</v>
      </c>
      <c r="Z173" s="176">
        <f t="shared" si="103"/>
        <v>0</v>
      </c>
      <c r="AA173" s="176">
        <f t="shared" si="103"/>
        <v>0</v>
      </c>
      <c r="AB173" s="176">
        <f t="shared" si="103"/>
        <v>0</v>
      </c>
      <c r="AC173" s="176">
        <f t="shared" si="103"/>
        <v>0</v>
      </c>
      <c r="AD173" s="176">
        <f t="shared" si="103"/>
        <v>0</v>
      </c>
      <c r="AE173" s="176">
        <f t="shared" si="103"/>
        <v>0</v>
      </c>
      <c r="AF173" s="176">
        <f t="shared" si="103"/>
        <v>0</v>
      </c>
      <c r="AG173" s="176">
        <f t="shared" si="103"/>
        <v>0</v>
      </c>
      <c r="AH173" s="176">
        <f t="shared" si="103"/>
        <v>0</v>
      </c>
      <c r="AI173" s="176">
        <f t="shared" si="103"/>
        <v>0</v>
      </c>
      <c r="AJ173" s="176">
        <f t="shared" si="103"/>
        <v>0</v>
      </c>
      <c r="AK173" s="176">
        <f t="shared" si="103"/>
        <v>0</v>
      </c>
      <c r="AL173" s="176">
        <f t="shared" si="103"/>
        <v>0</v>
      </c>
      <c r="AM173" s="176">
        <f t="shared" ref="AM173:AP173" si="104">AM172+AM157+AM136</f>
        <v>1508849775.75</v>
      </c>
      <c r="AN173" s="176">
        <f t="shared" si="104"/>
        <v>0</v>
      </c>
      <c r="AO173" s="176">
        <f t="shared" si="104"/>
        <v>0</v>
      </c>
      <c r="AP173" s="176">
        <f t="shared" si="104"/>
        <v>0</v>
      </c>
      <c r="AQ173" s="176">
        <f t="shared" ref="AQ173" si="105">AQ172+AQ157+AQ136</f>
        <v>0</v>
      </c>
      <c r="AR173" s="176">
        <f t="shared" si="82"/>
        <v>10938481387.75</v>
      </c>
    </row>
    <row r="174" spans="1:44" s="29" customFormat="1" ht="15" x14ac:dyDescent="0.25">
      <c r="A174" s="182"/>
      <c r="B174" s="183"/>
      <c r="C174" s="760"/>
      <c r="D174" s="183"/>
      <c r="E174" s="760"/>
      <c r="F174" s="760"/>
      <c r="G174" s="829"/>
      <c r="H174" s="830"/>
      <c r="I174" s="183"/>
      <c r="J174" s="184"/>
      <c r="K174" s="184"/>
      <c r="L174" s="832"/>
      <c r="M174" s="832"/>
      <c r="N174" s="833"/>
      <c r="O174" s="829"/>
      <c r="P174" s="760"/>
      <c r="Q174" s="186"/>
      <c r="R174" s="186"/>
      <c r="S174" s="186"/>
      <c r="T174" s="186"/>
      <c r="U174" s="186"/>
      <c r="V174" s="186"/>
      <c r="W174" s="186"/>
      <c r="X174" s="186"/>
      <c r="Y174" s="186"/>
      <c r="Z174" s="186"/>
      <c r="AA174" s="186"/>
      <c r="AB174" s="186"/>
      <c r="AC174" s="186"/>
      <c r="AD174" s="186"/>
      <c r="AE174" s="187"/>
      <c r="AF174" s="187"/>
      <c r="AG174" s="187"/>
      <c r="AH174" s="187"/>
      <c r="AI174" s="187"/>
      <c r="AJ174" s="187"/>
      <c r="AK174" s="186"/>
      <c r="AL174" s="186"/>
      <c r="AM174" s="188"/>
      <c r="AN174" s="186"/>
      <c r="AO174" s="186"/>
      <c r="AP174" s="186"/>
      <c r="AQ174" s="186"/>
      <c r="AR174" s="205">
        <f t="shared" si="82"/>
        <v>0</v>
      </c>
    </row>
    <row r="175" spans="1:44" s="165" customFormat="1" x14ac:dyDescent="0.25">
      <c r="A175" s="860">
        <v>5</v>
      </c>
      <c r="B175" s="142" t="s">
        <v>33</v>
      </c>
      <c r="C175" s="143"/>
      <c r="D175" s="142"/>
      <c r="E175" s="142"/>
      <c r="F175" s="142"/>
      <c r="G175" s="142"/>
      <c r="H175" s="143"/>
      <c r="I175" s="142"/>
      <c r="J175" s="142"/>
      <c r="K175" s="142"/>
      <c r="L175" s="142"/>
      <c r="M175" s="142"/>
      <c r="N175" s="144"/>
      <c r="O175" s="142"/>
      <c r="P175" s="142"/>
      <c r="Q175" s="142"/>
      <c r="R175" s="142"/>
      <c r="S175" s="142"/>
      <c r="T175" s="142"/>
      <c r="U175" s="142"/>
      <c r="V175" s="142"/>
      <c r="W175" s="142"/>
      <c r="X175" s="142"/>
      <c r="Y175" s="142"/>
      <c r="Z175" s="142"/>
      <c r="AA175" s="142"/>
      <c r="AB175" s="142"/>
      <c r="AC175" s="142"/>
      <c r="AD175" s="142"/>
      <c r="AE175" s="142"/>
      <c r="AF175" s="142"/>
      <c r="AG175" s="142"/>
      <c r="AH175" s="142"/>
      <c r="AI175" s="142"/>
      <c r="AJ175" s="142"/>
      <c r="AK175" s="142"/>
      <c r="AL175" s="142"/>
      <c r="AM175" s="145"/>
      <c r="AN175" s="142"/>
      <c r="AO175" s="142"/>
      <c r="AP175" s="142"/>
      <c r="AQ175" s="142"/>
      <c r="AR175" s="146"/>
    </row>
    <row r="176" spans="1:44" s="29" customFormat="1" x14ac:dyDescent="0.25">
      <c r="A176" s="219"/>
      <c r="B176" s="269">
        <v>26</v>
      </c>
      <c r="C176" s="148" t="s">
        <v>61</v>
      </c>
      <c r="D176" s="149"/>
      <c r="E176" s="149"/>
      <c r="F176" s="149"/>
      <c r="G176" s="149"/>
      <c r="H176" s="150"/>
      <c r="I176" s="149"/>
      <c r="J176" s="149"/>
      <c r="K176" s="149"/>
      <c r="L176" s="149"/>
      <c r="M176" s="149"/>
      <c r="N176" s="151"/>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c r="AL176" s="149"/>
      <c r="AM176" s="152"/>
      <c r="AN176" s="149"/>
      <c r="AO176" s="149"/>
      <c r="AP176" s="149"/>
      <c r="AQ176" s="149"/>
      <c r="AR176" s="153"/>
    </row>
    <row r="177" spans="1:44" s="29" customFormat="1" ht="15" x14ac:dyDescent="0.25">
      <c r="A177" s="293"/>
      <c r="B177" s="24"/>
      <c r="C177" s="761"/>
      <c r="D177" s="762"/>
      <c r="E177" s="767"/>
      <c r="F177" s="767"/>
      <c r="G177" s="193">
        <v>84</v>
      </c>
      <c r="H177" s="194" t="s">
        <v>68</v>
      </c>
      <c r="I177" s="194"/>
      <c r="J177" s="194"/>
      <c r="K177" s="194"/>
      <c r="L177" s="194"/>
      <c r="M177" s="194"/>
      <c r="N177" s="194"/>
      <c r="O177" s="194"/>
      <c r="P177" s="194"/>
      <c r="Q177" s="194"/>
      <c r="R177" s="194"/>
      <c r="S177" s="194"/>
      <c r="T177" s="194"/>
      <c r="U177" s="194"/>
      <c r="V177" s="194"/>
      <c r="W177" s="194"/>
      <c r="X177" s="194"/>
      <c r="Y177" s="194"/>
      <c r="Z177" s="194"/>
      <c r="AA177" s="194"/>
      <c r="AB177" s="194"/>
      <c r="AC177" s="194"/>
      <c r="AD177" s="194"/>
      <c r="AE177" s="194"/>
      <c r="AF177" s="194"/>
      <c r="AG177" s="194"/>
      <c r="AH177" s="194"/>
      <c r="AI177" s="194"/>
      <c r="AJ177" s="194"/>
      <c r="AK177" s="194"/>
      <c r="AL177" s="194"/>
      <c r="AM177" s="196"/>
      <c r="AN177" s="194"/>
      <c r="AO177" s="194"/>
      <c r="AP177" s="194"/>
      <c r="AQ177" s="194"/>
      <c r="AR177" s="197"/>
    </row>
    <row r="178" spans="1:44" s="29" customFormat="1" ht="74.25" customHeight="1" x14ac:dyDescent="0.25">
      <c r="A178" s="81">
        <f>+A177</f>
        <v>0</v>
      </c>
      <c r="B178" s="30"/>
      <c r="C178" s="774">
        <v>37</v>
      </c>
      <c r="D178" s="729" t="s">
        <v>234</v>
      </c>
      <c r="E178" s="718">
        <v>54.61</v>
      </c>
      <c r="F178" s="718">
        <v>60</v>
      </c>
      <c r="G178" s="729"/>
      <c r="H178" s="718">
        <v>247</v>
      </c>
      <c r="I178" s="729" t="s">
        <v>235</v>
      </c>
      <c r="J178" s="289" t="s">
        <v>38</v>
      </c>
      <c r="K178" s="289">
        <v>1</v>
      </c>
      <c r="L178" s="289">
        <v>0.6</v>
      </c>
      <c r="M178" s="766" t="s">
        <v>75</v>
      </c>
      <c r="N178" s="734" t="s">
        <v>236</v>
      </c>
      <c r="O178" s="729" t="s">
        <v>237</v>
      </c>
      <c r="P178" s="61" t="s">
        <v>47</v>
      </c>
      <c r="Q178" s="81">
        <v>0</v>
      </c>
      <c r="R178" s="81">
        <v>0</v>
      </c>
      <c r="S178" s="81">
        <v>0</v>
      </c>
      <c r="T178" s="81">
        <v>0</v>
      </c>
      <c r="U178" s="81">
        <v>0</v>
      </c>
      <c r="V178" s="81">
        <v>0</v>
      </c>
      <c r="W178" s="81">
        <v>0</v>
      </c>
      <c r="X178" s="81"/>
      <c r="Y178" s="81"/>
      <c r="Z178" s="81"/>
      <c r="AA178" s="81">
        <v>0</v>
      </c>
      <c r="AB178" s="81"/>
      <c r="AC178" s="81">
        <v>0</v>
      </c>
      <c r="AD178" s="81">
        <v>0</v>
      </c>
      <c r="AE178" s="81"/>
      <c r="AF178" s="81"/>
      <c r="AG178" s="81"/>
      <c r="AH178" s="81"/>
      <c r="AI178" s="81"/>
      <c r="AJ178" s="81"/>
      <c r="AK178" s="81">
        <v>0</v>
      </c>
      <c r="AL178" s="81">
        <v>0</v>
      </c>
      <c r="AM178" s="113">
        <v>40000000</v>
      </c>
      <c r="AN178" s="629"/>
      <c r="AO178" s="81">
        <v>0</v>
      </c>
      <c r="AP178" s="775">
        <v>0</v>
      </c>
      <c r="AQ178" s="775"/>
      <c r="AR178" s="81">
        <f t="shared" si="82"/>
        <v>40000000</v>
      </c>
    </row>
    <row r="179" spans="1:44" s="29" customFormat="1" ht="18.75" customHeight="1" x14ac:dyDescent="0.25">
      <c r="A179" s="861"/>
      <c r="B179" s="776"/>
      <c r="C179" s="479"/>
      <c r="D179" s="777"/>
      <c r="E179" s="778"/>
      <c r="F179" s="778"/>
      <c r="G179" s="779"/>
      <c r="H179" s="780"/>
      <c r="I179" s="779"/>
      <c r="J179" s="781"/>
      <c r="K179" s="781"/>
      <c r="L179" s="781"/>
      <c r="M179" s="781"/>
      <c r="N179" s="782"/>
      <c r="O179" s="779"/>
      <c r="P179" s="780"/>
      <c r="Q179" s="708">
        <f t="shared" ref="Q179:AL179" si="106">SUM(Q178)</f>
        <v>0</v>
      </c>
      <c r="R179" s="708">
        <f t="shared" si="106"/>
        <v>0</v>
      </c>
      <c r="S179" s="708">
        <f t="shared" si="106"/>
        <v>0</v>
      </c>
      <c r="T179" s="708">
        <f t="shared" si="106"/>
        <v>0</v>
      </c>
      <c r="U179" s="708">
        <f t="shared" si="106"/>
        <v>0</v>
      </c>
      <c r="V179" s="708">
        <f t="shared" si="106"/>
        <v>0</v>
      </c>
      <c r="W179" s="708">
        <f t="shared" si="106"/>
        <v>0</v>
      </c>
      <c r="X179" s="708">
        <f t="shared" si="106"/>
        <v>0</v>
      </c>
      <c r="Y179" s="708">
        <f t="shared" si="106"/>
        <v>0</v>
      </c>
      <c r="Z179" s="708">
        <f t="shared" si="106"/>
        <v>0</v>
      </c>
      <c r="AA179" s="708">
        <f t="shared" si="106"/>
        <v>0</v>
      </c>
      <c r="AB179" s="708">
        <f t="shared" si="106"/>
        <v>0</v>
      </c>
      <c r="AC179" s="708">
        <f t="shared" si="106"/>
        <v>0</v>
      </c>
      <c r="AD179" s="708">
        <f t="shared" si="106"/>
        <v>0</v>
      </c>
      <c r="AE179" s="708">
        <f t="shared" si="106"/>
        <v>0</v>
      </c>
      <c r="AF179" s="708">
        <f t="shared" si="106"/>
        <v>0</v>
      </c>
      <c r="AG179" s="708">
        <f t="shared" si="106"/>
        <v>0</v>
      </c>
      <c r="AH179" s="708">
        <f t="shared" si="106"/>
        <v>0</v>
      </c>
      <c r="AI179" s="708">
        <f t="shared" si="106"/>
        <v>0</v>
      </c>
      <c r="AJ179" s="708">
        <f t="shared" si="106"/>
        <v>0</v>
      </c>
      <c r="AK179" s="708">
        <f t="shared" si="106"/>
        <v>0</v>
      </c>
      <c r="AL179" s="708">
        <f t="shared" si="106"/>
        <v>0</v>
      </c>
      <c r="AM179" s="708">
        <f t="shared" ref="AM179:AP179" si="107">SUM(AM178)</f>
        <v>40000000</v>
      </c>
      <c r="AN179" s="708">
        <f t="shared" si="107"/>
        <v>0</v>
      </c>
      <c r="AO179" s="708">
        <f t="shared" si="107"/>
        <v>0</v>
      </c>
      <c r="AP179" s="708">
        <f t="shared" si="107"/>
        <v>0</v>
      </c>
      <c r="AQ179" s="708">
        <f t="shared" ref="AQ179" si="108">SUM(AQ178)</f>
        <v>0</v>
      </c>
      <c r="AR179" s="862">
        <f t="shared" si="82"/>
        <v>40000000</v>
      </c>
    </row>
    <row r="180" spans="1:44" s="29" customFormat="1" ht="18.75" customHeight="1" x14ac:dyDescent="0.25">
      <c r="A180" s="247"/>
      <c r="B180" s="167"/>
      <c r="C180" s="168"/>
      <c r="D180" s="167"/>
      <c r="E180" s="168"/>
      <c r="F180" s="168"/>
      <c r="G180" s="167"/>
      <c r="H180" s="168"/>
      <c r="I180" s="167"/>
      <c r="J180" s="169"/>
      <c r="K180" s="169"/>
      <c r="L180" s="169"/>
      <c r="M180" s="169"/>
      <c r="N180" s="170"/>
      <c r="O180" s="167"/>
      <c r="P180" s="168"/>
      <c r="Q180" s="171">
        <f t="shared" ref="Q180:AL180" si="109">Q179</f>
        <v>0</v>
      </c>
      <c r="R180" s="171">
        <f t="shared" si="109"/>
        <v>0</v>
      </c>
      <c r="S180" s="171">
        <f t="shared" si="109"/>
        <v>0</v>
      </c>
      <c r="T180" s="171">
        <f t="shared" si="109"/>
        <v>0</v>
      </c>
      <c r="U180" s="171">
        <f t="shared" si="109"/>
        <v>0</v>
      </c>
      <c r="V180" s="171">
        <f t="shared" si="109"/>
        <v>0</v>
      </c>
      <c r="W180" s="171">
        <f t="shared" si="109"/>
        <v>0</v>
      </c>
      <c r="X180" s="171">
        <f t="shared" si="109"/>
        <v>0</v>
      </c>
      <c r="Y180" s="171">
        <f t="shared" si="109"/>
        <v>0</v>
      </c>
      <c r="Z180" s="171">
        <f t="shared" si="109"/>
        <v>0</v>
      </c>
      <c r="AA180" s="171">
        <f t="shared" si="109"/>
        <v>0</v>
      </c>
      <c r="AB180" s="171">
        <f t="shared" si="109"/>
        <v>0</v>
      </c>
      <c r="AC180" s="171">
        <f t="shared" si="109"/>
        <v>0</v>
      </c>
      <c r="AD180" s="171">
        <f t="shared" si="109"/>
        <v>0</v>
      </c>
      <c r="AE180" s="171">
        <f t="shared" si="109"/>
        <v>0</v>
      </c>
      <c r="AF180" s="171">
        <f t="shared" si="109"/>
        <v>0</v>
      </c>
      <c r="AG180" s="171">
        <f t="shared" si="109"/>
        <v>0</v>
      </c>
      <c r="AH180" s="171">
        <f t="shared" si="109"/>
        <v>0</v>
      </c>
      <c r="AI180" s="171">
        <f t="shared" si="109"/>
        <v>0</v>
      </c>
      <c r="AJ180" s="171">
        <f t="shared" si="109"/>
        <v>0</v>
      </c>
      <c r="AK180" s="171">
        <f t="shared" si="109"/>
        <v>0</v>
      </c>
      <c r="AL180" s="171">
        <f t="shared" si="109"/>
        <v>0</v>
      </c>
      <c r="AM180" s="171">
        <f t="shared" ref="AM180:AP180" si="110">AM179</f>
        <v>40000000</v>
      </c>
      <c r="AN180" s="171">
        <f t="shared" si="110"/>
        <v>0</v>
      </c>
      <c r="AO180" s="171">
        <f t="shared" si="110"/>
        <v>0</v>
      </c>
      <c r="AP180" s="171">
        <f t="shared" si="110"/>
        <v>0</v>
      </c>
      <c r="AQ180" s="171">
        <f t="shared" ref="AQ180" si="111">AQ179</f>
        <v>0</v>
      </c>
      <c r="AR180" s="171">
        <f t="shared" si="82"/>
        <v>40000000</v>
      </c>
    </row>
    <row r="181" spans="1:44" s="29" customFormat="1" ht="24.75" customHeight="1" x14ac:dyDescent="0.25">
      <c r="A181" s="247"/>
      <c r="B181" s="762"/>
      <c r="C181" s="767"/>
      <c r="D181" s="762"/>
      <c r="E181" s="767"/>
      <c r="F181" s="767"/>
      <c r="G181" s="762"/>
      <c r="H181" s="767"/>
      <c r="I181" s="762"/>
      <c r="J181" s="25"/>
      <c r="K181" s="25"/>
      <c r="L181" s="25"/>
      <c r="M181" s="25"/>
      <c r="N181" s="39"/>
      <c r="O181" s="762"/>
      <c r="P181" s="767"/>
      <c r="Q181" s="27"/>
      <c r="R181" s="27"/>
      <c r="S181" s="27"/>
      <c r="T181" s="27"/>
      <c r="U181" s="27"/>
      <c r="V181" s="27"/>
      <c r="W181" s="27"/>
      <c r="X181" s="27"/>
      <c r="Y181" s="27"/>
      <c r="Z181" s="27"/>
      <c r="AA181" s="27"/>
      <c r="AB181" s="27"/>
      <c r="AC181" s="27"/>
      <c r="AD181" s="27"/>
      <c r="AE181" s="257"/>
      <c r="AF181" s="257"/>
      <c r="AG181" s="257"/>
      <c r="AH181" s="257"/>
      <c r="AI181" s="257"/>
      <c r="AJ181" s="257"/>
      <c r="AK181" s="27"/>
      <c r="AL181" s="27"/>
      <c r="AM181" s="108"/>
      <c r="AN181" s="40"/>
      <c r="AO181" s="27"/>
      <c r="AP181" s="27"/>
      <c r="AQ181" s="27"/>
      <c r="AR181" s="27">
        <f t="shared" si="82"/>
        <v>0</v>
      </c>
    </row>
    <row r="182" spans="1:44" s="165" customFormat="1" ht="31.5" customHeight="1" x14ac:dyDescent="0.25">
      <c r="A182" s="247"/>
      <c r="B182" s="297">
        <v>27</v>
      </c>
      <c r="C182" s="536" t="s">
        <v>72</v>
      </c>
      <c r="D182" s="536"/>
      <c r="E182" s="536"/>
      <c r="F182" s="536"/>
      <c r="G182" s="536"/>
      <c r="H182" s="322"/>
      <c r="I182" s="536"/>
      <c r="J182" s="536"/>
      <c r="K182" s="536"/>
      <c r="L182" s="536"/>
      <c r="M182" s="536"/>
      <c r="N182" s="786"/>
      <c r="O182" s="536"/>
      <c r="P182" s="536"/>
      <c r="Q182" s="536"/>
      <c r="R182" s="536"/>
      <c r="S182" s="536"/>
      <c r="T182" s="536"/>
      <c r="U182" s="536"/>
      <c r="V182" s="536"/>
      <c r="W182" s="536"/>
      <c r="X182" s="536"/>
      <c r="Y182" s="536"/>
      <c r="Z182" s="536"/>
      <c r="AA182" s="536"/>
      <c r="AB182" s="536"/>
      <c r="AC182" s="536"/>
      <c r="AD182" s="536"/>
      <c r="AE182" s="536"/>
      <c r="AF182" s="536"/>
      <c r="AG182" s="536"/>
      <c r="AH182" s="536"/>
      <c r="AI182" s="536"/>
      <c r="AJ182" s="536"/>
      <c r="AK182" s="536"/>
      <c r="AL182" s="536"/>
      <c r="AM182" s="787"/>
      <c r="AN182" s="536"/>
      <c r="AO182" s="536"/>
      <c r="AP182" s="536"/>
      <c r="AQ182" s="536"/>
      <c r="AR182" s="536"/>
    </row>
    <row r="183" spans="1:44" s="165" customFormat="1" ht="31.5" customHeight="1" x14ac:dyDescent="0.25">
      <c r="A183" s="247"/>
      <c r="B183" s="86"/>
      <c r="C183" s="767"/>
      <c r="D183" s="86"/>
      <c r="E183" s="86"/>
      <c r="F183" s="86"/>
      <c r="G183" s="788">
        <v>85</v>
      </c>
      <c r="H183" s="124" t="s">
        <v>73</v>
      </c>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789"/>
      <c r="AN183" s="124"/>
      <c r="AO183" s="124"/>
      <c r="AP183" s="124"/>
      <c r="AQ183" s="124"/>
      <c r="AR183" s="124"/>
    </row>
    <row r="184" spans="1:44" s="29" customFormat="1" ht="57" customHeight="1" x14ac:dyDescent="0.25">
      <c r="A184" s="30"/>
      <c r="B184" s="30"/>
      <c r="C184" s="913">
        <v>37</v>
      </c>
      <c r="D184" s="942" t="s">
        <v>238</v>
      </c>
      <c r="E184" s="925">
        <v>54.61</v>
      </c>
      <c r="F184" s="925">
        <v>60</v>
      </c>
      <c r="G184" s="30"/>
      <c r="H184" s="719">
        <v>250</v>
      </c>
      <c r="I184" s="731" t="s">
        <v>239</v>
      </c>
      <c r="J184" s="44">
        <v>1</v>
      </c>
      <c r="K184" s="44">
        <v>3</v>
      </c>
      <c r="L184" s="44">
        <v>1</v>
      </c>
      <c r="M184" s="1058" t="s">
        <v>75</v>
      </c>
      <c r="N184" s="959" t="s">
        <v>240</v>
      </c>
      <c r="O184" s="942" t="s">
        <v>241</v>
      </c>
      <c r="P184" s="783" t="s">
        <v>47</v>
      </c>
      <c r="Q184" s="46">
        <v>0</v>
      </c>
      <c r="R184" s="46">
        <v>0</v>
      </c>
      <c r="S184" s="46">
        <v>0</v>
      </c>
      <c r="T184" s="46">
        <v>0</v>
      </c>
      <c r="U184" s="46">
        <v>0</v>
      </c>
      <c r="V184" s="46">
        <v>0</v>
      </c>
      <c r="W184" s="46">
        <v>0</v>
      </c>
      <c r="X184" s="46"/>
      <c r="Y184" s="46"/>
      <c r="Z184" s="46"/>
      <c r="AA184" s="46">
        <v>0</v>
      </c>
      <c r="AB184" s="46"/>
      <c r="AC184" s="46">
        <v>0</v>
      </c>
      <c r="AD184" s="46">
        <v>0</v>
      </c>
      <c r="AE184" s="46"/>
      <c r="AF184" s="46"/>
      <c r="AG184" s="46"/>
      <c r="AH184" s="46"/>
      <c r="AI184" s="46"/>
      <c r="AJ184" s="46"/>
      <c r="AK184" s="46">
        <v>0</v>
      </c>
      <c r="AL184" s="46">
        <v>0</v>
      </c>
      <c r="AM184" s="784">
        <f>69250000+205000000</f>
        <v>274250000</v>
      </c>
      <c r="AN184" s="785"/>
      <c r="AO184" s="46">
        <v>0</v>
      </c>
      <c r="AP184" s="306">
        <v>0</v>
      </c>
      <c r="AQ184" s="306"/>
      <c r="AR184" s="46">
        <f t="shared" si="82"/>
        <v>274250000</v>
      </c>
    </row>
    <row r="185" spans="1:44" s="29" customFormat="1" ht="52.5" customHeight="1" x14ac:dyDescent="0.25">
      <c r="A185" s="30"/>
      <c r="B185" s="30"/>
      <c r="C185" s="913"/>
      <c r="D185" s="942"/>
      <c r="E185" s="925"/>
      <c r="F185" s="925"/>
      <c r="G185" s="30"/>
      <c r="H185" s="718">
        <v>251</v>
      </c>
      <c r="I185" s="762" t="s">
        <v>242</v>
      </c>
      <c r="J185" s="25">
        <v>0</v>
      </c>
      <c r="K185" s="25">
        <v>1</v>
      </c>
      <c r="L185" s="25">
        <v>0.35</v>
      </c>
      <c r="M185" s="1058"/>
      <c r="N185" s="959"/>
      <c r="O185" s="942"/>
      <c r="P185" s="58" t="s">
        <v>47</v>
      </c>
      <c r="Q185" s="27">
        <v>0</v>
      </c>
      <c r="R185" s="27">
        <v>0</v>
      </c>
      <c r="S185" s="27">
        <v>0</v>
      </c>
      <c r="T185" s="27">
        <v>0</v>
      </c>
      <c r="U185" s="27">
        <v>0</v>
      </c>
      <c r="V185" s="27">
        <v>0</v>
      </c>
      <c r="W185" s="27">
        <v>0</v>
      </c>
      <c r="X185" s="27"/>
      <c r="Y185" s="27"/>
      <c r="Z185" s="27"/>
      <c r="AA185" s="27">
        <v>0</v>
      </c>
      <c r="AB185" s="27"/>
      <c r="AC185" s="27">
        <v>0</v>
      </c>
      <c r="AD185" s="27">
        <v>0</v>
      </c>
      <c r="AE185" s="27"/>
      <c r="AF185" s="27"/>
      <c r="AG185" s="27"/>
      <c r="AH185" s="27"/>
      <c r="AI185" s="27"/>
      <c r="AJ185" s="27"/>
      <c r="AK185" s="27">
        <v>0</v>
      </c>
      <c r="AL185" s="27">
        <v>0</v>
      </c>
      <c r="AM185" s="109">
        <f>230750000-25000000</f>
        <v>205750000</v>
      </c>
      <c r="AN185" s="42"/>
      <c r="AO185" s="27">
        <v>0</v>
      </c>
      <c r="AP185" s="28">
        <v>0</v>
      </c>
      <c r="AQ185" s="28"/>
      <c r="AR185" s="27">
        <f t="shared" si="82"/>
        <v>205750000</v>
      </c>
    </row>
    <row r="186" spans="1:44" s="29" customFormat="1" ht="108.75" customHeight="1" x14ac:dyDescent="0.25">
      <c r="A186" s="30"/>
      <c r="B186" s="30"/>
      <c r="C186" s="914"/>
      <c r="D186" s="943"/>
      <c r="E186" s="926"/>
      <c r="F186" s="926"/>
      <c r="G186" s="32"/>
      <c r="H186" s="718">
        <v>254</v>
      </c>
      <c r="I186" s="71" t="s">
        <v>935</v>
      </c>
      <c r="J186" s="25">
        <v>0</v>
      </c>
      <c r="K186" s="25">
        <v>1</v>
      </c>
      <c r="L186" s="25">
        <v>0.7</v>
      </c>
      <c r="M186" s="1059"/>
      <c r="N186" s="949"/>
      <c r="O186" s="943"/>
      <c r="P186" s="58" t="s">
        <v>47</v>
      </c>
      <c r="Q186" s="27">
        <v>0</v>
      </c>
      <c r="R186" s="27">
        <v>0</v>
      </c>
      <c r="S186" s="27">
        <v>0</v>
      </c>
      <c r="T186" s="27">
        <v>0</v>
      </c>
      <c r="U186" s="27">
        <v>0</v>
      </c>
      <c r="V186" s="27">
        <v>0</v>
      </c>
      <c r="W186" s="27">
        <v>0</v>
      </c>
      <c r="X186" s="27"/>
      <c r="Y186" s="27"/>
      <c r="Z186" s="27"/>
      <c r="AA186" s="27">
        <v>0</v>
      </c>
      <c r="AB186" s="27"/>
      <c r="AC186" s="27">
        <v>0</v>
      </c>
      <c r="AD186" s="27">
        <v>0</v>
      </c>
      <c r="AE186" s="27"/>
      <c r="AF186" s="27"/>
      <c r="AG186" s="27"/>
      <c r="AH186" s="27"/>
      <c r="AI186" s="27"/>
      <c r="AJ186" s="27"/>
      <c r="AK186" s="27">
        <v>0</v>
      </c>
      <c r="AL186" s="27">
        <v>0</v>
      </c>
      <c r="AM186" s="108">
        <v>25000000</v>
      </c>
      <c r="AN186" s="40"/>
      <c r="AO186" s="27">
        <v>0</v>
      </c>
      <c r="AP186" s="27">
        <v>0</v>
      </c>
      <c r="AQ186" s="27"/>
      <c r="AR186" s="27">
        <f t="shared" si="82"/>
        <v>25000000</v>
      </c>
    </row>
    <row r="187" spans="1:44" s="165" customFormat="1" ht="24.75" customHeight="1" x14ac:dyDescent="0.25">
      <c r="A187" s="293"/>
      <c r="B187" s="30"/>
      <c r="C187" s="224"/>
      <c r="D187" s="762"/>
      <c r="E187" s="767"/>
      <c r="F187" s="767"/>
      <c r="G187" s="225"/>
      <c r="H187" s="226"/>
      <c r="I187" s="298"/>
      <c r="J187" s="162"/>
      <c r="K187" s="162"/>
      <c r="L187" s="162"/>
      <c r="M187" s="162"/>
      <c r="N187" s="163"/>
      <c r="O187" s="160"/>
      <c r="P187" s="161"/>
      <c r="Q187" s="164">
        <f t="shared" ref="Q187:AO187" si="112">SUM(Q184:Q186)</f>
        <v>0</v>
      </c>
      <c r="R187" s="164">
        <f t="shared" si="112"/>
        <v>0</v>
      </c>
      <c r="S187" s="164">
        <f t="shared" si="112"/>
        <v>0</v>
      </c>
      <c r="T187" s="164">
        <f t="shared" si="112"/>
        <v>0</v>
      </c>
      <c r="U187" s="164">
        <f t="shared" si="112"/>
        <v>0</v>
      </c>
      <c r="V187" s="164">
        <f t="shared" si="112"/>
        <v>0</v>
      </c>
      <c r="W187" s="164">
        <f t="shared" si="112"/>
        <v>0</v>
      </c>
      <c r="X187" s="164">
        <f t="shared" si="112"/>
        <v>0</v>
      </c>
      <c r="Y187" s="164">
        <f t="shared" si="112"/>
        <v>0</v>
      </c>
      <c r="Z187" s="164">
        <f t="shared" si="112"/>
        <v>0</v>
      </c>
      <c r="AA187" s="164">
        <f t="shared" si="112"/>
        <v>0</v>
      </c>
      <c r="AB187" s="164">
        <f t="shared" si="112"/>
        <v>0</v>
      </c>
      <c r="AC187" s="164">
        <f t="shared" si="112"/>
        <v>0</v>
      </c>
      <c r="AD187" s="164">
        <f t="shared" si="112"/>
        <v>0</v>
      </c>
      <c r="AE187" s="164">
        <f t="shared" si="112"/>
        <v>0</v>
      </c>
      <c r="AF187" s="164">
        <f t="shared" si="112"/>
        <v>0</v>
      </c>
      <c r="AG187" s="164">
        <f t="shared" si="112"/>
        <v>0</v>
      </c>
      <c r="AH187" s="164">
        <f t="shared" si="112"/>
        <v>0</v>
      </c>
      <c r="AI187" s="164">
        <f t="shared" si="112"/>
        <v>0</v>
      </c>
      <c r="AJ187" s="164">
        <f t="shared" si="112"/>
        <v>0</v>
      </c>
      <c r="AK187" s="164">
        <f t="shared" si="112"/>
        <v>0</v>
      </c>
      <c r="AL187" s="164">
        <f t="shared" si="112"/>
        <v>0</v>
      </c>
      <c r="AM187" s="164">
        <f t="shared" si="112"/>
        <v>505000000</v>
      </c>
      <c r="AN187" s="164">
        <f t="shared" si="112"/>
        <v>0</v>
      </c>
      <c r="AO187" s="164">
        <f t="shared" si="112"/>
        <v>0</v>
      </c>
      <c r="AP187" s="164">
        <f t="shared" ref="AP187" si="113">SUM(AP184:AP186)</f>
        <v>0</v>
      </c>
      <c r="AQ187" s="164">
        <f t="shared" ref="AQ187" si="114">SUM(AQ184:AQ186)</f>
        <v>0</v>
      </c>
      <c r="AR187" s="164">
        <f t="shared" si="82"/>
        <v>505000000</v>
      </c>
    </row>
    <row r="188" spans="1:44" s="29" customFormat="1" ht="20.25" customHeight="1" x14ac:dyDescent="0.25">
      <c r="A188" s="293"/>
      <c r="B188" s="30"/>
      <c r="C188" s="760"/>
      <c r="D188" s="183"/>
      <c r="E188" s="760"/>
      <c r="F188" s="760"/>
      <c r="G188" s="829"/>
      <c r="H188" s="830"/>
      <c r="I188" s="299"/>
      <c r="J188" s="184"/>
      <c r="K188" s="184"/>
      <c r="L188" s="184"/>
      <c r="M188" s="184"/>
      <c r="N188" s="185"/>
      <c r="O188" s="183"/>
      <c r="P188" s="760"/>
      <c r="Q188" s="186"/>
      <c r="R188" s="186"/>
      <c r="S188" s="186"/>
      <c r="T188" s="186"/>
      <c r="U188" s="186"/>
      <c r="V188" s="186"/>
      <c r="W188" s="186"/>
      <c r="X188" s="186"/>
      <c r="Y188" s="186"/>
      <c r="Z188" s="186"/>
      <c r="AA188" s="186"/>
      <c r="AB188" s="186"/>
      <c r="AC188" s="186"/>
      <c r="AD188" s="186"/>
      <c r="AE188" s="186"/>
      <c r="AF188" s="186"/>
      <c r="AG188" s="186"/>
      <c r="AH188" s="186"/>
      <c r="AI188" s="186"/>
      <c r="AJ188" s="186"/>
      <c r="AK188" s="186"/>
      <c r="AL188" s="186"/>
      <c r="AM188" s="188"/>
      <c r="AN188" s="189"/>
      <c r="AO188" s="186"/>
      <c r="AP188" s="186"/>
      <c r="AQ188" s="186"/>
      <c r="AR188" s="205">
        <f t="shared" si="82"/>
        <v>0</v>
      </c>
    </row>
    <row r="189" spans="1:44" s="165" customFormat="1" ht="27" customHeight="1" x14ac:dyDescent="0.25">
      <c r="A189" s="293"/>
      <c r="B189" s="30"/>
      <c r="C189" s="224"/>
      <c r="D189" s="762"/>
      <c r="E189" s="767"/>
      <c r="F189" s="767"/>
      <c r="G189" s="193">
        <v>86</v>
      </c>
      <c r="H189" s="194" t="s">
        <v>243</v>
      </c>
      <c r="I189" s="194"/>
      <c r="J189" s="194"/>
      <c r="K189" s="194"/>
      <c r="L189" s="194"/>
      <c r="M189" s="194"/>
      <c r="N189" s="194"/>
      <c r="O189" s="194"/>
      <c r="P189" s="194"/>
      <c r="Q189" s="194"/>
      <c r="R189" s="194"/>
      <c r="S189" s="194"/>
      <c r="T189" s="194"/>
      <c r="U189" s="194"/>
      <c r="V189" s="194"/>
      <c r="W189" s="194"/>
      <c r="X189" s="194"/>
      <c r="Y189" s="194"/>
      <c r="Z189" s="194"/>
      <c r="AA189" s="194"/>
      <c r="AB189" s="194"/>
      <c r="AC189" s="194"/>
      <c r="AD189" s="194"/>
      <c r="AE189" s="194"/>
      <c r="AF189" s="194"/>
      <c r="AG189" s="194"/>
      <c r="AH189" s="194"/>
      <c r="AI189" s="194"/>
      <c r="AJ189" s="194"/>
      <c r="AK189" s="194"/>
      <c r="AL189" s="194"/>
      <c r="AM189" s="196"/>
      <c r="AN189" s="194"/>
      <c r="AO189" s="194"/>
      <c r="AP189" s="194"/>
      <c r="AQ189" s="194"/>
      <c r="AR189" s="197"/>
    </row>
    <row r="190" spans="1:44" s="165" customFormat="1" ht="85.5" customHeight="1" x14ac:dyDescent="0.25">
      <c r="A190" s="293"/>
      <c r="B190" s="30"/>
      <c r="C190" s="761">
        <v>37</v>
      </c>
      <c r="D190" s="762" t="s">
        <v>234</v>
      </c>
      <c r="E190" s="767">
        <v>54.61</v>
      </c>
      <c r="F190" s="767">
        <v>60</v>
      </c>
      <c r="G190" s="24"/>
      <c r="H190" s="767">
        <v>255</v>
      </c>
      <c r="I190" s="7" t="s">
        <v>244</v>
      </c>
      <c r="J190" s="25">
        <v>12</v>
      </c>
      <c r="K190" s="25">
        <v>12</v>
      </c>
      <c r="L190" s="25">
        <v>12</v>
      </c>
      <c r="M190" s="26" t="s">
        <v>75</v>
      </c>
      <c r="N190" s="39" t="s">
        <v>245</v>
      </c>
      <c r="O190" s="762" t="s">
        <v>246</v>
      </c>
      <c r="P190" s="58" t="s">
        <v>47</v>
      </c>
      <c r="Q190" s="27">
        <v>0</v>
      </c>
      <c r="R190" s="27">
        <v>0</v>
      </c>
      <c r="S190" s="27">
        <v>0</v>
      </c>
      <c r="T190" s="27">
        <v>0</v>
      </c>
      <c r="U190" s="27">
        <v>0</v>
      </c>
      <c r="V190" s="27">
        <v>0</v>
      </c>
      <c r="W190" s="27">
        <v>0</v>
      </c>
      <c r="X190" s="27"/>
      <c r="Y190" s="27"/>
      <c r="Z190" s="27"/>
      <c r="AA190" s="27">
        <v>0</v>
      </c>
      <c r="AB190" s="27"/>
      <c r="AC190" s="27">
        <v>0</v>
      </c>
      <c r="AD190" s="27">
        <v>0</v>
      </c>
      <c r="AE190" s="257"/>
      <c r="AF190" s="257"/>
      <c r="AG190" s="257"/>
      <c r="AH190" s="257"/>
      <c r="AI190" s="257"/>
      <c r="AJ190" s="257"/>
      <c r="AK190" s="27">
        <v>0</v>
      </c>
      <c r="AL190" s="27">
        <v>0</v>
      </c>
      <c r="AM190" s="110">
        <f>80000000+20500000</f>
        <v>100500000</v>
      </c>
      <c r="AN190" s="11"/>
      <c r="AO190" s="27">
        <v>0</v>
      </c>
      <c r="AP190" s="28">
        <v>0</v>
      </c>
      <c r="AQ190" s="28"/>
      <c r="AR190" s="27">
        <f t="shared" si="82"/>
        <v>100500000</v>
      </c>
    </row>
    <row r="191" spans="1:44" s="49" customFormat="1" ht="27" customHeight="1" x14ac:dyDescent="0.25">
      <c r="A191" s="293"/>
      <c r="B191" s="30"/>
      <c r="C191" s="774"/>
      <c r="D191" s="729"/>
      <c r="E191" s="718"/>
      <c r="F191" s="718"/>
      <c r="G191" s="225"/>
      <c r="H191" s="226"/>
      <c r="I191" s="225"/>
      <c r="J191" s="294"/>
      <c r="K191" s="294"/>
      <c r="L191" s="294"/>
      <c r="M191" s="294"/>
      <c r="N191" s="295"/>
      <c r="O191" s="225"/>
      <c r="P191" s="226"/>
      <c r="Q191" s="296">
        <f t="shared" ref="Q191:AL191" si="115">SUM(Q190:Q190)</f>
        <v>0</v>
      </c>
      <c r="R191" s="296">
        <f t="shared" si="115"/>
        <v>0</v>
      </c>
      <c r="S191" s="296">
        <f t="shared" si="115"/>
        <v>0</v>
      </c>
      <c r="T191" s="296">
        <f t="shared" si="115"/>
        <v>0</v>
      </c>
      <c r="U191" s="296">
        <f t="shared" si="115"/>
        <v>0</v>
      </c>
      <c r="V191" s="296">
        <f t="shared" si="115"/>
        <v>0</v>
      </c>
      <c r="W191" s="296">
        <f t="shared" si="115"/>
        <v>0</v>
      </c>
      <c r="X191" s="296">
        <f t="shared" si="115"/>
        <v>0</v>
      </c>
      <c r="Y191" s="296">
        <f t="shared" si="115"/>
        <v>0</v>
      </c>
      <c r="Z191" s="296">
        <f t="shared" si="115"/>
        <v>0</v>
      </c>
      <c r="AA191" s="296">
        <f t="shared" si="115"/>
        <v>0</v>
      </c>
      <c r="AB191" s="296">
        <f t="shared" si="115"/>
        <v>0</v>
      </c>
      <c r="AC191" s="296">
        <f t="shared" si="115"/>
        <v>0</v>
      </c>
      <c r="AD191" s="296">
        <f t="shared" si="115"/>
        <v>0</v>
      </c>
      <c r="AE191" s="296">
        <f t="shared" si="115"/>
        <v>0</v>
      </c>
      <c r="AF191" s="296">
        <f t="shared" si="115"/>
        <v>0</v>
      </c>
      <c r="AG191" s="296">
        <f t="shared" si="115"/>
        <v>0</v>
      </c>
      <c r="AH191" s="296">
        <f t="shared" si="115"/>
        <v>0</v>
      </c>
      <c r="AI191" s="296">
        <f t="shared" si="115"/>
        <v>0</v>
      </c>
      <c r="AJ191" s="296">
        <f t="shared" si="115"/>
        <v>0</v>
      </c>
      <c r="AK191" s="296">
        <f t="shared" si="115"/>
        <v>0</v>
      </c>
      <c r="AL191" s="296">
        <f t="shared" si="115"/>
        <v>0</v>
      </c>
      <c r="AM191" s="296">
        <f t="shared" ref="AM191:AP191" si="116">SUM(AM190:AM190)</f>
        <v>100500000</v>
      </c>
      <c r="AN191" s="296">
        <f t="shared" si="116"/>
        <v>0</v>
      </c>
      <c r="AO191" s="296">
        <f t="shared" si="116"/>
        <v>0</v>
      </c>
      <c r="AP191" s="296">
        <f t="shared" si="116"/>
        <v>0</v>
      </c>
      <c r="AQ191" s="296">
        <f t="shared" ref="AQ191" si="117">SUM(AQ190:AQ190)</f>
        <v>0</v>
      </c>
      <c r="AR191" s="296">
        <f t="shared" si="82"/>
        <v>100500000</v>
      </c>
    </row>
    <row r="192" spans="1:44" s="300" customFormat="1" ht="25.5" customHeight="1" x14ac:dyDescent="0.25">
      <c r="A192" s="861"/>
      <c r="B192" s="167"/>
      <c r="C192" s="168"/>
      <c r="D192" s="167"/>
      <c r="E192" s="168"/>
      <c r="F192" s="168"/>
      <c r="G192" s="167"/>
      <c r="H192" s="168"/>
      <c r="I192" s="167"/>
      <c r="J192" s="169"/>
      <c r="K192" s="169"/>
      <c r="L192" s="169"/>
      <c r="M192" s="169"/>
      <c r="N192" s="170"/>
      <c r="O192" s="167"/>
      <c r="P192" s="168"/>
      <c r="Q192" s="171">
        <f t="shared" ref="Q192:AL192" si="118">Q191+Q187</f>
        <v>0</v>
      </c>
      <c r="R192" s="171">
        <f t="shared" si="118"/>
        <v>0</v>
      </c>
      <c r="S192" s="171">
        <f t="shared" si="118"/>
        <v>0</v>
      </c>
      <c r="T192" s="171">
        <f t="shared" si="118"/>
        <v>0</v>
      </c>
      <c r="U192" s="171">
        <f t="shared" si="118"/>
        <v>0</v>
      </c>
      <c r="V192" s="171">
        <f t="shared" si="118"/>
        <v>0</v>
      </c>
      <c r="W192" s="171">
        <f t="shared" si="118"/>
        <v>0</v>
      </c>
      <c r="X192" s="171">
        <f t="shared" si="118"/>
        <v>0</v>
      </c>
      <c r="Y192" s="171">
        <f t="shared" si="118"/>
        <v>0</v>
      </c>
      <c r="Z192" s="171">
        <f t="shared" si="118"/>
        <v>0</v>
      </c>
      <c r="AA192" s="171">
        <f t="shared" si="118"/>
        <v>0</v>
      </c>
      <c r="AB192" s="171">
        <f t="shared" si="118"/>
        <v>0</v>
      </c>
      <c r="AC192" s="171">
        <f t="shared" si="118"/>
        <v>0</v>
      </c>
      <c r="AD192" s="171">
        <f t="shared" si="118"/>
        <v>0</v>
      </c>
      <c r="AE192" s="171">
        <f t="shared" si="118"/>
        <v>0</v>
      </c>
      <c r="AF192" s="171">
        <f t="shared" si="118"/>
        <v>0</v>
      </c>
      <c r="AG192" s="171">
        <f t="shared" si="118"/>
        <v>0</v>
      </c>
      <c r="AH192" s="171">
        <f t="shared" si="118"/>
        <v>0</v>
      </c>
      <c r="AI192" s="171">
        <f t="shared" si="118"/>
        <v>0</v>
      </c>
      <c r="AJ192" s="171">
        <f t="shared" si="118"/>
        <v>0</v>
      </c>
      <c r="AK192" s="171">
        <f t="shared" si="118"/>
        <v>0</v>
      </c>
      <c r="AL192" s="171">
        <f t="shared" si="118"/>
        <v>0</v>
      </c>
      <c r="AM192" s="171">
        <f t="shared" ref="AM192:AP192" si="119">AM191+AM187</f>
        <v>605500000</v>
      </c>
      <c r="AN192" s="171">
        <f t="shared" si="119"/>
        <v>0</v>
      </c>
      <c r="AO192" s="171">
        <f t="shared" si="119"/>
        <v>0</v>
      </c>
      <c r="AP192" s="171">
        <f t="shared" si="119"/>
        <v>0</v>
      </c>
      <c r="AQ192" s="171">
        <f t="shared" ref="AQ192" si="120">AQ191+AQ187</f>
        <v>0</v>
      </c>
      <c r="AR192" s="171">
        <f t="shared" si="82"/>
        <v>605500000</v>
      </c>
    </row>
    <row r="193" spans="1:44" s="165" customFormat="1" ht="24" customHeight="1" x14ac:dyDescent="0.25">
      <c r="A193" s="819"/>
      <c r="B193" s="819"/>
      <c r="C193" s="820"/>
      <c r="D193" s="819"/>
      <c r="E193" s="820"/>
      <c r="F193" s="820"/>
      <c r="G193" s="819"/>
      <c r="H193" s="820"/>
      <c r="I193" s="819"/>
      <c r="J193" s="821"/>
      <c r="K193" s="821"/>
      <c r="L193" s="821"/>
      <c r="M193" s="821"/>
      <c r="N193" s="822"/>
      <c r="O193" s="819"/>
      <c r="P193" s="820"/>
      <c r="Q193" s="823">
        <f t="shared" ref="Q193:AL193" si="121">Q192+Q180</f>
        <v>0</v>
      </c>
      <c r="R193" s="823">
        <f t="shared" si="121"/>
        <v>0</v>
      </c>
      <c r="S193" s="823">
        <f t="shared" si="121"/>
        <v>0</v>
      </c>
      <c r="T193" s="823">
        <f t="shared" si="121"/>
        <v>0</v>
      </c>
      <c r="U193" s="823">
        <f t="shared" si="121"/>
        <v>0</v>
      </c>
      <c r="V193" s="823">
        <f t="shared" si="121"/>
        <v>0</v>
      </c>
      <c r="W193" s="823">
        <f t="shared" si="121"/>
        <v>0</v>
      </c>
      <c r="X193" s="823">
        <f t="shared" si="121"/>
        <v>0</v>
      </c>
      <c r="Y193" s="823">
        <f t="shared" si="121"/>
        <v>0</v>
      </c>
      <c r="Z193" s="823">
        <f t="shared" si="121"/>
        <v>0</v>
      </c>
      <c r="AA193" s="823">
        <f t="shared" si="121"/>
        <v>0</v>
      </c>
      <c r="AB193" s="823">
        <f t="shared" si="121"/>
        <v>0</v>
      </c>
      <c r="AC193" s="823">
        <f t="shared" si="121"/>
        <v>0</v>
      </c>
      <c r="AD193" s="823">
        <f t="shared" si="121"/>
        <v>0</v>
      </c>
      <c r="AE193" s="823">
        <f t="shared" si="121"/>
        <v>0</v>
      </c>
      <c r="AF193" s="823">
        <f t="shared" si="121"/>
        <v>0</v>
      </c>
      <c r="AG193" s="823">
        <f t="shared" si="121"/>
        <v>0</v>
      </c>
      <c r="AH193" s="823">
        <f t="shared" si="121"/>
        <v>0</v>
      </c>
      <c r="AI193" s="823">
        <f t="shared" si="121"/>
        <v>0</v>
      </c>
      <c r="AJ193" s="823">
        <f t="shared" si="121"/>
        <v>0</v>
      </c>
      <c r="AK193" s="823">
        <f t="shared" si="121"/>
        <v>0</v>
      </c>
      <c r="AL193" s="823">
        <f t="shared" si="121"/>
        <v>0</v>
      </c>
      <c r="AM193" s="823">
        <f t="shared" ref="AM193:AP193" si="122">AM192+AM180</f>
        <v>645500000</v>
      </c>
      <c r="AN193" s="823">
        <f t="shared" si="122"/>
        <v>0</v>
      </c>
      <c r="AO193" s="823">
        <f t="shared" si="122"/>
        <v>0</v>
      </c>
      <c r="AP193" s="823">
        <f t="shared" si="122"/>
        <v>0</v>
      </c>
      <c r="AQ193" s="823">
        <f t="shared" ref="AQ193" si="123">AQ192+AQ180</f>
        <v>0</v>
      </c>
      <c r="AR193" s="823">
        <f t="shared" si="82"/>
        <v>645500000</v>
      </c>
    </row>
    <row r="194" spans="1:44" s="165" customFormat="1" ht="24" customHeight="1" x14ac:dyDescent="0.25">
      <c r="A194" s="177"/>
      <c r="B194" s="177"/>
      <c r="C194" s="178"/>
      <c r="D194" s="177"/>
      <c r="E194" s="178"/>
      <c r="F194" s="178"/>
      <c r="G194" s="177"/>
      <c r="H194" s="178"/>
      <c r="I194" s="177"/>
      <c r="J194" s="179"/>
      <c r="K194" s="179"/>
      <c r="L194" s="179"/>
      <c r="M194" s="179"/>
      <c r="N194" s="180"/>
      <c r="O194" s="177"/>
      <c r="P194" s="178"/>
      <c r="Q194" s="181">
        <f t="shared" ref="Q194:AL194" si="124">Q193+Q173</f>
        <v>0</v>
      </c>
      <c r="R194" s="181">
        <f t="shared" si="124"/>
        <v>0</v>
      </c>
      <c r="S194" s="181">
        <f t="shared" si="124"/>
        <v>0</v>
      </c>
      <c r="T194" s="181">
        <f t="shared" si="124"/>
        <v>9429631612</v>
      </c>
      <c r="U194" s="181">
        <f t="shared" si="124"/>
        <v>0</v>
      </c>
      <c r="V194" s="181">
        <f t="shared" si="124"/>
        <v>0</v>
      </c>
      <c r="W194" s="181">
        <f t="shared" si="124"/>
        <v>0</v>
      </c>
      <c r="X194" s="181">
        <f t="shared" si="124"/>
        <v>0</v>
      </c>
      <c r="Y194" s="181">
        <f t="shared" si="124"/>
        <v>0</v>
      </c>
      <c r="Z194" s="181">
        <f t="shared" si="124"/>
        <v>0</v>
      </c>
      <c r="AA194" s="181">
        <f t="shared" si="124"/>
        <v>0</v>
      </c>
      <c r="AB194" s="181">
        <f t="shared" si="124"/>
        <v>0</v>
      </c>
      <c r="AC194" s="181">
        <f t="shared" si="124"/>
        <v>0</v>
      </c>
      <c r="AD194" s="181">
        <f t="shared" si="124"/>
        <v>0</v>
      </c>
      <c r="AE194" s="181">
        <f t="shared" si="124"/>
        <v>0</v>
      </c>
      <c r="AF194" s="181">
        <f t="shared" si="124"/>
        <v>0</v>
      </c>
      <c r="AG194" s="181">
        <f t="shared" si="124"/>
        <v>0</v>
      </c>
      <c r="AH194" s="181">
        <f t="shared" si="124"/>
        <v>0</v>
      </c>
      <c r="AI194" s="181">
        <f t="shared" si="124"/>
        <v>0</v>
      </c>
      <c r="AJ194" s="181">
        <f t="shared" si="124"/>
        <v>0</v>
      </c>
      <c r="AK194" s="181">
        <f t="shared" si="124"/>
        <v>0</v>
      </c>
      <c r="AL194" s="181">
        <f t="shared" si="124"/>
        <v>0</v>
      </c>
      <c r="AM194" s="181">
        <f t="shared" ref="AM194:AP194" si="125">AM193+AM173</f>
        <v>2154349775.75</v>
      </c>
      <c r="AN194" s="181">
        <f t="shared" si="125"/>
        <v>0</v>
      </c>
      <c r="AO194" s="181">
        <f t="shared" si="125"/>
        <v>0</v>
      </c>
      <c r="AP194" s="181">
        <f t="shared" si="125"/>
        <v>0</v>
      </c>
      <c r="AQ194" s="181">
        <f t="shared" ref="AQ194" si="126">AQ193+AQ173</f>
        <v>0</v>
      </c>
      <c r="AR194" s="181">
        <f t="shared" si="82"/>
        <v>11583981387.75</v>
      </c>
    </row>
    <row r="195" spans="1:44" s="29" customFormat="1" ht="21" customHeight="1" x14ac:dyDescent="0.25">
      <c r="A195" s="831"/>
      <c r="B195" s="829"/>
      <c r="C195" s="830"/>
      <c r="D195" s="829"/>
      <c r="E195" s="830"/>
      <c r="F195" s="830"/>
      <c r="G195" s="829"/>
      <c r="H195" s="830"/>
      <c r="I195" s="829"/>
      <c r="J195" s="832"/>
      <c r="K195" s="832"/>
      <c r="L195" s="832"/>
      <c r="M195" s="832"/>
      <c r="N195" s="833"/>
      <c r="O195" s="829"/>
      <c r="P195" s="830"/>
      <c r="Q195" s="834"/>
      <c r="R195" s="834"/>
      <c r="S195" s="834"/>
      <c r="T195" s="834"/>
      <c r="U195" s="834"/>
      <c r="V195" s="834"/>
      <c r="W195" s="834"/>
      <c r="X195" s="834"/>
      <c r="Y195" s="834"/>
      <c r="Z195" s="834"/>
      <c r="AA195" s="834"/>
      <c r="AB195" s="834"/>
      <c r="AC195" s="834"/>
      <c r="AD195" s="834"/>
      <c r="AE195" s="835"/>
      <c r="AF195" s="835"/>
      <c r="AG195" s="835"/>
      <c r="AH195" s="835"/>
      <c r="AI195" s="835"/>
      <c r="AJ195" s="835"/>
      <c r="AK195" s="834"/>
      <c r="AL195" s="834"/>
      <c r="AM195" s="108"/>
      <c r="AN195" s="863"/>
      <c r="AO195" s="834"/>
      <c r="AP195" s="834"/>
      <c r="AQ195" s="834"/>
      <c r="AR195" s="837">
        <f t="shared" si="82"/>
        <v>0</v>
      </c>
    </row>
    <row r="196" spans="1:44" s="165" customFormat="1" ht="20.25" x14ac:dyDescent="0.25">
      <c r="A196" s="838" t="s">
        <v>247</v>
      </c>
      <c r="B196" s="839"/>
      <c r="C196" s="840"/>
      <c r="D196" s="839"/>
      <c r="E196" s="839"/>
      <c r="F196" s="839"/>
      <c r="G196" s="839"/>
      <c r="H196" s="840"/>
      <c r="I196" s="839"/>
      <c r="J196" s="839"/>
      <c r="K196" s="839"/>
      <c r="L196" s="839"/>
      <c r="M196" s="839"/>
      <c r="N196" s="841"/>
      <c r="O196" s="839"/>
      <c r="P196" s="840"/>
      <c r="Q196" s="839"/>
      <c r="R196" s="839"/>
      <c r="S196" s="839"/>
      <c r="T196" s="839"/>
      <c r="U196" s="839"/>
      <c r="V196" s="839"/>
      <c r="W196" s="839"/>
      <c r="X196" s="839"/>
      <c r="Y196" s="839"/>
      <c r="Z196" s="839"/>
      <c r="AA196" s="839"/>
      <c r="AB196" s="839"/>
      <c r="AC196" s="839"/>
      <c r="AD196" s="839"/>
      <c r="AE196" s="839"/>
      <c r="AF196" s="839"/>
      <c r="AG196" s="839"/>
      <c r="AH196" s="839"/>
      <c r="AI196" s="839"/>
      <c r="AJ196" s="839"/>
      <c r="AK196" s="839"/>
      <c r="AL196" s="839"/>
      <c r="AM196" s="301"/>
      <c r="AN196" s="843"/>
      <c r="AO196" s="839"/>
      <c r="AP196" s="839"/>
      <c r="AQ196" s="839"/>
      <c r="AR196" s="844"/>
    </row>
    <row r="197" spans="1:44" s="29" customFormat="1" x14ac:dyDescent="0.25">
      <c r="A197" s="826">
        <v>3</v>
      </c>
      <c r="B197" s="142" t="s">
        <v>248</v>
      </c>
      <c r="C197" s="143"/>
      <c r="D197" s="142"/>
      <c r="E197" s="142"/>
      <c r="F197" s="142"/>
      <c r="G197" s="142"/>
      <c r="H197" s="143"/>
      <c r="I197" s="142"/>
      <c r="J197" s="142"/>
      <c r="K197" s="142"/>
      <c r="L197" s="142"/>
      <c r="M197" s="142"/>
      <c r="N197" s="144"/>
      <c r="O197" s="142"/>
      <c r="P197" s="142"/>
      <c r="Q197" s="142"/>
      <c r="R197" s="142"/>
      <c r="S197" s="142"/>
      <c r="T197" s="142"/>
      <c r="U197" s="142"/>
      <c r="V197" s="142"/>
      <c r="W197" s="142"/>
      <c r="X197" s="142"/>
      <c r="Y197" s="142"/>
      <c r="Z197" s="142"/>
      <c r="AA197" s="142"/>
      <c r="AB197" s="142"/>
      <c r="AC197" s="142"/>
      <c r="AD197" s="142"/>
      <c r="AE197" s="142"/>
      <c r="AF197" s="142"/>
      <c r="AG197" s="142"/>
      <c r="AH197" s="142"/>
      <c r="AI197" s="142"/>
      <c r="AJ197" s="142"/>
      <c r="AK197" s="142"/>
      <c r="AL197" s="142"/>
      <c r="AM197" s="145"/>
      <c r="AN197" s="142"/>
      <c r="AO197" s="142"/>
      <c r="AP197" s="142"/>
      <c r="AQ197" s="142"/>
      <c r="AR197" s="146"/>
    </row>
    <row r="198" spans="1:44" s="29" customFormat="1" x14ac:dyDescent="0.25">
      <c r="A198" s="190"/>
      <c r="B198" s="243">
        <v>9</v>
      </c>
      <c r="C198" s="150" t="s">
        <v>249</v>
      </c>
      <c r="D198" s="149"/>
      <c r="E198" s="149"/>
      <c r="F198" s="149"/>
      <c r="G198" s="149"/>
      <c r="H198" s="150"/>
      <c r="I198" s="149"/>
      <c r="J198" s="149"/>
      <c r="K198" s="149"/>
      <c r="L198" s="149"/>
      <c r="M198" s="149"/>
      <c r="N198" s="151"/>
      <c r="O198" s="149"/>
      <c r="P198" s="149"/>
      <c r="Q198" s="149"/>
      <c r="R198" s="149"/>
      <c r="S198" s="149"/>
      <c r="T198" s="149"/>
      <c r="U198" s="149"/>
      <c r="V198" s="149"/>
      <c r="W198" s="149"/>
      <c r="X198" s="149"/>
      <c r="Y198" s="149"/>
      <c r="Z198" s="149"/>
      <c r="AA198" s="149"/>
      <c r="AB198" s="149"/>
      <c r="AC198" s="149"/>
      <c r="AD198" s="149"/>
      <c r="AE198" s="149"/>
      <c r="AF198" s="149"/>
      <c r="AG198" s="149"/>
      <c r="AH198" s="149"/>
      <c r="AI198" s="149"/>
      <c r="AJ198" s="149"/>
      <c r="AK198" s="149"/>
      <c r="AL198" s="149"/>
      <c r="AM198" s="152"/>
      <c r="AN198" s="149"/>
      <c r="AO198" s="149"/>
      <c r="AP198" s="149"/>
      <c r="AQ198" s="149"/>
      <c r="AR198" s="153"/>
    </row>
    <row r="199" spans="1:44" s="29" customFormat="1" ht="15" x14ac:dyDescent="0.25">
      <c r="A199" s="21"/>
      <c r="B199" s="190"/>
      <c r="C199" s="244"/>
      <c r="D199" s="191"/>
      <c r="E199" s="191"/>
      <c r="F199" s="192"/>
      <c r="G199" s="193">
        <v>29</v>
      </c>
      <c r="H199" s="194" t="s">
        <v>250</v>
      </c>
      <c r="I199" s="194"/>
      <c r="J199" s="194"/>
      <c r="K199" s="194"/>
      <c r="L199" s="194"/>
      <c r="M199" s="194"/>
      <c r="N199" s="194"/>
      <c r="O199" s="194"/>
      <c r="P199" s="194"/>
      <c r="Q199" s="194"/>
      <c r="R199" s="194"/>
      <c r="S199" s="194"/>
      <c r="T199" s="194"/>
      <c r="U199" s="194"/>
      <c r="V199" s="194"/>
      <c r="W199" s="194"/>
      <c r="X199" s="194"/>
      <c r="Y199" s="194"/>
      <c r="Z199" s="194"/>
      <c r="AA199" s="194"/>
      <c r="AB199" s="194"/>
      <c r="AC199" s="194"/>
      <c r="AD199" s="194"/>
      <c r="AE199" s="194"/>
      <c r="AF199" s="194"/>
      <c r="AG199" s="194"/>
      <c r="AH199" s="194"/>
      <c r="AI199" s="194"/>
      <c r="AJ199" s="194"/>
      <c r="AK199" s="194"/>
      <c r="AL199" s="194"/>
      <c r="AM199" s="196"/>
      <c r="AN199" s="194"/>
      <c r="AO199" s="194"/>
      <c r="AP199" s="194"/>
      <c r="AQ199" s="194"/>
      <c r="AR199" s="197"/>
    </row>
    <row r="200" spans="1:44" s="29" customFormat="1" ht="88.5" customHeight="1" x14ac:dyDescent="0.25">
      <c r="A200" s="21"/>
      <c r="B200" s="21"/>
      <c r="C200" s="717" t="s">
        <v>251</v>
      </c>
      <c r="D200" s="752" t="s">
        <v>252</v>
      </c>
      <c r="E200" s="765" t="s">
        <v>253</v>
      </c>
      <c r="F200" s="723" t="s">
        <v>254</v>
      </c>
      <c r="G200" s="30"/>
      <c r="H200" s="719">
        <v>114</v>
      </c>
      <c r="I200" s="731" t="s">
        <v>255</v>
      </c>
      <c r="J200" s="739" t="s">
        <v>38</v>
      </c>
      <c r="K200" s="723">
        <v>30</v>
      </c>
      <c r="L200" s="723">
        <v>0</v>
      </c>
      <c r="M200" s="723" t="s">
        <v>256</v>
      </c>
      <c r="N200" s="39" t="s">
        <v>257</v>
      </c>
      <c r="O200" s="730" t="s">
        <v>258</v>
      </c>
      <c r="P200" s="723" t="s">
        <v>47</v>
      </c>
      <c r="Q200" s="790">
        <f>158620000+737538491+5427554</f>
        <v>901586045</v>
      </c>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302"/>
      <c r="AN200" s="303"/>
      <c r="AO200" s="104"/>
      <c r="AP200" s="304"/>
      <c r="AQ200" s="304"/>
      <c r="AR200" s="27">
        <f t="shared" si="82"/>
        <v>901586045</v>
      </c>
    </row>
    <row r="201" spans="1:44" s="29" customFormat="1" ht="88.5" customHeight="1" x14ac:dyDescent="0.25">
      <c r="A201" s="21"/>
      <c r="B201" s="21"/>
      <c r="C201" s="912" t="s">
        <v>251</v>
      </c>
      <c r="D201" s="1009" t="s">
        <v>259</v>
      </c>
      <c r="E201" s="1055" t="s">
        <v>253</v>
      </c>
      <c r="F201" s="924" t="s">
        <v>253</v>
      </c>
      <c r="G201" s="30"/>
      <c r="H201" s="719">
        <v>114</v>
      </c>
      <c r="I201" s="731" t="s">
        <v>255</v>
      </c>
      <c r="J201" s="739" t="s">
        <v>38</v>
      </c>
      <c r="K201" s="747">
        <v>30</v>
      </c>
      <c r="L201" s="6">
        <v>8</v>
      </c>
      <c r="M201" s="924" t="s">
        <v>256</v>
      </c>
      <c r="N201" s="959" t="s">
        <v>260</v>
      </c>
      <c r="O201" s="941" t="s">
        <v>261</v>
      </c>
      <c r="P201" s="723" t="s">
        <v>47</v>
      </c>
      <c r="Q201" s="305">
        <v>0</v>
      </c>
      <c r="R201" s="46">
        <v>0</v>
      </c>
      <c r="S201" s="46">
        <v>0</v>
      </c>
      <c r="T201" s="46">
        <v>0</v>
      </c>
      <c r="U201" s="46">
        <v>0</v>
      </c>
      <c r="V201" s="46">
        <v>0</v>
      </c>
      <c r="W201" s="46">
        <v>0</v>
      </c>
      <c r="X201" s="46"/>
      <c r="Y201" s="46"/>
      <c r="Z201" s="46"/>
      <c r="AA201" s="46">
        <v>0</v>
      </c>
      <c r="AB201" s="46"/>
      <c r="AC201" s="46">
        <v>0</v>
      </c>
      <c r="AD201" s="46">
        <v>0</v>
      </c>
      <c r="AE201" s="46"/>
      <c r="AF201" s="46"/>
      <c r="AG201" s="46"/>
      <c r="AH201" s="46"/>
      <c r="AI201" s="46"/>
      <c r="AJ201" s="46"/>
      <c r="AK201" s="46">
        <v>0</v>
      </c>
      <c r="AL201" s="46">
        <v>0</v>
      </c>
      <c r="AM201" s="302">
        <f>175100000+240000000+450000000+300000000</f>
        <v>1165100000</v>
      </c>
      <c r="AN201" s="303"/>
      <c r="AO201" s="46">
        <v>0</v>
      </c>
      <c r="AP201" s="306">
        <v>0</v>
      </c>
      <c r="AQ201" s="306"/>
      <c r="AR201" s="27">
        <f t="shared" si="82"/>
        <v>1165100000</v>
      </c>
    </row>
    <row r="202" spans="1:44" s="29" customFormat="1" ht="68.25" customHeight="1" x14ac:dyDescent="0.25">
      <c r="A202" s="21"/>
      <c r="B202" s="21"/>
      <c r="C202" s="913"/>
      <c r="D202" s="1010"/>
      <c r="E202" s="1056"/>
      <c r="F202" s="925"/>
      <c r="G202" s="30"/>
      <c r="H202" s="723">
        <v>115</v>
      </c>
      <c r="I202" s="762" t="s">
        <v>262</v>
      </c>
      <c r="J202" s="33">
        <v>0</v>
      </c>
      <c r="K202" s="307">
        <v>35</v>
      </c>
      <c r="L202" s="66">
        <v>29</v>
      </c>
      <c r="M202" s="925"/>
      <c r="N202" s="959"/>
      <c r="O202" s="942"/>
      <c r="P202" s="767" t="s">
        <v>42</v>
      </c>
      <c r="Q202" s="15">
        <f>793100000+566730870+27037773</f>
        <v>1386868643</v>
      </c>
      <c r="R202" s="27">
        <v>0</v>
      </c>
      <c r="S202" s="27">
        <v>0</v>
      </c>
      <c r="T202" s="27">
        <v>0</v>
      </c>
      <c r="U202" s="27">
        <v>0</v>
      </c>
      <c r="V202" s="27">
        <v>0</v>
      </c>
      <c r="W202" s="27">
        <v>0</v>
      </c>
      <c r="X202" s="27"/>
      <c r="Y202" s="27"/>
      <c r="Z202" s="27"/>
      <c r="AA202" s="27">
        <v>0</v>
      </c>
      <c r="AB202" s="27"/>
      <c r="AC202" s="27">
        <v>0</v>
      </c>
      <c r="AD202" s="27">
        <v>0</v>
      </c>
      <c r="AE202" s="27"/>
      <c r="AF202" s="27"/>
      <c r="AG202" s="27"/>
      <c r="AH202" s="27"/>
      <c r="AI202" s="27"/>
      <c r="AJ202" s="27"/>
      <c r="AK202" s="27">
        <v>0</v>
      </c>
      <c r="AL202" s="27">
        <v>0</v>
      </c>
      <c r="AM202" s="108">
        <f>400000000-400000000</f>
        <v>0</v>
      </c>
      <c r="AN202" s="40"/>
      <c r="AO202" s="27">
        <v>0</v>
      </c>
      <c r="AP202" s="28">
        <v>0</v>
      </c>
      <c r="AQ202" s="28"/>
      <c r="AR202" s="27">
        <f t="shared" si="82"/>
        <v>1386868643</v>
      </c>
    </row>
    <row r="203" spans="1:44" s="29" customFormat="1" ht="73.5" customHeight="1" x14ac:dyDescent="0.25">
      <c r="A203" s="21"/>
      <c r="B203" s="21"/>
      <c r="C203" s="914"/>
      <c r="D203" s="1011"/>
      <c r="E203" s="1057"/>
      <c r="F203" s="926"/>
      <c r="G203" s="32"/>
      <c r="H203" s="723">
        <v>116</v>
      </c>
      <c r="I203" s="762" t="s">
        <v>263</v>
      </c>
      <c r="J203" s="33" t="s">
        <v>38</v>
      </c>
      <c r="K203" s="308">
        <v>11</v>
      </c>
      <c r="L203" s="308">
        <v>0</v>
      </c>
      <c r="M203" s="926"/>
      <c r="N203" s="949"/>
      <c r="O203" s="943"/>
      <c r="P203" s="767" t="s">
        <v>42</v>
      </c>
      <c r="Q203" s="791">
        <f>158620000+158211035+5427554</f>
        <v>322258589</v>
      </c>
      <c r="R203" s="27">
        <v>0</v>
      </c>
      <c r="S203" s="27">
        <v>0</v>
      </c>
      <c r="T203" s="27">
        <v>0</v>
      </c>
      <c r="U203" s="27">
        <v>0</v>
      </c>
      <c r="V203" s="27">
        <v>0</v>
      </c>
      <c r="W203" s="27">
        <v>0</v>
      </c>
      <c r="X203" s="27"/>
      <c r="Y203" s="27"/>
      <c r="Z203" s="27"/>
      <c r="AA203" s="27">
        <v>0</v>
      </c>
      <c r="AB203" s="27"/>
      <c r="AC203" s="27">
        <v>0</v>
      </c>
      <c r="AD203" s="27">
        <v>0</v>
      </c>
      <c r="AE203" s="27"/>
      <c r="AF203" s="27"/>
      <c r="AG203" s="27"/>
      <c r="AH203" s="27"/>
      <c r="AI203" s="27"/>
      <c r="AJ203" s="27"/>
      <c r="AK203" s="27">
        <v>0</v>
      </c>
      <c r="AL203" s="27">
        <v>0</v>
      </c>
      <c r="AM203" s="108">
        <f>50000000-50000000</f>
        <v>0</v>
      </c>
      <c r="AN203" s="40"/>
      <c r="AO203" s="27">
        <v>0</v>
      </c>
      <c r="AP203" s="28">
        <v>0</v>
      </c>
      <c r="AQ203" s="28"/>
      <c r="AR203" s="27">
        <f t="shared" si="82"/>
        <v>322258589</v>
      </c>
    </row>
    <row r="204" spans="1:44" s="165" customFormat="1" ht="15" x14ac:dyDescent="0.25">
      <c r="A204" s="21"/>
      <c r="B204" s="21"/>
      <c r="C204" s="224"/>
      <c r="D204" s="309"/>
      <c r="E204" s="310"/>
      <c r="F204" s="310"/>
      <c r="G204" s="160"/>
      <c r="H204" s="161"/>
      <c r="I204" s="160"/>
      <c r="J204" s="311"/>
      <c r="K204" s="161"/>
      <c r="L204" s="161"/>
      <c r="M204" s="161"/>
      <c r="N204" s="163"/>
      <c r="O204" s="160"/>
      <c r="P204" s="161"/>
      <c r="Q204" s="164">
        <f t="shared" ref="Q204:AP204" si="127">SUM(Q200:Q203)</f>
        <v>2610713277</v>
      </c>
      <c r="R204" s="164">
        <f t="shared" si="127"/>
        <v>0</v>
      </c>
      <c r="S204" s="164">
        <f t="shared" si="127"/>
        <v>0</v>
      </c>
      <c r="T204" s="164">
        <f t="shared" si="127"/>
        <v>0</v>
      </c>
      <c r="U204" s="164">
        <f t="shared" si="127"/>
        <v>0</v>
      </c>
      <c r="V204" s="164">
        <f t="shared" si="127"/>
        <v>0</v>
      </c>
      <c r="W204" s="164">
        <f t="shared" si="127"/>
        <v>0</v>
      </c>
      <c r="X204" s="164">
        <f t="shared" si="127"/>
        <v>0</v>
      </c>
      <c r="Y204" s="164">
        <f t="shared" si="127"/>
        <v>0</v>
      </c>
      <c r="Z204" s="164">
        <f t="shared" si="127"/>
        <v>0</v>
      </c>
      <c r="AA204" s="164">
        <f t="shared" si="127"/>
        <v>0</v>
      </c>
      <c r="AB204" s="164">
        <f t="shared" si="127"/>
        <v>0</v>
      </c>
      <c r="AC204" s="164">
        <f t="shared" si="127"/>
        <v>0</v>
      </c>
      <c r="AD204" s="164">
        <f t="shared" si="127"/>
        <v>0</v>
      </c>
      <c r="AE204" s="164">
        <f t="shared" si="127"/>
        <v>0</v>
      </c>
      <c r="AF204" s="164">
        <f t="shared" si="127"/>
        <v>0</v>
      </c>
      <c r="AG204" s="164">
        <f t="shared" si="127"/>
        <v>0</v>
      </c>
      <c r="AH204" s="164">
        <f t="shared" si="127"/>
        <v>0</v>
      </c>
      <c r="AI204" s="164">
        <f t="shared" si="127"/>
        <v>0</v>
      </c>
      <c r="AJ204" s="164">
        <f t="shared" si="127"/>
        <v>0</v>
      </c>
      <c r="AK204" s="164">
        <f t="shared" si="127"/>
        <v>0</v>
      </c>
      <c r="AL204" s="164">
        <f t="shared" si="127"/>
        <v>0</v>
      </c>
      <c r="AM204" s="164">
        <f t="shared" si="127"/>
        <v>1165100000</v>
      </c>
      <c r="AN204" s="164">
        <f t="shared" si="127"/>
        <v>0</v>
      </c>
      <c r="AO204" s="164">
        <f t="shared" si="127"/>
        <v>0</v>
      </c>
      <c r="AP204" s="164">
        <f t="shared" si="127"/>
        <v>0</v>
      </c>
      <c r="AQ204" s="164">
        <f t="shared" ref="AQ204" si="128">SUM(AQ200:AQ203)</f>
        <v>0</v>
      </c>
      <c r="AR204" s="164">
        <f t="shared" si="82"/>
        <v>3775813277</v>
      </c>
    </row>
    <row r="205" spans="1:44" s="29" customFormat="1" ht="15" x14ac:dyDescent="0.25">
      <c r="A205" s="21"/>
      <c r="B205" s="21"/>
      <c r="C205" s="768"/>
      <c r="D205" s="312"/>
      <c r="E205" s="313"/>
      <c r="F205" s="313"/>
      <c r="G205" s="183"/>
      <c r="H205" s="760"/>
      <c r="I205" s="183"/>
      <c r="J205" s="314"/>
      <c r="K205" s="760"/>
      <c r="L205" s="760"/>
      <c r="M205" s="760"/>
      <c r="N205" s="185"/>
      <c r="O205" s="183"/>
      <c r="P205" s="760"/>
      <c r="Q205" s="186"/>
      <c r="R205" s="186"/>
      <c r="S205" s="186"/>
      <c r="T205" s="186"/>
      <c r="U205" s="186"/>
      <c r="V205" s="186"/>
      <c r="W205" s="186"/>
      <c r="X205" s="186"/>
      <c r="Y205" s="186"/>
      <c r="Z205" s="186"/>
      <c r="AA205" s="186"/>
      <c r="AB205" s="186"/>
      <c r="AC205" s="186"/>
      <c r="AD205" s="186"/>
      <c r="AE205" s="186"/>
      <c r="AF205" s="186"/>
      <c r="AG205" s="186"/>
      <c r="AH205" s="186"/>
      <c r="AI205" s="186"/>
      <c r="AJ205" s="186"/>
      <c r="AK205" s="186"/>
      <c r="AL205" s="186"/>
      <c r="AM205" s="188"/>
      <c r="AN205" s="186"/>
      <c r="AO205" s="186"/>
      <c r="AP205" s="186"/>
      <c r="AQ205" s="186"/>
      <c r="AR205" s="205">
        <f t="shared" ref="AR205:AR268" si="129">Q205+R205+S205+T205+U205+V205+W205+X205+Y205+Z205+AA205+AB205+AC205+AD205+AE205+AF205+AG205+AH205+AI205+AJ205+AK205+AL205+AM205+AN205+AO205+AP205+AQ205</f>
        <v>0</v>
      </c>
    </row>
    <row r="206" spans="1:44" s="29" customFormat="1" ht="15" x14ac:dyDescent="0.25">
      <c r="A206" s="21"/>
      <c r="B206" s="21"/>
      <c r="C206" s="717"/>
      <c r="D206" s="315"/>
      <c r="E206" s="316"/>
      <c r="F206" s="316"/>
      <c r="G206" s="193">
        <v>30</v>
      </c>
      <c r="H206" s="194" t="s">
        <v>264</v>
      </c>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c r="AK206" s="194"/>
      <c r="AL206" s="194"/>
      <c r="AM206" s="196"/>
      <c r="AN206" s="194"/>
      <c r="AO206" s="194"/>
      <c r="AP206" s="194"/>
      <c r="AQ206" s="194"/>
      <c r="AR206" s="197"/>
    </row>
    <row r="207" spans="1:44" s="165" customFormat="1" ht="114.75" customHeight="1" x14ac:dyDescent="0.25">
      <c r="A207" s="21"/>
      <c r="B207" s="21"/>
      <c r="C207" s="717" t="s">
        <v>265</v>
      </c>
      <c r="D207" s="763" t="s">
        <v>266</v>
      </c>
      <c r="E207" s="764" t="s">
        <v>267</v>
      </c>
      <c r="F207" s="747" t="s">
        <v>268</v>
      </c>
      <c r="G207" s="762"/>
      <c r="H207" s="767">
        <v>117</v>
      </c>
      <c r="I207" s="762" t="s">
        <v>269</v>
      </c>
      <c r="J207" s="33" t="s">
        <v>38</v>
      </c>
      <c r="K207" s="317">
        <v>1</v>
      </c>
      <c r="L207" s="317">
        <v>0</v>
      </c>
      <c r="M207" s="317" t="s">
        <v>256</v>
      </c>
      <c r="N207" s="39" t="s">
        <v>270</v>
      </c>
      <c r="O207" s="762" t="s">
        <v>271</v>
      </c>
      <c r="P207" s="318" t="s">
        <v>42</v>
      </c>
      <c r="Q207" s="257">
        <v>0</v>
      </c>
      <c r="R207" s="319">
        <v>0</v>
      </c>
      <c r="S207" s="319">
        <v>0</v>
      </c>
      <c r="T207" s="319">
        <v>0</v>
      </c>
      <c r="U207" s="319">
        <v>0</v>
      </c>
      <c r="V207" s="319">
        <v>0</v>
      </c>
      <c r="W207" s="319">
        <v>0</v>
      </c>
      <c r="X207" s="319"/>
      <c r="Y207" s="319"/>
      <c r="Z207" s="319"/>
      <c r="AA207" s="319">
        <v>0</v>
      </c>
      <c r="AB207" s="319"/>
      <c r="AC207" s="319">
        <v>0</v>
      </c>
      <c r="AD207" s="319">
        <v>0</v>
      </c>
      <c r="AE207" s="257"/>
      <c r="AF207" s="257"/>
      <c r="AG207" s="257"/>
      <c r="AH207" s="257"/>
      <c r="AI207" s="257"/>
      <c r="AJ207" s="257"/>
      <c r="AK207" s="319">
        <v>0</v>
      </c>
      <c r="AL207" s="319">
        <v>0</v>
      </c>
      <c r="AM207" s="108">
        <f>51500000+60000000+443025</f>
        <v>111943025</v>
      </c>
      <c r="AN207" s="40"/>
      <c r="AO207" s="319">
        <v>0</v>
      </c>
      <c r="AP207" s="290">
        <v>0</v>
      </c>
      <c r="AQ207" s="290"/>
      <c r="AR207" s="27">
        <f t="shared" si="129"/>
        <v>111943025</v>
      </c>
    </row>
    <row r="208" spans="1:44" s="165" customFormat="1" ht="15" x14ac:dyDescent="0.25">
      <c r="A208" s="21"/>
      <c r="B208" s="21"/>
      <c r="C208" s="224"/>
      <c r="D208" s="309"/>
      <c r="E208" s="310"/>
      <c r="F208" s="310"/>
      <c r="G208" s="160"/>
      <c r="H208" s="161"/>
      <c r="I208" s="160"/>
      <c r="J208" s="311"/>
      <c r="K208" s="311"/>
      <c r="L208" s="311"/>
      <c r="M208" s="311"/>
      <c r="N208" s="163"/>
      <c r="O208" s="160"/>
      <c r="P208" s="161"/>
      <c r="Q208" s="164">
        <f>Q207</f>
        <v>0</v>
      </c>
      <c r="R208" s="164">
        <f t="shared" ref="R208:AL208" si="130">R207</f>
        <v>0</v>
      </c>
      <c r="S208" s="164">
        <f t="shared" si="130"/>
        <v>0</v>
      </c>
      <c r="T208" s="164">
        <f t="shared" si="130"/>
        <v>0</v>
      </c>
      <c r="U208" s="164">
        <f t="shared" si="130"/>
        <v>0</v>
      </c>
      <c r="V208" s="164">
        <f t="shared" si="130"/>
        <v>0</v>
      </c>
      <c r="W208" s="164">
        <f t="shared" si="130"/>
        <v>0</v>
      </c>
      <c r="X208" s="164">
        <f t="shared" si="130"/>
        <v>0</v>
      </c>
      <c r="Y208" s="164">
        <f t="shared" si="130"/>
        <v>0</v>
      </c>
      <c r="Z208" s="164">
        <f t="shared" si="130"/>
        <v>0</v>
      </c>
      <c r="AA208" s="164">
        <f t="shared" si="130"/>
        <v>0</v>
      </c>
      <c r="AB208" s="164">
        <f t="shared" si="130"/>
        <v>0</v>
      </c>
      <c r="AC208" s="164">
        <f t="shared" si="130"/>
        <v>0</v>
      </c>
      <c r="AD208" s="164">
        <f t="shared" si="130"/>
        <v>0</v>
      </c>
      <c r="AE208" s="164">
        <f t="shared" si="130"/>
        <v>0</v>
      </c>
      <c r="AF208" s="164">
        <f t="shared" si="130"/>
        <v>0</v>
      </c>
      <c r="AG208" s="164">
        <f t="shared" si="130"/>
        <v>0</v>
      </c>
      <c r="AH208" s="164">
        <f t="shared" si="130"/>
        <v>0</v>
      </c>
      <c r="AI208" s="164">
        <f t="shared" si="130"/>
        <v>0</v>
      </c>
      <c r="AJ208" s="164">
        <f t="shared" si="130"/>
        <v>0</v>
      </c>
      <c r="AK208" s="164">
        <f t="shared" si="130"/>
        <v>0</v>
      </c>
      <c r="AL208" s="164">
        <f t="shared" si="130"/>
        <v>0</v>
      </c>
      <c r="AM208" s="164">
        <f t="shared" ref="AM208:AP208" si="131">AM207</f>
        <v>111943025</v>
      </c>
      <c r="AN208" s="164">
        <f t="shared" si="131"/>
        <v>0</v>
      </c>
      <c r="AO208" s="164">
        <f t="shared" si="131"/>
        <v>0</v>
      </c>
      <c r="AP208" s="164">
        <f t="shared" si="131"/>
        <v>0</v>
      </c>
      <c r="AQ208" s="164">
        <f t="shared" ref="AQ208" si="132">AQ207</f>
        <v>0</v>
      </c>
      <c r="AR208" s="164">
        <f t="shared" si="129"/>
        <v>111943025</v>
      </c>
    </row>
    <row r="209" spans="1:44" s="29" customFormat="1" ht="15" x14ac:dyDescent="0.25">
      <c r="A209" s="21"/>
      <c r="B209" s="21"/>
      <c r="C209" s="768"/>
      <c r="D209" s="312"/>
      <c r="E209" s="313"/>
      <c r="F209" s="313"/>
      <c r="G209" s="183"/>
      <c r="H209" s="760"/>
      <c r="I209" s="183"/>
      <c r="J209" s="314"/>
      <c r="K209" s="314"/>
      <c r="L209" s="314"/>
      <c r="M209" s="314"/>
      <c r="N209" s="185"/>
      <c r="O209" s="183"/>
      <c r="P209" s="760"/>
      <c r="Q209" s="186"/>
      <c r="R209" s="186"/>
      <c r="S209" s="186"/>
      <c r="T209" s="186"/>
      <c r="U209" s="186"/>
      <c r="V209" s="186"/>
      <c r="W209" s="186"/>
      <c r="X209" s="186"/>
      <c r="Y209" s="186"/>
      <c r="Z209" s="186"/>
      <c r="AA209" s="186"/>
      <c r="AB209" s="186"/>
      <c r="AC209" s="186"/>
      <c r="AD209" s="186"/>
      <c r="AE209" s="186"/>
      <c r="AF209" s="186"/>
      <c r="AG209" s="186"/>
      <c r="AH209" s="186"/>
      <c r="AI209" s="186"/>
      <c r="AJ209" s="186"/>
      <c r="AK209" s="186"/>
      <c r="AL209" s="186"/>
      <c r="AM209" s="188"/>
      <c r="AN209" s="189"/>
      <c r="AO209" s="186"/>
      <c r="AP209" s="186"/>
      <c r="AQ209" s="186"/>
      <c r="AR209" s="205">
        <f t="shared" si="129"/>
        <v>0</v>
      </c>
    </row>
    <row r="210" spans="1:44" s="165" customFormat="1" ht="15" x14ac:dyDescent="0.25">
      <c r="A210" s="21"/>
      <c r="B210" s="21"/>
      <c r="C210" s="320"/>
      <c r="D210" s="315"/>
      <c r="E210" s="316"/>
      <c r="F210" s="316"/>
      <c r="G210" s="261">
        <v>31</v>
      </c>
      <c r="H210" s="278" t="s">
        <v>272</v>
      </c>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c r="AM210" s="196"/>
      <c r="AN210" s="194"/>
      <c r="AO210" s="194"/>
      <c r="AP210" s="194"/>
      <c r="AQ210" s="194"/>
      <c r="AR210" s="197"/>
    </row>
    <row r="211" spans="1:44" s="29" customFormat="1" ht="98.25" customHeight="1" x14ac:dyDescent="0.25">
      <c r="A211" s="21"/>
      <c r="B211" s="21"/>
      <c r="C211" s="717" t="s">
        <v>273</v>
      </c>
      <c r="D211" s="752" t="s">
        <v>274</v>
      </c>
      <c r="E211" s="765" t="s">
        <v>275</v>
      </c>
      <c r="F211" s="723" t="s">
        <v>276</v>
      </c>
      <c r="G211" s="762"/>
      <c r="H211" s="767">
        <v>118</v>
      </c>
      <c r="I211" s="762" t="s">
        <v>277</v>
      </c>
      <c r="J211" s="33">
        <v>16</v>
      </c>
      <c r="K211" s="101">
        <v>6</v>
      </c>
      <c r="L211" s="101">
        <v>4</v>
      </c>
      <c r="M211" s="33" t="s">
        <v>256</v>
      </c>
      <c r="N211" s="39" t="s">
        <v>278</v>
      </c>
      <c r="O211" s="762" t="s">
        <v>279</v>
      </c>
      <c r="P211" s="767" t="s">
        <v>42</v>
      </c>
      <c r="Q211" s="791">
        <f>158620000+72215489+5427554</f>
        <v>236263043</v>
      </c>
      <c r="R211" s="27">
        <v>0</v>
      </c>
      <c r="S211" s="27">
        <v>0</v>
      </c>
      <c r="T211" s="27">
        <v>0</v>
      </c>
      <c r="U211" s="27">
        <v>0</v>
      </c>
      <c r="V211" s="27">
        <v>0</v>
      </c>
      <c r="W211" s="27">
        <v>0</v>
      </c>
      <c r="X211" s="27"/>
      <c r="Y211" s="27"/>
      <c r="Z211" s="27"/>
      <c r="AA211" s="27">
        <v>0</v>
      </c>
      <c r="AB211" s="27"/>
      <c r="AC211" s="27">
        <v>0</v>
      </c>
      <c r="AD211" s="27">
        <v>0</v>
      </c>
      <c r="AE211" s="27"/>
      <c r="AF211" s="27"/>
      <c r="AG211" s="27"/>
      <c r="AH211" s="27"/>
      <c r="AI211" s="27"/>
      <c r="AJ211" s="27"/>
      <c r="AK211" s="27">
        <v>0</v>
      </c>
      <c r="AL211" s="27">
        <v>0</v>
      </c>
      <c r="AM211" s="108">
        <v>0</v>
      </c>
      <c r="AN211" s="40"/>
      <c r="AO211" s="27">
        <v>0</v>
      </c>
      <c r="AP211" s="28">
        <v>29000000</v>
      </c>
      <c r="AQ211" s="28"/>
      <c r="AR211" s="27">
        <f t="shared" si="129"/>
        <v>265263043</v>
      </c>
    </row>
    <row r="212" spans="1:44" s="165" customFormat="1" ht="15" x14ac:dyDescent="0.25">
      <c r="A212" s="21"/>
      <c r="B212" s="158"/>
      <c r="C212" s="224"/>
      <c r="D212" s="309"/>
      <c r="E212" s="310"/>
      <c r="F212" s="310"/>
      <c r="G212" s="160"/>
      <c r="H212" s="161"/>
      <c r="I212" s="160"/>
      <c r="J212" s="311"/>
      <c r="K212" s="311"/>
      <c r="L212" s="311"/>
      <c r="M212" s="311"/>
      <c r="N212" s="163"/>
      <c r="O212" s="160"/>
      <c r="P212" s="161"/>
      <c r="Q212" s="164">
        <f t="shared" ref="Q212:AL212" si="133">SUM(Q211)</f>
        <v>236263043</v>
      </c>
      <c r="R212" s="164">
        <f t="shared" si="133"/>
        <v>0</v>
      </c>
      <c r="S212" s="164">
        <f t="shared" si="133"/>
        <v>0</v>
      </c>
      <c r="T212" s="164">
        <f t="shared" si="133"/>
        <v>0</v>
      </c>
      <c r="U212" s="164">
        <f t="shared" si="133"/>
        <v>0</v>
      </c>
      <c r="V212" s="164">
        <f t="shared" si="133"/>
        <v>0</v>
      </c>
      <c r="W212" s="164">
        <f t="shared" si="133"/>
        <v>0</v>
      </c>
      <c r="X212" s="164">
        <f t="shared" si="133"/>
        <v>0</v>
      </c>
      <c r="Y212" s="164">
        <f t="shared" si="133"/>
        <v>0</v>
      </c>
      <c r="Z212" s="164">
        <f t="shared" si="133"/>
        <v>0</v>
      </c>
      <c r="AA212" s="164">
        <f t="shared" si="133"/>
        <v>0</v>
      </c>
      <c r="AB212" s="164">
        <f t="shared" si="133"/>
        <v>0</v>
      </c>
      <c r="AC212" s="164">
        <f t="shared" si="133"/>
        <v>0</v>
      </c>
      <c r="AD212" s="164">
        <f t="shared" si="133"/>
        <v>0</v>
      </c>
      <c r="AE212" s="164">
        <f t="shared" si="133"/>
        <v>0</v>
      </c>
      <c r="AF212" s="164">
        <f t="shared" si="133"/>
        <v>0</v>
      </c>
      <c r="AG212" s="164">
        <f t="shared" si="133"/>
        <v>0</v>
      </c>
      <c r="AH212" s="164">
        <f t="shared" si="133"/>
        <v>0</v>
      </c>
      <c r="AI212" s="164">
        <f t="shared" si="133"/>
        <v>0</v>
      </c>
      <c r="AJ212" s="164">
        <f t="shared" si="133"/>
        <v>0</v>
      </c>
      <c r="AK212" s="164">
        <f t="shared" si="133"/>
        <v>0</v>
      </c>
      <c r="AL212" s="164">
        <f t="shared" si="133"/>
        <v>0</v>
      </c>
      <c r="AM212" s="164">
        <f t="shared" ref="AM212:AP212" si="134">SUM(AM211)</f>
        <v>0</v>
      </c>
      <c r="AN212" s="164">
        <f t="shared" si="134"/>
        <v>0</v>
      </c>
      <c r="AO212" s="164">
        <f t="shared" si="134"/>
        <v>0</v>
      </c>
      <c r="AP212" s="164">
        <f t="shared" si="134"/>
        <v>29000000</v>
      </c>
      <c r="AQ212" s="164">
        <f t="shared" ref="AQ212" si="135">SUM(AQ211)</f>
        <v>0</v>
      </c>
      <c r="AR212" s="164">
        <f t="shared" si="129"/>
        <v>265263043</v>
      </c>
    </row>
    <row r="213" spans="1:44" s="165" customFormat="1" ht="15" x14ac:dyDescent="0.25">
      <c r="A213" s="21"/>
      <c r="B213" s="227"/>
      <c r="C213" s="168"/>
      <c r="D213" s="321"/>
      <c r="E213" s="322"/>
      <c r="F213" s="322"/>
      <c r="G213" s="167"/>
      <c r="H213" s="168"/>
      <c r="I213" s="167"/>
      <c r="J213" s="323"/>
      <c r="K213" s="323"/>
      <c r="L213" s="323"/>
      <c r="M213" s="323"/>
      <c r="N213" s="170"/>
      <c r="O213" s="167"/>
      <c r="P213" s="168"/>
      <c r="Q213" s="171">
        <f t="shared" ref="Q213:AL213" si="136">Q212+Q208+Q204</f>
        <v>2846976320</v>
      </c>
      <c r="R213" s="171">
        <f t="shared" si="136"/>
        <v>0</v>
      </c>
      <c r="S213" s="171">
        <f t="shared" si="136"/>
        <v>0</v>
      </c>
      <c r="T213" s="171">
        <f t="shared" si="136"/>
        <v>0</v>
      </c>
      <c r="U213" s="171">
        <f t="shared" si="136"/>
        <v>0</v>
      </c>
      <c r="V213" s="171">
        <f t="shared" si="136"/>
        <v>0</v>
      </c>
      <c r="W213" s="171">
        <f t="shared" si="136"/>
        <v>0</v>
      </c>
      <c r="X213" s="171">
        <f t="shared" si="136"/>
        <v>0</v>
      </c>
      <c r="Y213" s="171">
        <f t="shared" si="136"/>
        <v>0</v>
      </c>
      <c r="Z213" s="171">
        <f t="shared" si="136"/>
        <v>0</v>
      </c>
      <c r="AA213" s="171">
        <f t="shared" si="136"/>
        <v>0</v>
      </c>
      <c r="AB213" s="171">
        <f t="shared" si="136"/>
        <v>0</v>
      </c>
      <c r="AC213" s="171">
        <f t="shared" si="136"/>
        <v>0</v>
      </c>
      <c r="AD213" s="171">
        <f t="shared" si="136"/>
        <v>0</v>
      </c>
      <c r="AE213" s="171">
        <f t="shared" si="136"/>
        <v>0</v>
      </c>
      <c r="AF213" s="171">
        <f t="shared" si="136"/>
        <v>0</v>
      </c>
      <c r="AG213" s="171">
        <f t="shared" si="136"/>
        <v>0</v>
      </c>
      <c r="AH213" s="171">
        <f t="shared" si="136"/>
        <v>0</v>
      </c>
      <c r="AI213" s="171">
        <f t="shared" si="136"/>
        <v>0</v>
      </c>
      <c r="AJ213" s="171">
        <f t="shared" si="136"/>
        <v>0</v>
      </c>
      <c r="AK213" s="171">
        <f t="shared" si="136"/>
        <v>0</v>
      </c>
      <c r="AL213" s="171">
        <f t="shared" si="136"/>
        <v>0</v>
      </c>
      <c r="AM213" s="171">
        <f t="shared" ref="AM213:AP213" si="137">AM212+AM208+AM204</f>
        <v>1277043025</v>
      </c>
      <c r="AN213" s="171">
        <f t="shared" si="137"/>
        <v>0</v>
      </c>
      <c r="AO213" s="171">
        <f t="shared" si="137"/>
        <v>0</v>
      </c>
      <c r="AP213" s="171">
        <f t="shared" si="137"/>
        <v>29000000</v>
      </c>
      <c r="AQ213" s="171">
        <f t="shared" ref="AQ213" si="138">AQ212+AQ208+AQ204</f>
        <v>0</v>
      </c>
      <c r="AR213" s="171">
        <f t="shared" si="129"/>
        <v>4153019345</v>
      </c>
    </row>
    <row r="214" spans="1:44" s="29" customFormat="1" ht="15" x14ac:dyDescent="0.25">
      <c r="A214" s="21"/>
      <c r="B214" s="183"/>
      <c r="C214" s="768"/>
      <c r="D214" s="312"/>
      <c r="E214" s="313"/>
      <c r="F214" s="313"/>
      <c r="G214" s="183"/>
      <c r="H214" s="760"/>
      <c r="I214" s="183"/>
      <c r="J214" s="314"/>
      <c r="K214" s="314"/>
      <c r="L214" s="314"/>
      <c r="M214" s="314"/>
      <c r="N214" s="185"/>
      <c r="O214" s="183"/>
      <c r="P214" s="760"/>
      <c r="Q214" s="186"/>
      <c r="R214" s="186"/>
      <c r="S214" s="186"/>
      <c r="T214" s="186"/>
      <c r="U214" s="186"/>
      <c r="V214" s="186"/>
      <c r="W214" s="186"/>
      <c r="X214" s="186"/>
      <c r="Y214" s="186"/>
      <c r="Z214" s="186"/>
      <c r="AA214" s="186"/>
      <c r="AB214" s="186"/>
      <c r="AC214" s="186"/>
      <c r="AD214" s="186"/>
      <c r="AE214" s="186"/>
      <c r="AF214" s="186"/>
      <c r="AG214" s="186"/>
      <c r="AH214" s="186"/>
      <c r="AI214" s="186"/>
      <c r="AJ214" s="186"/>
      <c r="AK214" s="186"/>
      <c r="AL214" s="186"/>
      <c r="AM214" s="188"/>
      <c r="AN214" s="189"/>
      <c r="AO214" s="186"/>
      <c r="AP214" s="186"/>
      <c r="AQ214" s="186"/>
      <c r="AR214" s="205">
        <f t="shared" si="129"/>
        <v>0</v>
      </c>
    </row>
    <row r="215" spans="1:44" s="165" customFormat="1" x14ac:dyDescent="0.25">
      <c r="A215" s="21"/>
      <c r="B215" s="243">
        <v>10</v>
      </c>
      <c r="C215" s="150" t="s">
        <v>280</v>
      </c>
      <c r="D215" s="149"/>
      <c r="E215" s="149"/>
      <c r="F215" s="149"/>
      <c r="G215" s="149"/>
      <c r="H215" s="150"/>
      <c r="I215" s="149"/>
      <c r="J215" s="149"/>
      <c r="K215" s="149"/>
      <c r="L215" s="149"/>
      <c r="M215" s="149"/>
      <c r="N215" s="151"/>
      <c r="O215" s="149"/>
      <c r="P215" s="149"/>
      <c r="Q215" s="149"/>
      <c r="R215" s="149"/>
      <c r="S215" s="149"/>
      <c r="T215" s="149"/>
      <c r="U215" s="149"/>
      <c r="V215" s="149"/>
      <c r="W215" s="149"/>
      <c r="X215" s="149"/>
      <c r="Y215" s="149"/>
      <c r="Z215" s="149"/>
      <c r="AA215" s="149"/>
      <c r="AB215" s="149"/>
      <c r="AC215" s="149"/>
      <c r="AD215" s="149"/>
      <c r="AE215" s="149"/>
      <c r="AF215" s="149"/>
      <c r="AG215" s="149"/>
      <c r="AH215" s="149"/>
      <c r="AI215" s="149"/>
      <c r="AJ215" s="149"/>
      <c r="AK215" s="149"/>
      <c r="AL215" s="149"/>
      <c r="AM215" s="152"/>
      <c r="AN215" s="149"/>
      <c r="AO215" s="149"/>
      <c r="AP215" s="149"/>
      <c r="AQ215" s="149"/>
      <c r="AR215" s="153"/>
    </row>
    <row r="216" spans="1:44" s="165" customFormat="1" ht="15" x14ac:dyDescent="0.25">
      <c r="A216" s="21"/>
      <c r="B216" s="827"/>
      <c r="C216" s="324"/>
      <c r="D216" s="325"/>
      <c r="E216" s="325"/>
      <c r="F216" s="325"/>
      <c r="G216" s="326">
        <v>32</v>
      </c>
      <c r="H216" s="236" t="s">
        <v>281</v>
      </c>
      <c r="I216" s="236"/>
      <c r="J216" s="236"/>
      <c r="K216" s="236"/>
      <c r="L216" s="236"/>
      <c r="M216" s="236"/>
      <c r="N216" s="236"/>
      <c r="O216" s="236"/>
      <c r="P216" s="236"/>
      <c r="Q216" s="236"/>
      <c r="R216" s="236"/>
      <c r="S216" s="236"/>
      <c r="T216" s="236"/>
      <c r="U216" s="236"/>
      <c r="V216" s="236"/>
      <c r="W216" s="236"/>
      <c r="X216" s="236"/>
      <c r="Y216" s="236"/>
      <c r="Z216" s="236"/>
      <c r="AA216" s="236"/>
      <c r="AB216" s="236"/>
      <c r="AC216" s="236"/>
      <c r="AD216" s="236"/>
      <c r="AE216" s="236"/>
      <c r="AF216" s="236"/>
      <c r="AG216" s="236"/>
      <c r="AH216" s="236"/>
      <c r="AI216" s="236"/>
      <c r="AJ216" s="236"/>
      <c r="AK216" s="236"/>
      <c r="AL216" s="236"/>
      <c r="AM216" s="238"/>
      <c r="AN216" s="236"/>
      <c r="AO216" s="236"/>
      <c r="AP216" s="236"/>
      <c r="AQ216" s="236"/>
      <c r="AR216" s="239"/>
    </row>
    <row r="217" spans="1:44" s="165" customFormat="1" ht="92.25" customHeight="1" x14ac:dyDescent="0.25">
      <c r="A217" s="21"/>
      <c r="B217" s="20"/>
      <c r="C217" s="723" t="s">
        <v>282</v>
      </c>
      <c r="D217" s="763" t="s">
        <v>283</v>
      </c>
      <c r="E217" s="764" t="s">
        <v>284</v>
      </c>
      <c r="F217" s="747" t="s">
        <v>285</v>
      </c>
      <c r="G217" s="762"/>
      <c r="H217" s="767">
        <v>119</v>
      </c>
      <c r="I217" s="762" t="s">
        <v>286</v>
      </c>
      <c r="J217" s="33">
        <v>10</v>
      </c>
      <c r="K217" s="33">
        <v>9</v>
      </c>
      <c r="L217" s="33">
        <v>3</v>
      </c>
      <c r="M217" s="33" t="s">
        <v>256</v>
      </c>
      <c r="N217" s="39" t="s">
        <v>287</v>
      </c>
      <c r="O217" s="762" t="s">
        <v>288</v>
      </c>
      <c r="P217" s="767" t="s">
        <v>42</v>
      </c>
      <c r="Q217" s="319">
        <v>0</v>
      </c>
      <c r="R217" s="319">
        <v>0</v>
      </c>
      <c r="S217" s="319">
        <v>0</v>
      </c>
      <c r="T217" s="319">
        <v>0</v>
      </c>
      <c r="U217" s="319">
        <v>0</v>
      </c>
      <c r="V217" s="319">
        <v>0</v>
      </c>
      <c r="W217" s="319">
        <v>0</v>
      </c>
      <c r="X217" s="319"/>
      <c r="Y217" s="319"/>
      <c r="Z217" s="319"/>
      <c r="AA217" s="319">
        <v>0</v>
      </c>
      <c r="AB217" s="319"/>
      <c r="AC217" s="319">
        <v>0</v>
      </c>
      <c r="AD217" s="319">
        <v>0</v>
      </c>
      <c r="AE217" s="319">
        <v>0</v>
      </c>
      <c r="AF217" s="319">
        <v>0</v>
      </c>
      <c r="AG217" s="319"/>
      <c r="AH217" s="319">
        <v>0</v>
      </c>
      <c r="AI217" s="319">
        <v>0</v>
      </c>
      <c r="AJ217" s="319">
        <v>0</v>
      </c>
      <c r="AK217" s="319">
        <v>0</v>
      </c>
      <c r="AL217" s="319">
        <v>0</v>
      </c>
      <c r="AM217" s="112">
        <v>193900000</v>
      </c>
      <c r="AN217" s="327"/>
      <c r="AO217" s="27">
        <f>236949833+154613084</f>
        <v>391562917</v>
      </c>
      <c r="AP217" s="60">
        <v>0</v>
      </c>
      <c r="AQ217" s="60"/>
      <c r="AR217" s="27">
        <f t="shared" si="129"/>
        <v>585462917</v>
      </c>
    </row>
    <row r="218" spans="1:44" s="49" customFormat="1" ht="20.25" x14ac:dyDescent="0.25">
      <c r="A218" s="21"/>
      <c r="B218" s="20"/>
      <c r="C218" s="604"/>
      <c r="D218" s="309"/>
      <c r="E218" s="310"/>
      <c r="F218" s="310"/>
      <c r="G218" s="160"/>
      <c r="H218" s="161"/>
      <c r="I218" s="160"/>
      <c r="J218" s="311"/>
      <c r="K218" s="311"/>
      <c r="L218" s="311"/>
      <c r="M218" s="311"/>
      <c r="N218" s="163"/>
      <c r="O218" s="160"/>
      <c r="P218" s="161"/>
      <c r="Q218" s="164">
        <f t="shared" ref="Q218:AO218" si="139">SUM(Q217)</f>
        <v>0</v>
      </c>
      <c r="R218" s="164">
        <f t="shared" si="139"/>
        <v>0</v>
      </c>
      <c r="S218" s="164">
        <f t="shared" si="139"/>
        <v>0</v>
      </c>
      <c r="T218" s="164">
        <f t="shared" si="139"/>
        <v>0</v>
      </c>
      <c r="U218" s="164">
        <f t="shared" si="139"/>
        <v>0</v>
      </c>
      <c r="V218" s="164">
        <f t="shared" si="139"/>
        <v>0</v>
      </c>
      <c r="W218" s="164">
        <f t="shared" si="139"/>
        <v>0</v>
      </c>
      <c r="X218" s="164">
        <f t="shared" si="139"/>
        <v>0</v>
      </c>
      <c r="Y218" s="164">
        <f t="shared" si="139"/>
        <v>0</v>
      </c>
      <c r="Z218" s="164">
        <f t="shared" si="139"/>
        <v>0</v>
      </c>
      <c r="AA218" s="164">
        <f t="shared" si="139"/>
        <v>0</v>
      </c>
      <c r="AB218" s="164">
        <f t="shared" si="139"/>
        <v>0</v>
      </c>
      <c r="AC218" s="164">
        <f t="shared" si="139"/>
        <v>0</v>
      </c>
      <c r="AD218" s="164">
        <f t="shared" si="139"/>
        <v>0</v>
      </c>
      <c r="AE218" s="164">
        <f t="shared" si="139"/>
        <v>0</v>
      </c>
      <c r="AF218" s="164">
        <f t="shared" si="139"/>
        <v>0</v>
      </c>
      <c r="AG218" s="164">
        <f t="shared" si="139"/>
        <v>0</v>
      </c>
      <c r="AH218" s="164">
        <f t="shared" si="139"/>
        <v>0</v>
      </c>
      <c r="AI218" s="164">
        <f t="shared" si="139"/>
        <v>0</v>
      </c>
      <c r="AJ218" s="164">
        <f t="shared" si="139"/>
        <v>0</v>
      </c>
      <c r="AK218" s="164">
        <f t="shared" si="139"/>
        <v>0</v>
      </c>
      <c r="AL218" s="164">
        <f t="shared" si="139"/>
        <v>0</v>
      </c>
      <c r="AM218" s="164">
        <f t="shared" si="139"/>
        <v>193900000</v>
      </c>
      <c r="AN218" s="164">
        <f t="shared" si="139"/>
        <v>0</v>
      </c>
      <c r="AO218" s="164">
        <f t="shared" si="139"/>
        <v>391562917</v>
      </c>
      <c r="AP218" s="164">
        <f t="shared" ref="AP218" si="140">SUM(AP217)</f>
        <v>0</v>
      </c>
      <c r="AQ218" s="164">
        <f t="shared" ref="AQ218" si="141">SUM(AQ217)</f>
        <v>0</v>
      </c>
      <c r="AR218" s="164">
        <f t="shared" si="129"/>
        <v>585462917</v>
      </c>
    </row>
    <row r="219" spans="1:44" s="49" customFormat="1" ht="20.25" x14ac:dyDescent="0.25">
      <c r="A219" s="21"/>
      <c r="B219" s="20"/>
      <c r="C219" s="768"/>
      <c r="D219" s="312"/>
      <c r="E219" s="313"/>
      <c r="F219" s="313"/>
      <c r="G219" s="183"/>
      <c r="H219" s="760"/>
      <c r="I219" s="183"/>
      <c r="J219" s="314"/>
      <c r="K219" s="314"/>
      <c r="L219" s="864"/>
      <c r="M219" s="864"/>
      <c r="N219" s="833"/>
      <c r="O219" s="829"/>
      <c r="P219" s="760"/>
      <c r="Q219" s="186"/>
      <c r="R219" s="186"/>
      <c r="S219" s="186"/>
      <c r="T219" s="186"/>
      <c r="U219" s="186"/>
      <c r="V219" s="186"/>
      <c r="W219" s="186"/>
      <c r="X219" s="186"/>
      <c r="Y219" s="186"/>
      <c r="Z219" s="186"/>
      <c r="AA219" s="186"/>
      <c r="AB219" s="186"/>
      <c r="AC219" s="186"/>
      <c r="AD219" s="186"/>
      <c r="AE219" s="186"/>
      <c r="AF219" s="186"/>
      <c r="AG219" s="186"/>
      <c r="AH219" s="186"/>
      <c r="AI219" s="186"/>
      <c r="AJ219" s="186"/>
      <c r="AK219" s="186"/>
      <c r="AL219" s="186"/>
      <c r="AM219" s="188"/>
      <c r="AN219" s="189"/>
      <c r="AO219" s="186"/>
      <c r="AP219" s="186"/>
      <c r="AQ219" s="186"/>
      <c r="AR219" s="205">
        <f t="shared" si="129"/>
        <v>0</v>
      </c>
    </row>
    <row r="220" spans="1:44" s="49" customFormat="1" ht="20.25" x14ac:dyDescent="0.25">
      <c r="A220" s="21"/>
      <c r="B220" s="20"/>
      <c r="C220" s="751"/>
      <c r="D220" s="315"/>
      <c r="E220" s="316"/>
      <c r="F220" s="316"/>
      <c r="G220" s="193">
        <v>33</v>
      </c>
      <c r="H220" s="194" t="s">
        <v>289</v>
      </c>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c r="AK220" s="194"/>
      <c r="AL220" s="194"/>
      <c r="AM220" s="196"/>
      <c r="AN220" s="194"/>
      <c r="AO220" s="194"/>
      <c r="AP220" s="194"/>
      <c r="AQ220" s="194"/>
      <c r="AR220" s="197"/>
    </row>
    <row r="221" spans="1:44" s="165" customFormat="1" ht="56.25" customHeight="1" x14ac:dyDescent="0.25">
      <c r="A221" s="21"/>
      <c r="B221" s="20"/>
      <c r="C221" s="924" t="s">
        <v>290</v>
      </c>
      <c r="D221" s="1051" t="s">
        <v>291</v>
      </c>
      <c r="E221" s="1053" t="s">
        <v>292</v>
      </c>
      <c r="F221" s="993" t="s">
        <v>293</v>
      </c>
      <c r="G221" s="24"/>
      <c r="H221" s="767">
        <v>120</v>
      </c>
      <c r="I221" s="159" t="s">
        <v>294</v>
      </c>
      <c r="J221" s="328">
        <v>0</v>
      </c>
      <c r="K221" s="66">
        <v>3</v>
      </c>
      <c r="L221" s="66">
        <v>0</v>
      </c>
      <c r="M221" s="937" t="s">
        <v>256</v>
      </c>
      <c r="N221" s="948" t="s">
        <v>295</v>
      </c>
      <c r="O221" s="999" t="s">
        <v>296</v>
      </c>
      <c r="P221" s="767" t="s">
        <v>42</v>
      </c>
      <c r="Q221" s="319">
        <v>0</v>
      </c>
      <c r="R221" s="319">
        <v>0</v>
      </c>
      <c r="S221" s="319">
        <v>0</v>
      </c>
      <c r="T221" s="319">
        <v>0</v>
      </c>
      <c r="U221" s="319">
        <v>0</v>
      </c>
      <c r="V221" s="319">
        <v>0</v>
      </c>
      <c r="W221" s="319">
        <v>0</v>
      </c>
      <c r="X221" s="319"/>
      <c r="Y221" s="319"/>
      <c r="Z221" s="319"/>
      <c r="AA221" s="319">
        <v>0</v>
      </c>
      <c r="AB221" s="319"/>
      <c r="AC221" s="319">
        <v>0</v>
      </c>
      <c r="AD221" s="319">
        <v>0</v>
      </c>
      <c r="AE221" s="257"/>
      <c r="AF221" s="257"/>
      <c r="AG221" s="257"/>
      <c r="AH221" s="257"/>
      <c r="AI221" s="257"/>
      <c r="AJ221" s="257"/>
      <c r="AK221" s="319">
        <v>0</v>
      </c>
      <c r="AL221" s="319">
        <v>0</v>
      </c>
      <c r="AM221" s="108">
        <f>50000000-21000000-6000000</f>
        <v>23000000</v>
      </c>
      <c r="AN221" s="15"/>
      <c r="AO221" s="319">
        <v>0</v>
      </c>
      <c r="AP221" s="290">
        <v>0</v>
      </c>
      <c r="AQ221" s="290"/>
      <c r="AR221" s="27">
        <f t="shared" si="129"/>
        <v>23000000</v>
      </c>
    </row>
    <row r="222" spans="1:44" s="165" customFormat="1" ht="57" x14ac:dyDescent="0.25">
      <c r="A222" s="21"/>
      <c r="B222" s="20"/>
      <c r="C222" s="926"/>
      <c r="D222" s="1052"/>
      <c r="E222" s="1054"/>
      <c r="F222" s="994"/>
      <c r="G222" s="32"/>
      <c r="H222" s="767">
        <v>121</v>
      </c>
      <c r="I222" s="159" t="s">
        <v>297</v>
      </c>
      <c r="J222" s="328">
        <v>9</v>
      </c>
      <c r="K222" s="662">
        <v>4</v>
      </c>
      <c r="L222" s="662">
        <v>1</v>
      </c>
      <c r="M222" s="1008"/>
      <c r="N222" s="949"/>
      <c r="O222" s="1001"/>
      <c r="P222" s="767" t="s">
        <v>42</v>
      </c>
      <c r="Q222" s="319">
        <v>0</v>
      </c>
      <c r="R222" s="319">
        <v>0</v>
      </c>
      <c r="S222" s="319">
        <v>0</v>
      </c>
      <c r="T222" s="319">
        <v>0</v>
      </c>
      <c r="U222" s="319">
        <v>0</v>
      </c>
      <c r="V222" s="319">
        <v>0</v>
      </c>
      <c r="W222" s="319">
        <v>0</v>
      </c>
      <c r="X222" s="319"/>
      <c r="Y222" s="319"/>
      <c r="Z222" s="319"/>
      <c r="AA222" s="319">
        <v>0</v>
      </c>
      <c r="AB222" s="319"/>
      <c r="AC222" s="319">
        <v>0</v>
      </c>
      <c r="AD222" s="319">
        <v>0</v>
      </c>
      <c r="AE222" s="257"/>
      <c r="AF222" s="257"/>
      <c r="AG222" s="257"/>
      <c r="AH222" s="257"/>
      <c r="AI222" s="257"/>
      <c r="AJ222" s="257"/>
      <c r="AK222" s="319">
        <v>0</v>
      </c>
      <c r="AL222" s="319">
        <v>0</v>
      </c>
      <c r="AM222" s="108">
        <f>50000000+50000000+27000000</f>
        <v>127000000</v>
      </c>
      <c r="AN222" s="15"/>
      <c r="AO222" s="27">
        <v>0</v>
      </c>
      <c r="AP222" s="290">
        <v>0</v>
      </c>
      <c r="AQ222" s="290"/>
      <c r="AR222" s="27">
        <f t="shared" si="129"/>
        <v>127000000</v>
      </c>
    </row>
    <row r="223" spans="1:44" s="165" customFormat="1" ht="15" x14ac:dyDescent="0.25">
      <c r="A223" s="21"/>
      <c r="B223" s="329"/>
      <c r="C223" s="604"/>
      <c r="D223" s="309"/>
      <c r="E223" s="310"/>
      <c r="F223" s="310"/>
      <c r="G223" s="160"/>
      <c r="H223" s="161"/>
      <c r="I223" s="160"/>
      <c r="J223" s="311"/>
      <c r="K223" s="161"/>
      <c r="L223" s="161"/>
      <c r="M223" s="161"/>
      <c r="N223" s="163"/>
      <c r="O223" s="160"/>
      <c r="P223" s="161"/>
      <c r="Q223" s="164">
        <f>SUM(Q221:Q222)</f>
        <v>0</v>
      </c>
      <c r="R223" s="164">
        <f t="shared" ref="R223:AL223" si="142">SUM(R221:R222)</f>
        <v>0</v>
      </c>
      <c r="S223" s="164">
        <f t="shared" si="142"/>
        <v>0</v>
      </c>
      <c r="T223" s="164">
        <f t="shared" si="142"/>
        <v>0</v>
      </c>
      <c r="U223" s="164">
        <f t="shared" si="142"/>
        <v>0</v>
      </c>
      <c r="V223" s="164">
        <f t="shared" si="142"/>
        <v>0</v>
      </c>
      <c r="W223" s="164">
        <f t="shared" si="142"/>
        <v>0</v>
      </c>
      <c r="X223" s="164">
        <f t="shared" si="142"/>
        <v>0</v>
      </c>
      <c r="Y223" s="164">
        <f t="shared" si="142"/>
        <v>0</v>
      </c>
      <c r="Z223" s="164">
        <f t="shared" si="142"/>
        <v>0</v>
      </c>
      <c r="AA223" s="164">
        <f t="shared" si="142"/>
        <v>0</v>
      </c>
      <c r="AB223" s="164">
        <f t="shared" si="142"/>
        <v>0</v>
      </c>
      <c r="AC223" s="164">
        <f t="shared" si="142"/>
        <v>0</v>
      </c>
      <c r="AD223" s="164">
        <f t="shared" si="142"/>
        <v>0</v>
      </c>
      <c r="AE223" s="164">
        <f t="shared" si="142"/>
        <v>0</v>
      </c>
      <c r="AF223" s="164">
        <f t="shared" si="142"/>
        <v>0</v>
      </c>
      <c r="AG223" s="164">
        <f t="shared" si="142"/>
        <v>0</v>
      </c>
      <c r="AH223" s="164">
        <f t="shared" si="142"/>
        <v>0</v>
      </c>
      <c r="AI223" s="164">
        <f t="shared" si="142"/>
        <v>0</v>
      </c>
      <c r="AJ223" s="164">
        <f t="shared" si="142"/>
        <v>0</v>
      </c>
      <c r="AK223" s="164">
        <f t="shared" si="142"/>
        <v>0</v>
      </c>
      <c r="AL223" s="164">
        <f t="shared" si="142"/>
        <v>0</v>
      </c>
      <c r="AM223" s="164">
        <f t="shared" ref="AM223:AP223" si="143">SUM(AM221:AM222)</f>
        <v>150000000</v>
      </c>
      <c r="AN223" s="164">
        <f t="shared" si="143"/>
        <v>0</v>
      </c>
      <c r="AO223" s="164">
        <f t="shared" si="143"/>
        <v>0</v>
      </c>
      <c r="AP223" s="164">
        <f t="shared" si="143"/>
        <v>0</v>
      </c>
      <c r="AQ223" s="164">
        <f t="shared" ref="AQ223" si="144">SUM(AQ221:AQ222)</f>
        <v>0</v>
      </c>
      <c r="AR223" s="164">
        <f t="shared" si="129"/>
        <v>150000000</v>
      </c>
    </row>
    <row r="224" spans="1:44" s="29" customFormat="1" ht="15" x14ac:dyDescent="0.25">
      <c r="A224" s="158"/>
      <c r="B224" s="227"/>
      <c r="C224" s="168"/>
      <c r="D224" s="321"/>
      <c r="E224" s="322"/>
      <c r="F224" s="322"/>
      <c r="G224" s="167"/>
      <c r="H224" s="168"/>
      <c r="I224" s="167"/>
      <c r="J224" s="323"/>
      <c r="K224" s="168"/>
      <c r="L224" s="168"/>
      <c r="M224" s="168"/>
      <c r="N224" s="170"/>
      <c r="O224" s="167"/>
      <c r="P224" s="168"/>
      <c r="Q224" s="171">
        <f t="shared" ref="Q224:AL224" si="145">Q223+Q218</f>
        <v>0</v>
      </c>
      <c r="R224" s="171">
        <f t="shared" si="145"/>
        <v>0</v>
      </c>
      <c r="S224" s="171">
        <f t="shared" si="145"/>
        <v>0</v>
      </c>
      <c r="T224" s="171">
        <f t="shared" si="145"/>
        <v>0</v>
      </c>
      <c r="U224" s="171">
        <f t="shared" si="145"/>
        <v>0</v>
      </c>
      <c r="V224" s="171">
        <f t="shared" si="145"/>
        <v>0</v>
      </c>
      <c r="W224" s="171">
        <f t="shared" si="145"/>
        <v>0</v>
      </c>
      <c r="X224" s="171">
        <f t="shared" si="145"/>
        <v>0</v>
      </c>
      <c r="Y224" s="171">
        <f t="shared" si="145"/>
        <v>0</v>
      </c>
      <c r="Z224" s="171">
        <f t="shared" si="145"/>
        <v>0</v>
      </c>
      <c r="AA224" s="171">
        <f t="shared" si="145"/>
        <v>0</v>
      </c>
      <c r="AB224" s="171">
        <f t="shared" si="145"/>
        <v>0</v>
      </c>
      <c r="AC224" s="171">
        <f t="shared" si="145"/>
        <v>0</v>
      </c>
      <c r="AD224" s="171">
        <f t="shared" si="145"/>
        <v>0</v>
      </c>
      <c r="AE224" s="171">
        <f t="shared" si="145"/>
        <v>0</v>
      </c>
      <c r="AF224" s="171">
        <f t="shared" si="145"/>
        <v>0</v>
      </c>
      <c r="AG224" s="171">
        <f t="shared" si="145"/>
        <v>0</v>
      </c>
      <c r="AH224" s="171">
        <f t="shared" si="145"/>
        <v>0</v>
      </c>
      <c r="AI224" s="171">
        <f t="shared" si="145"/>
        <v>0</v>
      </c>
      <c r="AJ224" s="171">
        <f t="shared" si="145"/>
        <v>0</v>
      </c>
      <c r="AK224" s="171">
        <f t="shared" si="145"/>
        <v>0</v>
      </c>
      <c r="AL224" s="171">
        <f t="shared" si="145"/>
        <v>0</v>
      </c>
      <c r="AM224" s="171">
        <f t="shared" ref="AM224:AP224" si="146">AM223+AM218</f>
        <v>343900000</v>
      </c>
      <c r="AN224" s="171">
        <f t="shared" si="146"/>
        <v>0</v>
      </c>
      <c r="AO224" s="171">
        <f t="shared" si="146"/>
        <v>391562917</v>
      </c>
      <c r="AP224" s="171">
        <f t="shared" si="146"/>
        <v>0</v>
      </c>
      <c r="AQ224" s="171">
        <f t="shared" ref="AQ224" si="147">AQ223+AQ218</f>
        <v>0</v>
      </c>
      <c r="AR224" s="171">
        <f t="shared" si="129"/>
        <v>735462917</v>
      </c>
    </row>
    <row r="225" spans="1:44" s="165" customFormat="1" ht="15" x14ac:dyDescent="0.25">
      <c r="A225" s="172"/>
      <c r="B225" s="172"/>
      <c r="C225" s="173"/>
      <c r="D225" s="330"/>
      <c r="E225" s="331"/>
      <c r="F225" s="331"/>
      <c r="G225" s="172"/>
      <c r="H225" s="173"/>
      <c r="I225" s="172"/>
      <c r="J225" s="332"/>
      <c r="K225" s="173"/>
      <c r="L225" s="173"/>
      <c r="M225" s="173"/>
      <c r="N225" s="175"/>
      <c r="O225" s="172"/>
      <c r="P225" s="173"/>
      <c r="Q225" s="176">
        <f t="shared" ref="Q225:AL225" si="148">Q224+Q213</f>
        <v>2846976320</v>
      </c>
      <c r="R225" s="176">
        <f t="shared" si="148"/>
        <v>0</v>
      </c>
      <c r="S225" s="176">
        <f t="shared" si="148"/>
        <v>0</v>
      </c>
      <c r="T225" s="176">
        <f t="shared" si="148"/>
        <v>0</v>
      </c>
      <c r="U225" s="176">
        <f t="shared" si="148"/>
        <v>0</v>
      </c>
      <c r="V225" s="176">
        <f t="shared" si="148"/>
        <v>0</v>
      </c>
      <c r="W225" s="176">
        <f t="shared" si="148"/>
        <v>0</v>
      </c>
      <c r="X225" s="176">
        <f t="shared" si="148"/>
        <v>0</v>
      </c>
      <c r="Y225" s="176">
        <f t="shared" si="148"/>
        <v>0</v>
      </c>
      <c r="Z225" s="176">
        <f t="shared" si="148"/>
        <v>0</v>
      </c>
      <c r="AA225" s="176">
        <f t="shared" si="148"/>
        <v>0</v>
      </c>
      <c r="AB225" s="176">
        <f t="shared" si="148"/>
        <v>0</v>
      </c>
      <c r="AC225" s="176">
        <f t="shared" si="148"/>
        <v>0</v>
      </c>
      <c r="AD225" s="176">
        <f t="shared" si="148"/>
        <v>0</v>
      </c>
      <c r="AE225" s="176">
        <f t="shared" si="148"/>
        <v>0</v>
      </c>
      <c r="AF225" s="176">
        <f t="shared" si="148"/>
        <v>0</v>
      </c>
      <c r="AG225" s="176">
        <f t="shared" si="148"/>
        <v>0</v>
      </c>
      <c r="AH225" s="176">
        <f t="shared" si="148"/>
        <v>0</v>
      </c>
      <c r="AI225" s="176">
        <f t="shared" si="148"/>
        <v>0</v>
      </c>
      <c r="AJ225" s="176">
        <f t="shared" si="148"/>
        <v>0</v>
      </c>
      <c r="AK225" s="176">
        <f t="shared" si="148"/>
        <v>0</v>
      </c>
      <c r="AL225" s="176">
        <f t="shared" si="148"/>
        <v>0</v>
      </c>
      <c r="AM225" s="176">
        <f t="shared" ref="AM225:AP225" si="149">AM224+AM213</f>
        <v>1620943025</v>
      </c>
      <c r="AN225" s="176">
        <f t="shared" si="149"/>
        <v>0</v>
      </c>
      <c r="AO225" s="176">
        <f t="shared" si="149"/>
        <v>391562917</v>
      </c>
      <c r="AP225" s="176">
        <f t="shared" si="149"/>
        <v>29000000</v>
      </c>
      <c r="AQ225" s="176">
        <f t="shared" ref="AQ225" si="150">AQ224+AQ213</f>
        <v>0</v>
      </c>
      <c r="AR225" s="176">
        <f t="shared" si="129"/>
        <v>4888482262</v>
      </c>
    </row>
    <row r="226" spans="1:44" s="165" customFormat="1" ht="15" x14ac:dyDescent="0.25">
      <c r="A226" s="177"/>
      <c r="B226" s="177"/>
      <c r="C226" s="178"/>
      <c r="D226" s="333"/>
      <c r="E226" s="334"/>
      <c r="F226" s="334"/>
      <c r="G226" s="177"/>
      <c r="H226" s="178"/>
      <c r="I226" s="177"/>
      <c r="J226" s="335"/>
      <c r="K226" s="178"/>
      <c r="L226" s="178"/>
      <c r="M226" s="178"/>
      <c r="N226" s="180"/>
      <c r="O226" s="177"/>
      <c r="P226" s="178"/>
      <c r="Q226" s="181">
        <f t="shared" ref="Q226:AL226" si="151">Q225</f>
        <v>2846976320</v>
      </c>
      <c r="R226" s="181">
        <f t="shared" si="151"/>
        <v>0</v>
      </c>
      <c r="S226" s="181">
        <f t="shared" si="151"/>
        <v>0</v>
      </c>
      <c r="T226" s="181">
        <f t="shared" si="151"/>
        <v>0</v>
      </c>
      <c r="U226" s="181">
        <f t="shared" si="151"/>
        <v>0</v>
      </c>
      <c r="V226" s="181">
        <f t="shared" si="151"/>
        <v>0</v>
      </c>
      <c r="W226" s="181">
        <f t="shared" si="151"/>
        <v>0</v>
      </c>
      <c r="X226" s="181">
        <f t="shared" si="151"/>
        <v>0</v>
      </c>
      <c r="Y226" s="181">
        <f t="shared" si="151"/>
        <v>0</v>
      </c>
      <c r="Z226" s="181">
        <f t="shared" si="151"/>
        <v>0</v>
      </c>
      <c r="AA226" s="181">
        <f t="shared" si="151"/>
        <v>0</v>
      </c>
      <c r="AB226" s="181">
        <f t="shared" si="151"/>
        <v>0</v>
      </c>
      <c r="AC226" s="181">
        <f t="shared" si="151"/>
        <v>0</v>
      </c>
      <c r="AD226" s="181">
        <f t="shared" si="151"/>
        <v>0</v>
      </c>
      <c r="AE226" s="181">
        <f t="shared" si="151"/>
        <v>0</v>
      </c>
      <c r="AF226" s="181">
        <f t="shared" si="151"/>
        <v>0</v>
      </c>
      <c r="AG226" s="181">
        <f t="shared" si="151"/>
        <v>0</v>
      </c>
      <c r="AH226" s="181">
        <f t="shared" si="151"/>
        <v>0</v>
      </c>
      <c r="AI226" s="181">
        <f t="shared" si="151"/>
        <v>0</v>
      </c>
      <c r="AJ226" s="181">
        <f t="shared" si="151"/>
        <v>0</v>
      </c>
      <c r="AK226" s="181">
        <f t="shared" si="151"/>
        <v>0</v>
      </c>
      <c r="AL226" s="181">
        <f t="shared" si="151"/>
        <v>0</v>
      </c>
      <c r="AM226" s="181">
        <f t="shared" ref="AM226:AP226" si="152">AM225</f>
        <v>1620943025</v>
      </c>
      <c r="AN226" s="181">
        <f t="shared" si="152"/>
        <v>0</v>
      </c>
      <c r="AO226" s="181">
        <f t="shared" si="152"/>
        <v>391562917</v>
      </c>
      <c r="AP226" s="181">
        <f t="shared" si="152"/>
        <v>29000000</v>
      </c>
      <c r="AQ226" s="181">
        <f t="shared" ref="AQ226" si="153">AQ225</f>
        <v>0</v>
      </c>
      <c r="AR226" s="181">
        <f t="shared" si="129"/>
        <v>4888482262</v>
      </c>
    </row>
    <row r="227" spans="1:44" s="29" customFormat="1" ht="15" x14ac:dyDescent="0.25">
      <c r="A227" s="182"/>
      <c r="B227" s="183"/>
      <c r="C227" s="760"/>
      <c r="D227" s="336"/>
      <c r="E227" s="155"/>
      <c r="F227" s="155"/>
      <c r="G227" s="183"/>
      <c r="H227" s="760"/>
      <c r="I227" s="183"/>
      <c r="J227" s="314"/>
      <c r="K227" s="760"/>
      <c r="L227" s="760"/>
      <c r="M227" s="760"/>
      <c r="N227" s="185"/>
      <c r="O227" s="183"/>
      <c r="P227" s="760"/>
      <c r="Q227" s="186"/>
      <c r="R227" s="186"/>
      <c r="S227" s="186"/>
      <c r="T227" s="186"/>
      <c r="U227" s="186"/>
      <c r="V227" s="186"/>
      <c r="W227" s="186"/>
      <c r="X227" s="186"/>
      <c r="Y227" s="186"/>
      <c r="Z227" s="186"/>
      <c r="AA227" s="186"/>
      <c r="AB227" s="186"/>
      <c r="AC227" s="186"/>
      <c r="AD227" s="186"/>
      <c r="AE227" s="187"/>
      <c r="AF227" s="187"/>
      <c r="AG227" s="187"/>
      <c r="AH227" s="187"/>
      <c r="AI227" s="187"/>
      <c r="AJ227" s="187"/>
      <c r="AK227" s="186"/>
      <c r="AL227" s="186"/>
      <c r="AM227" s="188"/>
      <c r="AN227" s="189"/>
      <c r="AO227" s="186"/>
      <c r="AP227" s="186"/>
      <c r="AQ227" s="186"/>
      <c r="AR227" s="498">
        <f t="shared" si="129"/>
        <v>0</v>
      </c>
    </row>
    <row r="228" spans="1:44" s="165" customFormat="1" ht="20.25" x14ac:dyDescent="0.25">
      <c r="A228" s="135" t="s">
        <v>298</v>
      </c>
      <c r="B228" s="136"/>
      <c r="C228" s="137"/>
      <c r="D228" s="136"/>
      <c r="E228" s="136"/>
      <c r="F228" s="136"/>
      <c r="G228" s="136"/>
      <c r="H228" s="137"/>
      <c r="I228" s="136"/>
      <c r="J228" s="136"/>
      <c r="K228" s="136"/>
      <c r="L228" s="136"/>
      <c r="M228" s="136"/>
      <c r="N228" s="138"/>
      <c r="O228" s="136"/>
      <c r="P228" s="137"/>
      <c r="Q228" s="136"/>
      <c r="R228" s="136"/>
      <c r="S228" s="136"/>
      <c r="T228" s="136"/>
      <c r="U228" s="136"/>
      <c r="V228" s="136"/>
      <c r="W228" s="136"/>
      <c r="X228" s="136"/>
      <c r="Y228" s="136"/>
      <c r="Z228" s="136"/>
      <c r="AA228" s="136"/>
      <c r="AB228" s="136"/>
      <c r="AC228" s="136"/>
      <c r="AD228" s="136"/>
      <c r="AE228" s="136"/>
      <c r="AF228" s="136"/>
      <c r="AG228" s="136"/>
      <c r="AH228" s="136"/>
      <c r="AI228" s="136"/>
      <c r="AJ228" s="136"/>
      <c r="AK228" s="136"/>
      <c r="AL228" s="136"/>
      <c r="AM228" s="139"/>
      <c r="AN228" s="140"/>
      <c r="AO228" s="136"/>
      <c r="AP228" s="136"/>
      <c r="AQ228" s="136"/>
      <c r="AR228" s="141"/>
    </row>
    <row r="229" spans="1:44" s="165" customFormat="1" x14ac:dyDescent="0.25">
      <c r="A229" s="826">
        <v>2</v>
      </c>
      <c r="B229" s="142" t="s">
        <v>122</v>
      </c>
      <c r="C229" s="143"/>
      <c r="D229" s="142"/>
      <c r="E229" s="142"/>
      <c r="F229" s="142"/>
      <c r="G229" s="142"/>
      <c r="H229" s="143"/>
      <c r="I229" s="142"/>
      <c r="J229" s="142"/>
      <c r="K229" s="142"/>
      <c r="L229" s="142"/>
      <c r="M229" s="142"/>
      <c r="N229" s="144"/>
      <c r="O229" s="142"/>
      <c r="P229" s="142"/>
      <c r="Q229" s="142"/>
      <c r="R229" s="142"/>
      <c r="S229" s="142"/>
      <c r="T229" s="142"/>
      <c r="U229" s="142"/>
      <c r="V229" s="142"/>
      <c r="W229" s="142"/>
      <c r="X229" s="142"/>
      <c r="Y229" s="142"/>
      <c r="Z229" s="142"/>
      <c r="AA229" s="142"/>
      <c r="AB229" s="142"/>
      <c r="AC229" s="142"/>
      <c r="AD229" s="142"/>
      <c r="AE229" s="142"/>
      <c r="AF229" s="142"/>
      <c r="AG229" s="142"/>
      <c r="AH229" s="142"/>
      <c r="AI229" s="142"/>
      <c r="AJ229" s="142"/>
      <c r="AK229" s="142"/>
      <c r="AL229" s="142"/>
      <c r="AM229" s="145"/>
      <c r="AN229" s="142"/>
      <c r="AO229" s="142"/>
      <c r="AP229" s="142"/>
      <c r="AQ229" s="142"/>
      <c r="AR229" s="146"/>
    </row>
    <row r="230" spans="1:44" s="165" customFormat="1" x14ac:dyDescent="0.25">
      <c r="A230" s="190"/>
      <c r="B230" s="243">
        <v>2</v>
      </c>
      <c r="C230" s="150" t="s">
        <v>299</v>
      </c>
      <c r="D230" s="149"/>
      <c r="E230" s="149"/>
      <c r="F230" s="149"/>
      <c r="G230" s="149"/>
      <c r="H230" s="150"/>
      <c r="I230" s="149"/>
      <c r="J230" s="149"/>
      <c r="K230" s="149"/>
      <c r="L230" s="149"/>
      <c r="M230" s="149"/>
      <c r="N230" s="151"/>
      <c r="O230" s="149"/>
      <c r="P230" s="149"/>
      <c r="Q230" s="149"/>
      <c r="R230" s="149"/>
      <c r="S230" s="149"/>
      <c r="T230" s="149"/>
      <c r="U230" s="149"/>
      <c r="V230" s="149"/>
      <c r="W230" s="149"/>
      <c r="X230" s="149"/>
      <c r="Y230" s="149"/>
      <c r="Z230" s="149"/>
      <c r="AA230" s="149"/>
      <c r="AB230" s="149"/>
      <c r="AC230" s="149"/>
      <c r="AD230" s="149"/>
      <c r="AE230" s="149"/>
      <c r="AF230" s="149"/>
      <c r="AG230" s="149"/>
      <c r="AH230" s="149"/>
      <c r="AI230" s="149"/>
      <c r="AJ230" s="149"/>
      <c r="AK230" s="149"/>
      <c r="AL230" s="149"/>
      <c r="AM230" s="152"/>
      <c r="AN230" s="149"/>
      <c r="AO230" s="149"/>
      <c r="AP230" s="149"/>
      <c r="AQ230" s="149"/>
      <c r="AR230" s="153"/>
    </row>
    <row r="231" spans="1:44" s="165" customFormat="1" ht="15" x14ac:dyDescent="0.25">
      <c r="A231" s="21"/>
      <c r="B231" s="190"/>
      <c r="C231" s="760"/>
      <c r="D231" s="183"/>
      <c r="E231" s="760"/>
      <c r="F231" s="761"/>
      <c r="G231" s="337">
        <v>8</v>
      </c>
      <c r="H231" s="933" t="s">
        <v>300</v>
      </c>
      <c r="I231" s="933"/>
      <c r="J231" s="933"/>
      <c r="K231" s="933"/>
      <c r="L231" s="933"/>
      <c r="M231" s="933"/>
      <c r="N231" s="933"/>
      <c r="O231" s="933"/>
      <c r="P231" s="933"/>
      <c r="Q231" s="933"/>
      <c r="R231" s="194"/>
      <c r="S231" s="194"/>
      <c r="T231" s="194"/>
      <c r="U231" s="194"/>
      <c r="V231" s="194"/>
      <c r="W231" s="194"/>
      <c r="X231" s="194"/>
      <c r="Y231" s="194"/>
      <c r="Z231" s="194"/>
      <c r="AA231" s="194"/>
      <c r="AB231" s="194"/>
      <c r="AC231" s="194"/>
      <c r="AD231" s="194"/>
      <c r="AE231" s="194"/>
      <c r="AF231" s="194"/>
      <c r="AG231" s="194"/>
      <c r="AH231" s="194"/>
      <c r="AI231" s="194"/>
      <c r="AJ231" s="194"/>
      <c r="AK231" s="194"/>
      <c r="AL231" s="194"/>
      <c r="AM231" s="196"/>
      <c r="AN231" s="194"/>
      <c r="AO231" s="194"/>
      <c r="AP231" s="194"/>
      <c r="AQ231" s="194"/>
      <c r="AR231" s="197"/>
    </row>
    <row r="232" spans="1:44" s="29" customFormat="1" ht="59.25" customHeight="1" x14ac:dyDescent="0.25">
      <c r="A232" s="21"/>
      <c r="B232" s="21"/>
      <c r="C232" s="761">
        <v>5</v>
      </c>
      <c r="D232" s="762" t="s">
        <v>301</v>
      </c>
      <c r="E232" s="767">
        <v>12.9</v>
      </c>
      <c r="F232" s="767">
        <v>8.9</v>
      </c>
      <c r="G232" s="24"/>
      <c r="H232" s="767">
        <v>38</v>
      </c>
      <c r="I232" s="762" t="s">
        <v>302</v>
      </c>
      <c r="J232" s="12">
        <v>3</v>
      </c>
      <c r="K232" s="12">
        <v>4</v>
      </c>
      <c r="L232" s="12">
        <v>2</v>
      </c>
      <c r="M232" s="941" t="s">
        <v>303</v>
      </c>
      <c r="N232" s="948" t="s">
        <v>304</v>
      </c>
      <c r="O232" s="941" t="s">
        <v>305</v>
      </c>
      <c r="P232" s="58" t="s">
        <v>47</v>
      </c>
      <c r="Q232" s="27">
        <v>0</v>
      </c>
      <c r="R232" s="27">
        <v>0</v>
      </c>
      <c r="S232" s="27">
        <v>0</v>
      </c>
      <c r="T232" s="27">
        <v>0</v>
      </c>
      <c r="U232" s="27">
        <v>0</v>
      </c>
      <c r="V232" s="27">
        <v>0</v>
      </c>
      <c r="W232" s="27">
        <v>0</v>
      </c>
      <c r="X232" s="27"/>
      <c r="Y232" s="27"/>
      <c r="Z232" s="27"/>
      <c r="AA232" s="27">
        <v>0</v>
      </c>
      <c r="AB232" s="27"/>
      <c r="AC232" s="27">
        <v>0</v>
      </c>
      <c r="AD232" s="27">
        <v>0</v>
      </c>
      <c r="AE232" s="27"/>
      <c r="AF232" s="27"/>
      <c r="AG232" s="27"/>
      <c r="AH232" s="27"/>
      <c r="AI232" s="27"/>
      <c r="AJ232" s="27"/>
      <c r="AK232" s="27">
        <v>0</v>
      </c>
      <c r="AL232" s="27">
        <v>0</v>
      </c>
      <c r="AM232" s="108">
        <f>7500000+20000000+9000000</f>
        <v>36500000</v>
      </c>
      <c r="AN232" s="15"/>
      <c r="AO232" s="27">
        <v>0</v>
      </c>
      <c r="AP232" s="28">
        <v>0</v>
      </c>
      <c r="AQ232" s="28"/>
      <c r="AR232" s="27">
        <f t="shared" si="129"/>
        <v>36500000</v>
      </c>
    </row>
    <row r="233" spans="1:44" s="29" customFormat="1" ht="55.5" customHeight="1" x14ac:dyDescent="0.25">
      <c r="A233" s="21"/>
      <c r="B233" s="21"/>
      <c r="C233" s="761">
        <v>6</v>
      </c>
      <c r="D233" s="762" t="s">
        <v>306</v>
      </c>
      <c r="E233" s="723" t="s">
        <v>307</v>
      </c>
      <c r="F233" s="723" t="s">
        <v>308</v>
      </c>
      <c r="G233" s="30"/>
      <c r="H233" s="767">
        <v>39</v>
      </c>
      <c r="I233" s="24" t="s">
        <v>309</v>
      </c>
      <c r="J233" s="12">
        <v>0</v>
      </c>
      <c r="K233" s="12">
        <v>3</v>
      </c>
      <c r="L233" s="12">
        <v>3</v>
      </c>
      <c r="M233" s="943"/>
      <c r="N233" s="949"/>
      <c r="O233" s="943"/>
      <c r="P233" s="58" t="s">
        <v>47</v>
      </c>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108">
        <f>7500000+20000000+10160000</f>
        <v>37660000</v>
      </c>
      <c r="AN233" s="15"/>
      <c r="AO233" s="27"/>
      <c r="AP233" s="28"/>
      <c r="AQ233" s="28"/>
      <c r="AR233" s="27">
        <f t="shared" si="129"/>
        <v>37660000</v>
      </c>
    </row>
    <row r="234" spans="1:44" s="29" customFormat="1" ht="80.25" customHeight="1" x14ac:dyDescent="0.25">
      <c r="A234" s="21"/>
      <c r="B234" s="21"/>
      <c r="C234" s="912">
        <v>5</v>
      </c>
      <c r="D234" s="1050" t="s">
        <v>301</v>
      </c>
      <c r="E234" s="924">
        <v>12.9</v>
      </c>
      <c r="F234" s="912">
        <v>8.9</v>
      </c>
      <c r="G234" s="30"/>
      <c r="H234" s="767">
        <v>40</v>
      </c>
      <c r="I234" s="762" t="s">
        <v>310</v>
      </c>
      <c r="J234" s="12">
        <v>0</v>
      </c>
      <c r="K234" s="12">
        <v>0.35</v>
      </c>
      <c r="L234" s="12">
        <v>0.04</v>
      </c>
      <c r="M234" s="1038" t="s">
        <v>303</v>
      </c>
      <c r="N234" s="948" t="s">
        <v>311</v>
      </c>
      <c r="O234" s="941" t="s">
        <v>312</v>
      </c>
      <c r="P234" s="58" t="s">
        <v>42</v>
      </c>
      <c r="Q234" s="27">
        <v>0</v>
      </c>
      <c r="R234" s="27">
        <v>0</v>
      </c>
      <c r="S234" s="27">
        <v>0</v>
      </c>
      <c r="T234" s="27">
        <v>0</v>
      </c>
      <c r="U234" s="27">
        <v>0</v>
      </c>
      <c r="V234" s="27">
        <v>0</v>
      </c>
      <c r="W234" s="27">
        <v>0</v>
      </c>
      <c r="X234" s="27"/>
      <c r="Y234" s="27"/>
      <c r="Z234" s="27"/>
      <c r="AA234" s="27">
        <v>0</v>
      </c>
      <c r="AB234" s="27"/>
      <c r="AC234" s="27">
        <v>0</v>
      </c>
      <c r="AD234" s="27">
        <v>0</v>
      </c>
      <c r="AE234" s="27"/>
      <c r="AF234" s="27"/>
      <c r="AG234" s="27"/>
      <c r="AH234" s="27"/>
      <c r="AI234" s="27"/>
      <c r="AJ234" s="27"/>
      <c r="AK234" s="27">
        <v>0</v>
      </c>
      <c r="AL234" s="27">
        <v>0</v>
      </c>
      <c r="AM234" s="108">
        <f>22000000+22500000</f>
        <v>44500000</v>
      </c>
      <c r="AN234" s="15"/>
      <c r="AO234" s="27">
        <v>0</v>
      </c>
      <c r="AP234" s="28">
        <v>0</v>
      </c>
      <c r="AQ234" s="28"/>
      <c r="AR234" s="27">
        <f t="shared" si="129"/>
        <v>44500000</v>
      </c>
    </row>
    <row r="235" spans="1:44" s="29" customFormat="1" ht="57" x14ac:dyDescent="0.25">
      <c r="A235" s="21"/>
      <c r="B235" s="21"/>
      <c r="C235" s="913"/>
      <c r="D235" s="1050"/>
      <c r="E235" s="925"/>
      <c r="F235" s="913"/>
      <c r="G235" s="30"/>
      <c r="H235" s="767">
        <v>41</v>
      </c>
      <c r="I235" s="762" t="s">
        <v>313</v>
      </c>
      <c r="J235" s="12">
        <v>0</v>
      </c>
      <c r="K235" s="12">
        <v>1</v>
      </c>
      <c r="L235" s="12">
        <v>0.5</v>
      </c>
      <c r="M235" s="1039"/>
      <c r="N235" s="959"/>
      <c r="O235" s="942"/>
      <c r="P235" s="58" t="s">
        <v>47</v>
      </c>
      <c r="Q235" s="27">
        <v>0</v>
      </c>
      <c r="R235" s="27">
        <v>0</v>
      </c>
      <c r="S235" s="27">
        <v>0</v>
      </c>
      <c r="T235" s="27">
        <v>0</v>
      </c>
      <c r="U235" s="27">
        <v>0</v>
      </c>
      <c r="V235" s="27">
        <v>0</v>
      </c>
      <c r="W235" s="27">
        <v>0</v>
      </c>
      <c r="X235" s="27"/>
      <c r="Y235" s="27"/>
      <c r="Z235" s="27"/>
      <c r="AA235" s="27">
        <v>0</v>
      </c>
      <c r="AB235" s="27"/>
      <c r="AC235" s="27">
        <v>0</v>
      </c>
      <c r="AD235" s="27">
        <v>0</v>
      </c>
      <c r="AE235" s="27"/>
      <c r="AF235" s="27"/>
      <c r="AG235" s="27"/>
      <c r="AH235" s="27"/>
      <c r="AI235" s="27"/>
      <c r="AJ235" s="27"/>
      <c r="AK235" s="27">
        <v>0</v>
      </c>
      <c r="AL235" s="27">
        <v>0</v>
      </c>
      <c r="AM235" s="108">
        <f>27500000-22500000+10000000</f>
        <v>15000000</v>
      </c>
      <c r="AN235" s="15"/>
      <c r="AO235" s="27">
        <v>0</v>
      </c>
      <c r="AP235" s="28">
        <v>0</v>
      </c>
      <c r="AQ235" s="28"/>
      <c r="AR235" s="27">
        <f t="shared" si="129"/>
        <v>15000000</v>
      </c>
    </row>
    <row r="236" spans="1:44" s="29" customFormat="1" ht="53.25" customHeight="1" x14ac:dyDescent="0.25">
      <c r="A236" s="21"/>
      <c r="B236" s="21"/>
      <c r="C236" s="72">
        <v>6</v>
      </c>
      <c r="D236" s="73" t="s">
        <v>306</v>
      </c>
      <c r="E236" s="74" t="s">
        <v>307</v>
      </c>
      <c r="F236" s="74" t="s">
        <v>308</v>
      </c>
      <c r="G236" s="32"/>
      <c r="H236" s="767">
        <v>42</v>
      </c>
      <c r="I236" s="762" t="s">
        <v>314</v>
      </c>
      <c r="J236" s="12">
        <v>1</v>
      </c>
      <c r="K236" s="12">
        <v>1</v>
      </c>
      <c r="L236" s="12">
        <v>0</v>
      </c>
      <c r="M236" s="1040"/>
      <c r="N236" s="949"/>
      <c r="O236" s="943"/>
      <c r="P236" s="58" t="s">
        <v>47</v>
      </c>
      <c r="Q236" s="27">
        <v>0</v>
      </c>
      <c r="R236" s="27">
        <v>0</v>
      </c>
      <c r="S236" s="27">
        <v>0</v>
      </c>
      <c r="T236" s="27">
        <v>0</v>
      </c>
      <c r="U236" s="27">
        <v>0</v>
      </c>
      <c r="V236" s="27">
        <v>0</v>
      </c>
      <c r="W236" s="27">
        <v>0</v>
      </c>
      <c r="X236" s="27"/>
      <c r="Y236" s="27"/>
      <c r="Z236" s="27"/>
      <c r="AA236" s="27">
        <v>0</v>
      </c>
      <c r="AB236" s="27"/>
      <c r="AC236" s="27">
        <v>0</v>
      </c>
      <c r="AD236" s="27">
        <v>0</v>
      </c>
      <c r="AE236" s="27"/>
      <c r="AF236" s="27"/>
      <c r="AG236" s="27"/>
      <c r="AH236" s="27"/>
      <c r="AI236" s="27"/>
      <c r="AJ236" s="27"/>
      <c r="AK236" s="27">
        <v>0</v>
      </c>
      <c r="AL236" s="27">
        <v>0</v>
      </c>
      <c r="AM236" s="108">
        <f>7500000+20000000+48300000</f>
        <v>75800000</v>
      </c>
      <c r="AN236" s="15"/>
      <c r="AO236" s="27">
        <v>0</v>
      </c>
      <c r="AP236" s="27">
        <v>0</v>
      </c>
      <c r="AQ236" s="27"/>
      <c r="AR236" s="27">
        <f t="shared" si="129"/>
        <v>75800000</v>
      </c>
    </row>
    <row r="237" spans="1:44" s="165" customFormat="1" ht="15" x14ac:dyDescent="0.25">
      <c r="A237" s="21"/>
      <c r="B237" s="21"/>
      <c r="C237" s="761"/>
      <c r="D237" s="762"/>
      <c r="E237" s="767"/>
      <c r="F237" s="767"/>
      <c r="G237" s="160"/>
      <c r="H237" s="161"/>
      <c r="I237" s="160"/>
      <c r="J237" s="256"/>
      <c r="K237" s="256"/>
      <c r="L237" s="256"/>
      <c r="M237" s="256"/>
      <c r="N237" s="163"/>
      <c r="O237" s="160"/>
      <c r="P237" s="161"/>
      <c r="Q237" s="164">
        <f t="shared" ref="Q237:AP237" si="154">SUM(Q232:Q236)</f>
        <v>0</v>
      </c>
      <c r="R237" s="164">
        <f t="shared" si="154"/>
        <v>0</v>
      </c>
      <c r="S237" s="164">
        <f t="shared" si="154"/>
        <v>0</v>
      </c>
      <c r="T237" s="164">
        <f t="shared" si="154"/>
        <v>0</v>
      </c>
      <c r="U237" s="164">
        <f t="shared" si="154"/>
        <v>0</v>
      </c>
      <c r="V237" s="164">
        <f t="shared" si="154"/>
        <v>0</v>
      </c>
      <c r="W237" s="164">
        <f t="shared" si="154"/>
        <v>0</v>
      </c>
      <c r="X237" s="164">
        <f t="shared" si="154"/>
        <v>0</v>
      </c>
      <c r="Y237" s="164">
        <f t="shared" si="154"/>
        <v>0</v>
      </c>
      <c r="Z237" s="164">
        <f t="shared" si="154"/>
        <v>0</v>
      </c>
      <c r="AA237" s="164">
        <f t="shared" si="154"/>
        <v>0</v>
      </c>
      <c r="AB237" s="164">
        <f t="shared" si="154"/>
        <v>0</v>
      </c>
      <c r="AC237" s="164">
        <f t="shared" si="154"/>
        <v>0</v>
      </c>
      <c r="AD237" s="164">
        <f t="shared" si="154"/>
        <v>0</v>
      </c>
      <c r="AE237" s="164">
        <f t="shared" si="154"/>
        <v>0</v>
      </c>
      <c r="AF237" s="164">
        <f t="shared" si="154"/>
        <v>0</v>
      </c>
      <c r="AG237" s="164">
        <f t="shared" si="154"/>
        <v>0</v>
      </c>
      <c r="AH237" s="164">
        <f t="shared" si="154"/>
        <v>0</v>
      </c>
      <c r="AI237" s="164">
        <f t="shared" si="154"/>
        <v>0</v>
      </c>
      <c r="AJ237" s="164">
        <f t="shared" si="154"/>
        <v>0</v>
      </c>
      <c r="AK237" s="164">
        <f t="shared" si="154"/>
        <v>0</v>
      </c>
      <c r="AL237" s="164">
        <f t="shared" si="154"/>
        <v>0</v>
      </c>
      <c r="AM237" s="164">
        <f t="shared" si="154"/>
        <v>209460000</v>
      </c>
      <c r="AN237" s="164">
        <f t="shared" si="154"/>
        <v>0</v>
      </c>
      <c r="AO237" s="164">
        <f t="shared" si="154"/>
        <v>0</v>
      </c>
      <c r="AP237" s="164">
        <f t="shared" si="154"/>
        <v>0</v>
      </c>
      <c r="AQ237" s="164">
        <f t="shared" ref="AQ237" si="155">SUM(AQ232:AQ236)</f>
        <v>0</v>
      </c>
      <c r="AR237" s="164">
        <f t="shared" si="129"/>
        <v>209460000</v>
      </c>
    </row>
    <row r="238" spans="1:44" s="29" customFormat="1" ht="15" x14ac:dyDescent="0.25">
      <c r="A238" s="21"/>
      <c r="B238" s="21"/>
      <c r="C238" s="761"/>
      <c r="D238" s="762"/>
      <c r="E238" s="767"/>
      <c r="F238" s="767"/>
      <c r="G238" s="762"/>
      <c r="H238" s="767"/>
      <c r="I238" s="762"/>
      <c r="J238" s="12"/>
      <c r="K238" s="12"/>
      <c r="L238" s="757"/>
      <c r="M238" s="757"/>
      <c r="N238" s="734"/>
      <c r="O238" s="729"/>
      <c r="P238" s="76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113"/>
      <c r="AN238" s="82"/>
      <c r="AO238" s="27"/>
      <c r="AP238" s="28"/>
      <c r="AQ238" s="28"/>
      <c r="AR238" s="27"/>
    </row>
    <row r="239" spans="1:44" s="165" customFormat="1" ht="15" x14ac:dyDescent="0.25">
      <c r="A239" s="21"/>
      <c r="B239" s="21"/>
      <c r="C239" s="761"/>
      <c r="D239" s="762"/>
      <c r="E239" s="767"/>
      <c r="F239" s="767"/>
      <c r="G239" s="261">
        <v>9</v>
      </c>
      <c r="H239" s="278" t="s">
        <v>315</v>
      </c>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c r="AK239" s="194"/>
      <c r="AL239" s="194"/>
      <c r="AM239" s="196"/>
      <c r="AN239" s="194"/>
      <c r="AO239" s="194"/>
      <c r="AP239" s="194"/>
      <c r="AQ239" s="194"/>
      <c r="AR239" s="197"/>
    </row>
    <row r="240" spans="1:44" s="165" customFormat="1" ht="48.75" customHeight="1" x14ac:dyDescent="0.25">
      <c r="A240" s="21"/>
      <c r="B240" s="21"/>
      <c r="C240" s="774">
        <v>5</v>
      </c>
      <c r="D240" s="762" t="s">
        <v>301</v>
      </c>
      <c r="E240" s="718">
        <v>12.9</v>
      </c>
      <c r="F240" s="718">
        <v>8.9</v>
      </c>
      <c r="G240" s="924">
        <v>0</v>
      </c>
      <c r="H240" s="6">
        <v>43</v>
      </c>
      <c r="I240" s="762" t="s">
        <v>316</v>
      </c>
      <c r="J240" s="12" t="s">
        <v>38</v>
      </c>
      <c r="K240" s="12">
        <v>3</v>
      </c>
      <c r="L240" s="12">
        <v>0</v>
      </c>
      <c r="M240" s="993" t="s">
        <v>303</v>
      </c>
      <c r="N240" s="948" t="s">
        <v>317</v>
      </c>
      <c r="O240" s="999" t="s">
        <v>318</v>
      </c>
      <c r="P240" s="6" t="s">
        <v>42</v>
      </c>
      <c r="Q240" s="319">
        <v>0</v>
      </c>
      <c r="R240" s="319">
        <v>0</v>
      </c>
      <c r="S240" s="319">
        <v>0</v>
      </c>
      <c r="T240" s="319">
        <v>0</v>
      </c>
      <c r="U240" s="319">
        <v>0</v>
      </c>
      <c r="V240" s="319">
        <v>0</v>
      </c>
      <c r="W240" s="319">
        <v>0</v>
      </c>
      <c r="X240" s="319"/>
      <c r="Y240" s="319"/>
      <c r="Z240" s="319"/>
      <c r="AA240" s="319">
        <v>0</v>
      </c>
      <c r="AB240" s="319"/>
      <c r="AC240" s="319">
        <v>0</v>
      </c>
      <c r="AD240" s="319">
        <v>0</v>
      </c>
      <c r="AE240" s="257"/>
      <c r="AF240" s="257"/>
      <c r="AG240" s="257"/>
      <c r="AH240" s="257"/>
      <c r="AI240" s="257"/>
      <c r="AJ240" s="257"/>
      <c r="AK240" s="319">
        <v>0</v>
      </c>
      <c r="AL240" s="319">
        <v>0</v>
      </c>
      <c r="AM240" s="108">
        <f>40000000-10000000+47140000</f>
        <v>77140000</v>
      </c>
      <c r="AN240" s="15"/>
      <c r="AO240" s="319">
        <v>0</v>
      </c>
      <c r="AP240" s="290">
        <v>0</v>
      </c>
      <c r="AQ240" s="290"/>
      <c r="AR240" s="27">
        <f t="shared" si="129"/>
        <v>77140000</v>
      </c>
    </row>
    <row r="241" spans="1:44" s="165" customFormat="1" ht="49.5" customHeight="1" x14ac:dyDescent="0.25">
      <c r="A241" s="21"/>
      <c r="B241" s="21"/>
      <c r="C241" s="774">
        <v>6</v>
      </c>
      <c r="D241" s="762" t="s">
        <v>319</v>
      </c>
      <c r="E241" s="719" t="s">
        <v>307</v>
      </c>
      <c r="F241" s="719" t="s">
        <v>308</v>
      </c>
      <c r="G241" s="925"/>
      <c r="H241" s="6">
        <v>44</v>
      </c>
      <c r="I241" s="762" t="s">
        <v>320</v>
      </c>
      <c r="J241" s="12">
        <v>0</v>
      </c>
      <c r="K241" s="12">
        <v>1</v>
      </c>
      <c r="L241" s="12">
        <v>0.4</v>
      </c>
      <c r="M241" s="1003"/>
      <c r="N241" s="959"/>
      <c r="O241" s="1000"/>
      <c r="P241" s="6" t="s">
        <v>47</v>
      </c>
      <c r="Q241" s="319">
        <v>0</v>
      </c>
      <c r="R241" s="319">
        <v>0</v>
      </c>
      <c r="S241" s="319">
        <v>0</v>
      </c>
      <c r="T241" s="319">
        <v>0</v>
      </c>
      <c r="U241" s="319">
        <v>0</v>
      </c>
      <c r="V241" s="319">
        <v>0</v>
      </c>
      <c r="W241" s="319">
        <v>0</v>
      </c>
      <c r="X241" s="319"/>
      <c r="Y241" s="319"/>
      <c r="Z241" s="319"/>
      <c r="AA241" s="319">
        <v>0</v>
      </c>
      <c r="AB241" s="319"/>
      <c r="AC241" s="319">
        <v>0</v>
      </c>
      <c r="AD241" s="319">
        <v>0</v>
      </c>
      <c r="AE241" s="257"/>
      <c r="AF241" s="257"/>
      <c r="AG241" s="257"/>
      <c r="AH241" s="257"/>
      <c r="AI241" s="257"/>
      <c r="AJ241" s="257"/>
      <c r="AK241" s="319">
        <v>0</v>
      </c>
      <c r="AL241" s="319">
        <v>0</v>
      </c>
      <c r="AM241" s="108">
        <f>40000000-7000000+20140000</f>
        <v>53140000</v>
      </c>
      <c r="AN241" s="15"/>
      <c r="AO241" s="319">
        <v>0</v>
      </c>
      <c r="AP241" s="290">
        <v>0</v>
      </c>
      <c r="AQ241" s="290"/>
      <c r="AR241" s="27">
        <f t="shared" si="129"/>
        <v>53140000</v>
      </c>
    </row>
    <row r="242" spans="1:44" s="165" customFormat="1" ht="57" x14ac:dyDescent="0.25">
      <c r="A242" s="21"/>
      <c r="B242" s="21"/>
      <c r="C242" s="913">
        <v>7</v>
      </c>
      <c r="D242" s="1050" t="s">
        <v>321</v>
      </c>
      <c r="E242" s="925" t="s">
        <v>322</v>
      </c>
      <c r="F242" s="925">
        <v>27</v>
      </c>
      <c r="G242" s="925"/>
      <c r="H242" s="6">
        <v>45</v>
      </c>
      <c r="I242" s="762" t="s">
        <v>323</v>
      </c>
      <c r="J242" s="12" t="s">
        <v>38</v>
      </c>
      <c r="K242" s="12">
        <v>3</v>
      </c>
      <c r="L242" s="12">
        <v>0</v>
      </c>
      <c r="M242" s="1003"/>
      <c r="N242" s="959"/>
      <c r="O242" s="1000"/>
      <c r="P242" s="6" t="s">
        <v>42</v>
      </c>
      <c r="Q242" s="319"/>
      <c r="R242" s="319"/>
      <c r="S242" s="319"/>
      <c r="T242" s="319"/>
      <c r="U242" s="319"/>
      <c r="V242" s="319"/>
      <c r="W242" s="319"/>
      <c r="X242" s="319"/>
      <c r="Y242" s="319"/>
      <c r="Z242" s="319"/>
      <c r="AA242" s="319"/>
      <c r="AB242" s="319"/>
      <c r="AC242" s="319"/>
      <c r="AD242" s="319"/>
      <c r="AE242" s="257"/>
      <c r="AF242" s="257"/>
      <c r="AG242" s="257"/>
      <c r="AH242" s="257"/>
      <c r="AI242" s="257"/>
      <c r="AJ242" s="257"/>
      <c r="AK242" s="319"/>
      <c r="AL242" s="319"/>
      <c r="AM242" s="108">
        <f>40000000+17000000+12920000</f>
        <v>69920000</v>
      </c>
      <c r="AN242" s="15"/>
      <c r="AO242" s="319"/>
      <c r="AP242" s="290"/>
      <c r="AQ242" s="290"/>
      <c r="AR242" s="27">
        <f t="shared" si="129"/>
        <v>69920000</v>
      </c>
    </row>
    <row r="243" spans="1:44" s="165" customFormat="1" ht="57" x14ac:dyDescent="0.25">
      <c r="A243" s="21"/>
      <c r="B243" s="21"/>
      <c r="C243" s="914"/>
      <c r="D243" s="1050"/>
      <c r="E243" s="926"/>
      <c r="F243" s="926"/>
      <c r="G243" s="926"/>
      <c r="H243" s="6">
        <v>46</v>
      </c>
      <c r="I243" s="762" t="s">
        <v>324</v>
      </c>
      <c r="J243" s="12">
        <v>0</v>
      </c>
      <c r="K243" s="12">
        <v>1</v>
      </c>
      <c r="L243" s="12">
        <v>1</v>
      </c>
      <c r="M243" s="994"/>
      <c r="N243" s="949"/>
      <c r="O243" s="1001"/>
      <c r="P243" s="6" t="s">
        <v>47</v>
      </c>
      <c r="Q243" s="319">
        <v>0</v>
      </c>
      <c r="R243" s="319">
        <v>0</v>
      </c>
      <c r="S243" s="319">
        <v>0</v>
      </c>
      <c r="T243" s="319">
        <v>0</v>
      </c>
      <c r="U243" s="319">
        <v>0</v>
      </c>
      <c r="V243" s="319">
        <v>0</v>
      </c>
      <c r="W243" s="319">
        <v>0</v>
      </c>
      <c r="X243" s="319"/>
      <c r="Y243" s="319"/>
      <c r="Z243" s="319"/>
      <c r="AA243" s="319">
        <v>0</v>
      </c>
      <c r="AB243" s="319"/>
      <c r="AC243" s="319">
        <v>0</v>
      </c>
      <c r="AD243" s="319">
        <v>0</v>
      </c>
      <c r="AE243" s="257"/>
      <c r="AF243" s="257"/>
      <c r="AG243" s="257"/>
      <c r="AH243" s="257"/>
      <c r="AI243" s="257"/>
      <c r="AJ243" s="257"/>
      <c r="AK243" s="319">
        <v>0</v>
      </c>
      <c r="AL243" s="319">
        <v>0</v>
      </c>
      <c r="AM243" s="108">
        <f>25000000+25000000+165000000</f>
        <v>215000000</v>
      </c>
      <c r="AN243" s="15"/>
      <c r="AO243" s="319">
        <v>0</v>
      </c>
      <c r="AP243" s="290">
        <v>0</v>
      </c>
      <c r="AQ243" s="290"/>
      <c r="AR243" s="27">
        <f t="shared" si="129"/>
        <v>215000000</v>
      </c>
    </row>
    <row r="244" spans="1:44" s="165" customFormat="1" ht="15" x14ac:dyDescent="0.25">
      <c r="A244" s="21"/>
      <c r="B244" s="21"/>
      <c r="C244" s="761"/>
      <c r="D244" s="762"/>
      <c r="E244" s="767"/>
      <c r="F244" s="767"/>
      <c r="G244" s="160"/>
      <c r="H244" s="161"/>
      <c r="I244" s="160"/>
      <c r="J244" s="256"/>
      <c r="K244" s="256"/>
      <c r="L244" s="256"/>
      <c r="M244" s="256"/>
      <c r="N244" s="163"/>
      <c r="O244" s="160"/>
      <c r="P244" s="161"/>
      <c r="Q244" s="164">
        <f t="shared" ref="Q244:AP244" si="156">SUM(Q240:Q243)</f>
        <v>0</v>
      </c>
      <c r="R244" s="164">
        <f t="shared" si="156"/>
        <v>0</v>
      </c>
      <c r="S244" s="164">
        <f t="shared" si="156"/>
        <v>0</v>
      </c>
      <c r="T244" s="164">
        <f t="shared" si="156"/>
        <v>0</v>
      </c>
      <c r="U244" s="164">
        <f t="shared" si="156"/>
        <v>0</v>
      </c>
      <c r="V244" s="164">
        <f t="shared" si="156"/>
        <v>0</v>
      </c>
      <c r="W244" s="164">
        <f t="shared" si="156"/>
        <v>0</v>
      </c>
      <c r="X244" s="164">
        <f t="shared" si="156"/>
        <v>0</v>
      </c>
      <c r="Y244" s="164">
        <f t="shared" si="156"/>
        <v>0</v>
      </c>
      <c r="Z244" s="164">
        <f t="shared" si="156"/>
        <v>0</v>
      </c>
      <c r="AA244" s="164">
        <f t="shared" si="156"/>
        <v>0</v>
      </c>
      <c r="AB244" s="164">
        <f t="shared" si="156"/>
        <v>0</v>
      </c>
      <c r="AC244" s="164">
        <f t="shared" si="156"/>
        <v>0</v>
      </c>
      <c r="AD244" s="164">
        <f t="shared" si="156"/>
        <v>0</v>
      </c>
      <c r="AE244" s="164">
        <f t="shared" si="156"/>
        <v>0</v>
      </c>
      <c r="AF244" s="164">
        <f t="shared" si="156"/>
        <v>0</v>
      </c>
      <c r="AG244" s="164">
        <f t="shared" si="156"/>
        <v>0</v>
      </c>
      <c r="AH244" s="164">
        <f t="shared" si="156"/>
        <v>0</v>
      </c>
      <c r="AI244" s="164">
        <f t="shared" si="156"/>
        <v>0</v>
      </c>
      <c r="AJ244" s="164">
        <f t="shared" si="156"/>
        <v>0</v>
      </c>
      <c r="AK244" s="164">
        <f t="shared" si="156"/>
        <v>0</v>
      </c>
      <c r="AL244" s="164">
        <f t="shared" si="156"/>
        <v>0</v>
      </c>
      <c r="AM244" s="164">
        <f t="shared" si="156"/>
        <v>415200000</v>
      </c>
      <c r="AN244" s="164">
        <f t="shared" si="156"/>
        <v>0</v>
      </c>
      <c r="AO244" s="164">
        <f t="shared" si="156"/>
        <v>0</v>
      </c>
      <c r="AP244" s="164">
        <f t="shared" si="156"/>
        <v>0</v>
      </c>
      <c r="AQ244" s="164">
        <f t="shared" ref="AQ244" si="157">SUM(AQ240:AQ243)</f>
        <v>0</v>
      </c>
      <c r="AR244" s="164">
        <f t="shared" si="129"/>
        <v>415200000</v>
      </c>
    </row>
    <row r="245" spans="1:44" s="339" customFormat="1" ht="15" x14ac:dyDescent="0.25">
      <c r="A245" s="21"/>
      <c r="B245" s="21"/>
      <c r="C245" s="760"/>
      <c r="D245" s="183"/>
      <c r="E245" s="760"/>
      <c r="F245" s="760"/>
      <c r="G245" s="183"/>
      <c r="H245" s="760"/>
      <c r="I245" s="183"/>
      <c r="J245" s="267"/>
      <c r="K245" s="267"/>
      <c r="L245" s="267"/>
      <c r="M245" s="267"/>
      <c r="N245" s="185"/>
      <c r="O245" s="183"/>
      <c r="P245" s="760"/>
      <c r="Q245" s="186"/>
      <c r="R245" s="186"/>
      <c r="S245" s="186"/>
      <c r="T245" s="186"/>
      <c r="U245" s="186"/>
      <c r="V245" s="186"/>
      <c r="W245" s="186"/>
      <c r="X245" s="186"/>
      <c r="Y245" s="186"/>
      <c r="Z245" s="186"/>
      <c r="AA245" s="186"/>
      <c r="AB245" s="186"/>
      <c r="AC245" s="186"/>
      <c r="AD245" s="186"/>
      <c r="AE245" s="186"/>
      <c r="AF245" s="186"/>
      <c r="AG245" s="186"/>
      <c r="AH245" s="186"/>
      <c r="AI245" s="186"/>
      <c r="AJ245" s="186"/>
      <c r="AK245" s="186"/>
      <c r="AL245" s="186"/>
      <c r="AM245" s="188"/>
      <c r="AN245" s="189"/>
      <c r="AO245" s="186"/>
      <c r="AP245" s="186"/>
      <c r="AQ245" s="186"/>
      <c r="AR245" s="205">
        <f t="shared" si="129"/>
        <v>0</v>
      </c>
    </row>
    <row r="246" spans="1:44" s="165" customFormat="1" ht="15" x14ac:dyDescent="0.25">
      <c r="A246" s="21"/>
      <c r="B246" s="21"/>
      <c r="C246" s="717"/>
      <c r="D246" s="731"/>
      <c r="E246" s="723"/>
      <c r="F246" s="723"/>
      <c r="G246" s="340">
        <v>10</v>
      </c>
      <c r="H246" s="278" t="s">
        <v>325</v>
      </c>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c r="AK246" s="194"/>
      <c r="AL246" s="194"/>
      <c r="AM246" s="196"/>
      <c r="AN246" s="194"/>
      <c r="AO246" s="194"/>
      <c r="AP246" s="194"/>
      <c r="AQ246" s="194"/>
      <c r="AR246" s="197"/>
    </row>
    <row r="247" spans="1:44" s="29" customFormat="1" ht="79.5" customHeight="1" x14ac:dyDescent="0.25">
      <c r="A247" s="21"/>
      <c r="B247" s="21"/>
      <c r="C247" s="774">
        <v>5</v>
      </c>
      <c r="D247" s="729" t="s">
        <v>326</v>
      </c>
      <c r="E247" s="718" t="s">
        <v>327</v>
      </c>
      <c r="F247" s="718" t="s">
        <v>328</v>
      </c>
      <c r="G247" s="30"/>
      <c r="H247" s="767">
        <v>47</v>
      </c>
      <c r="I247" s="762" t="s">
        <v>329</v>
      </c>
      <c r="J247" s="12">
        <v>0</v>
      </c>
      <c r="K247" s="12">
        <v>24</v>
      </c>
      <c r="L247" s="757">
        <v>20</v>
      </c>
      <c r="M247" s="1048" t="s">
        <v>303</v>
      </c>
      <c r="N247" s="948" t="s">
        <v>330</v>
      </c>
      <c r="O247" s="941" t="s">
        <v>331</v>
      </c>
      <c r="P247" s="767" t="s">
        <v>42</v>
      </c>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108">
        <f>78750000+5625000+83920000+20000000</f>
        <v>188295000</v>
      </c>
      <c r="AN247" s="15"/>
      <c r="AO247" s="27"/>
      <c r="AP247" s="28"/>
      <c r="AQ247" s="28"/>
      <c r="AR247" s="27">
        <f t="shared" si="129"/>
        <v>188295000</v>
      </c>
    </row>
    <row r="248" spans="1:44" s="29" customFormat="1" ht="57" customHeight="1" x14ac:dyDescent="0.25">
      <c r="A248" s="21"/>
      <c r="B248" s="21"/>
      <c r="C248" s="716">
        <v>6</v>
      </c>
      <c r="D248" s="30" t="s">
        <v>319</v>
      </c>
      <c r="E248" s="719" t="s">
        <v>307</v>
      </c>
      <c r="F248" s="719" t="s">
        <v>308</v>
      </c>
      <c r="G248" s="30"/>
      <c r="H248" s="767">
        <v>48</v>
      </c>
      <c r="I248" s="762" t="s">
        <v>332</v>
      </c>
      <c r="J248" s="12">
        <v>0</v>
      </c>
      <c r="K248" s="12">
        <v>1</v>
      </c>
      <c r="L248" s="12">
        <v>0.5</v>
      </c>
      <c r="M248" s="1100"/>
      <c r="N248" s="959"/>
      <c r="O248" s="942"/>
      <c r="P248" s="767" t="s">
        <v>47</v>
      </c>
      <c r="Q248" s="27">
        <v>0</v>
      </c>
      <c r="R248" s="27">
        <v>0</v>
      </c>
      <c r="S248" s="27">
        <v>0</v>
      </c>
      <c r="T248" s="27">
        <v>0</v>
      </c>
      <c r="U248" s="27">
        <v>0</v>
      </c>
      <c r="V248" s="27">
        <v>0</v>
      </c>
      <c r="W248" s="27">
        <v>0</v>
      </c>
      <c r="X248" s="27"/>
      <c r="Y248" s="27"/>
      <c r="Z248" s="27"/>
      <c r="AA248" s="27">
        <v>0</v>
      </c>
      <c r="AB248" s="27"/>
      <c r="AC248" s="27">
        <v>0</v>
      </c>
      <c r="AD248" s="27">
        <v>0</v>
      </c>
      <c r="AE248" s="27"/>
      <c r="AF248" s="27"/>
      <c r="AG248" s="27"/>
      <c r="AH248" s="27"/>
      <c r="AI248" s="27"/>
      <c r="AJ248" s="27"/>
      <c r="AK248" s="27">
        <v>0</v>
      </c>
      <c r="AL248" s="27">
        <v>0</v>
      </c>
      <c r="AM248" s="108">
        <f>205625000-5625000</f>
        <v>200000000</v>
      </c>
      <c r="AN248" s="15"/>
      <c r="AO248" s="27">
        <v>0</v>
      </c>
      <c r="AP248" s="28">
        <v>0</v>
      </c>
      <c r="AQ248" s="28"/>
      <c r="AR248" s="27">
        <f t="shared" si="129"/>
        <v>200000000</v>
      </c>
    </row>
    <row r="249" spans="1:44" s="29" customFormat="1" ht="72" thickBot="1" x14ac:dyDescent="0.3">
      <c r="A249" s="21"/>
      <c r="B249" s="21"/>
      <c r="C249" s="717">
        <v>7</v>
      </c>
      <c r="D249" s="731" t="s">
        <v>321</v>
      </c>
      <c r="E249" s="75">
        <v>31.7</v>
      </c>
      <c r="F249" s="723" t="s">
        <v>333</v>
      </c>
      <c r="G249" s="32"/>
      <c r="H249" s="767">
        <v>49</v>
      </c>
      <c r="I249" s="762" t="s">
        <v>334</v>
      </c>
      <c r="J249" s="12">
        <v>0</v>
      </c>
      <c r="K249" s="12">
        <v>1</v>
      </c>
      <c r="L249" s="759">
        <v>0</v>
      </c>
      <c r="M249" s="1049"/>
      <c r="N249" s="949"/>
      <c r="O249" s="1099"/>
      <c r="P249" s="767" t="s">
        <v>47</v>
      </c>
      <c r="Q249" s="27">
        <v>0</v>
      </c>
      <c r="R249" s="27">
        <v>0</v>
      </c>
      <c r="S249" s="27">
        <v>0</v>
      </c>
      <c r="T249" s="27">
        <v>0</v>
      </c>
      <c r="U249" s="27">
        <v>0</v>
      </c>
      <c r="V249" s="27">
        <v>0</v>
      </c>
      <c r="W249" s="27">
        <v>0</v>
      </c>
      <c r="X249" s="27"/>
      <c r="Y249" s="27"/>
      <c r="Z249" s="27"/>
      <c r="AA249" s="27">
        <v>0</v>
      </c>
      <c r="AB249" s="27"/>
      <c r="AC249" s="27">
        <v>0</v>
      </c>
      <c r="AD249" s="27">
        <v>0</v>
      </c>
      <c r="AE249" s="27"/>
      <c r="AF249" s="27"/>
      <c r="AG249" s="27"/>
      <c r="AH249" s="27"/>
      <c r="AI249" s="27"/>
      <c r="AJ249" s="27"/>
      <c r="AK249" s="27">
        <v>0</v>
      </c>
      <c r="AL249" s="27">
        <v>0</v>
      </c>
      <c r="AM249" s="108">
        <f>5625000+20000000+30000000-20000000</f>
        <v>35625000</v>
      </c>
      <c r="AN249" s="15"/>
      <c r="AO249" s="27">
        <v>0</v>
      </c>
      <c r="AP249" s="28">
        <v>0</v>
      </c>
      <c r="AQ249" s="28"/>
      <c r="AR249" s="27">
        <f t="shared" si="129"/>
        <v>35625000</v>
      </c>
    </row>
    <row r="250" spans="1:44" s="165" customFormat="1" thickTop="1" x14ac:dyDescent="0.25">
      <c r="A250" s="21"/>
      <c r="B250" s="158"/>
      <c r="C250" s="761"/>
      <c r="D250" s="762"/>
      <c r="E250" s="767"/>
      <c r="F250" s="767"/>
      <c r="G250" s="160"/>
      <c r="H250" s="161"/>
      <c r="I250" s="160"/>
      <c r="J250" s="256"/>
      <c r="K250" s="256"/>
      <c r="L250" s="256"/>
      <c r="M250" s="256"/>
      <c r="N250" s="163"/>
      <c r="O250" s="160"/>
      <c r="P250" s="161"/>
      <c r="Q250" s="164">
        <f>SUM(Q247:Q249)</f>
        <v>0</v>
      </c>
      <c r="R250" s="164">
        <f t="shared" ref="R250:AL250" si="158">SUM(R247:R249)</f>
        <v>0</v>
      </c>
      <c r="S250" s="164">
        <f t="shared" si="158"/>
        <v>0</v>
      </c>
      <c r="T250" s="164">
        <f t="shared" si="158"/>
        <v>0</v>
      </c>
      <c r="U250" s="164">
        <f t="shared" si="158"/>
        <v>0</v>
      </c>
      <c r="V250" s="164">
        <f t="shared" si="158"/>
        <v>0</v>
      </c>
      <c r="W250" s="164">
        <f t="shared" si="158"/>
        <v>0</v>
      </c>
      <c r="X250" s="164">
        <f t="shared" si="158"/>
        <v>0</v>
      </c>
      <c r="Y250" s="164">
        <f t="shared" si="158"/>
        <v>0</v>
      </c>
      <c r="Z250" s="164">
        <f t="shared" si="158"/>
        <v>0</v>
      </c>
      <c r="AA250" s="164">
        <f t="shared" si="158"/>
        <v>0</v>
      </c>
      <c r="AB250" s="164">
        <f t="shared" si="158"/>
        <v>0</v>
      </c>
      <c r="AC250" s="164">
        <f t="shared" si="158"/>
        <v>0</v>
      </c>
      <c r="AD250" s="164">
        <f t="shared" si="158"/>
        <v>0</v>
      </c>
      <c r="AE250" s="164">
        <f t="shared" si="158"/>
        <v>0</v>
      </c>
      <c r="AF250" s="164">
        <f t="shared" si="158"/>
        <v>0</v>
      </c>
      <c r="AG250" s="164">
        <f t="shared" si="158"/>
        <v>0</v>
      </c>
      <c r="AH250" s="164">
        <f t="shared" si="158"/>
        <v>0</v>
      </c>
      <c r="AI250" s="164">
        <f t="shared" si="158"/>
        <v>0</v>
      </c>
      <c r="AJ250" s="164">
        <f t="shared" si="158"/>
        <v>0</v>
      </c>
      <c r="AK250" s="164">
        <f t="shared" si="158"/>
        <v>0</v>
      </c>
      <c r="AL250" s="164">
        <f t="shared" si="158"/>
        <v>0</v>
      </c>
      <c r="AM250" s="164">
        <f t="shared" ref="AM250:AP250" si="159">SUM(AM247:AM249)</f>
        <v>423920000</v>
      </c>
      <c r="AN250" s="164">
        <f t="shared" si="159"/>
        <v>0</v>
      </c>
      <c r="AO250" s="164">
        <f t="shared" si="159"/>
        <v>0</v>
      </c>
      <c r="AP250" s="164">
        <f t="shared" si="159"/>
        <v>0</v>
      </c>
      <c r="AQ250" s="164">
        <f t="shared" ref="AQ250" si="160">SUM(AQ247:AQ249)</f>
        <v>0</v>
      </c>
      <c r="AR250" s="164">
        <f t="shared" si="129"/>
        <v>423920000</v>
      </c>
    </row>
    <row r="251" spans="1:44" s="165" customFormat="1" ht="15" x14ac:dyDescent="0.25">
      <c r="A251" s="21"/>
      <c r="B251" s="227"/>
      <c r="C251" s="168"/>
      <c r="D251" s="167"/>
      <c r="E251" s="168"/>
      <c r="F251" s="168"/>
      <c r="G251" s="167"/>
      <c r="H251" s="168"/>
      <c r="I251" s="167"/>
      <c r="J251" s="264"/>
      <c r="K251" s="264"/>
      <c r="L251" s="264"/>
      <c r="M251" s="264"/>
      <c r="N251" s="170"/>
      <c r="O251" s="167"/>
      <c r="P251" s="168"/>
      <c r="Q251" s="171">
        <f t="shared" ref="Q251:AL251" si="161">Q250+Q244+Q237</f>
        <v>0</v>
      </c>
      <c r="R251" s="171">
        <f t="shared" si="161"/>
        <v>0</v>
      </c>
      <c r="S251" s="171">
        <f t="shared" si="161"/>
        <v>0</v>
      </c>
      <c r="T251" s="171">
        <f t="shared" si="161"/>
        <v>0</v>
      </c>
      <c r="U251" s="171">
        <f t="shared" si="161"/>
        <v>0</v>
      </c>
      <c r="V251" s="171">
        <f t="shared" si="161"/>
        <v>0</v>
      </c>
      <c r="W251" s="171">
        <f t="shared" si="161"/>
        <v>0</v>
      </c>
      <c r="X251" s="171">
        <f t="shared" si="161"/>
        <v>0</v>
      </c>
      <c r="Y251" s="171">
        <f t="shared" si="161"/>
        <v>0</v>
      </c>
      <c r="Z251" s="171">
        <f t="shared" si="161"/>
        <v>0</v>
      </c>
      <c r="AA251" s="171">
        <f t="shared" si="161"/>
        <v>0</v>
      </c>
      <c r="AB251" s="171">
        <f t="shared" si="161"/>
        <v>0</v>
      </c>
      <c r="AC251" s="171">
        <f t="shared" si="161"/>
        <v>0</v>
      </c>
      <c r="AD251" s="171">
        <f t="shared" si="161"/>
        <v>0</v>
      </c>
      <c r="AE251" s="171">
        <f t="shared" si="161"/>
        <v>0</v>
      </c>
      <c r="AF251" s="171">
        <f t="shared" si="161"/>
        <v>0</v>
      </c>
      <c r="AG251" s="171">
        <f t="shared" si="161"/>
        <v>0</v>
      </c>
      <c r="AH251" s="171">
        <f t="shared" si="161"/>
        <v>0</v>
      </c>
      <c r="AI251" s="171">
        <f t="shared" si="161"/>
        <v>0</v>
      </c>
      <c r="AJ251" s="171">
        <f t="shared" si="161"/>
        <v>0</v>
      </c>
      <c r="AK251" s="171">
        <f t="shared" si="161"/>
        <v>0</v>
      </c>
      <c r="AL251" s="171">
        <f t="shared" si="161"/>
        <v>0</v>
      </c>
      <c r="AM251" s="171">
        <f t="shared" ref="AM251:AP251" si="162">AM250+AM244+AM237</f>
        <v>1048580000</v>
      </c>
      <c r="AN251" s="171">
        <f t="shared" si="162"/>
        <v>0</v>
      </c>
      <c r="AO251" s="171">
        <f t="shared" si="162"/>
        <v>0</v>
      </c>
      <c r="AP251" s="171">
        <f t="shared" si="162"/>
        <v>0</v>
      </c>
      <c r="AQ251" s="171">
        <f t="shared" ref="AQ251" si="163">AQ250+AQ244+AQ237</f>
        <v>0</v>
      </c>
      <c r="AR251" s="171">
        <f t="shared" si="129"/>
        <v>1048580000</v>
      </c>
    </row>
    <row r="252" spans="1:44" s="29" customFormat="1" ht="15" x14ac:dyDescent="0.25">
      <c r="A252" s="21"/>
      <c r="B252" s="37"/>
      <c r="C252" s="767"/>
      <c r="D252" s="762"/>
      <c r="E252" s="767"/>
      <c r="F252" s="767"/>
      <c r="G252" s="762"/>
      <c r="H252" s="767"/>
      <c r="I252" s="762"/>
      <c r="J252" s="12"/>
      <c r="K252" s="12"/>
      <c r="L252" s="12"/>
      <c r="M252" s="12"/>
      <c r="N252" s="39"/>
      <c r="O252" s="762"/>
      <c r="P252" s="76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108"/>
      <c r="AN252" s="27"/>
      <c r="AO252" s="27"/>
      <c r="AP252" s="28"/>
      <c r="AQ252" s="28"/>
      <c r="AR252" s="27">
        <f t="shared" si="129"/>
        <v>0</v>
      </c>
    </row>
    <row r="253" spans="1:44" s="29" customFormat="1" x14ac:dyDescent="0.25">
      <c r="A253" s="21"/>
      <c r="B253" s="243">
        <v>3</v>
      </c>
      <c r="C253" s="150" t="s">
        <v>335</v>
      </c>
      <c r="D253" s="149"/>
      <c r="E253" s="149"/>
      <c r="F253" s="149"/>
      <c r="G253" s="149"/>
      <c r="H253" s="150"/>
      <c r="I253" s="149"/>
      <c r="J253" s="149"/>
      <c r="K253" s="149"/>
      <c r="L253" s="149"/>
      <c r="M253" s="149"/>
      <c r="N253" s="151"/>
      <c r="O253" s="149"/>
      <c r="P253" s="149"/>
      <c r="Q253" s="149"/>
      <c r="R253" s="149"/>
      <c r="S253" s="149"/>
      <c r="T253" s="149"/>
      <c r="U253" s="149"/>
      <c r="V253" s="149"/>
      <c r="W253" s="149"/>
      <c r="X253" s="149"/>
      <c r="Y253" s="149"/>
      <c r="Z253" s="149"/>
      <c r="AA253" s="149"/>
      <c r="AB253" s="149"/>
      <c r="AC253" s="149"/>
      <c r="AD253" s="149"/>
      <c r="AE253" s="149"/>
      <c r="AF253" s="149"/>
      <c r="AG253" s="149"/>
      <c r="AH253" s="149"/>
      <c r="AI253" s="149"/>
      <c r="AJ253" s="149"/>
      <c r="AK253" s="149"/>
      <c r="AL253" s="149"/>
      <c r="AM253" s="152"/>
      <c r="AN253" s="149"/>
      <c r="AO253" s="149"/>
      <c r="AP253" s="149"/>
      <c r="AQ253" s="149"/>
      <c r="AR253" s="153"/>
    </row>
    <row r="254" spans="1:44" s="29" customFormat="1" ht="15" x14ac:dyDescent="0.25">
      <c r="A254" s="21"/>
      <c r="B254" s="24" t="s">
        <v>0</v>
      </c>
      <c r="C254" s="244"/>
      <c r="D254" s="341"/>
      <c r="E254" s="341"/>
      <c r="F254" s="341"/>
      <c r="G254" s="326">
        <v>11</v>
      </c>
      <c r="H254" s="236" t="s">
        <v>336</v>
      </c>
      <c r="I254" s="236"/>
      <c r="J254" s="236"/>
      <c r="K254" s="236"/>
      <c r="L254" s="236"/>
      <c r="M254" s="236"/>
      <c r="N254" s="236"/>
      <c r="O254" s="236"/>
      <c r="P254" s="236"/>
      <c r="Q254" s="236"/>
      <c r="R254" s="236"/>
      <c r="S254" s="236"/>
      <c r="T254" s="236"/>
      <c r="U254" s="236"/>
      <c r="V254" s="236"/>
      <c r="W254" s="236"/>
      <c r="X254" s="236"/>
      <c r="Y254" s="236"/>
      <c r="Z254" s="236"/>
      <c r="AA254" s="236"/>
      <c r="AB254" s="236"/>
      <c r="AC254" s="236"/>
      <c r="AD254" s="236"/>
      <c r="AE254" s="236"/>
      <c r="AF254" s="236"/>
      <c r="AG254" s="236"/>
      <c r="AH254" s="236"/>
      <c r="AI254" s="236"/>
      <c r="AJ254" s="236"/>
      <c r="AK254" s="236"/>
      <c r="AL254" s="236"/>
      <c r="AM254" s="238"/>
      <c r="AN254" s="236"/>
      <c r="AO254" s="236"/>
      <c r="AP254" s="236"/>
      <c r="AQ254" s="236"/>
      <c r="AR254" s="239"/>
    </row>
    <row r="255" spans="1:44" s="29" customFormat="1" ht="72" customHeight="1" x14ac:dyDescent="0.25">
      <c r="A255" s="21"/>
      <c r="B255" s="30"/>
      <c r="C255" s="761" t="s">
        <v>337</v>
      </c>
      <c r="D255" s="762" t="s">
        <v>338</v>
      </c>
      <c r="E255" s="767" t="s">
        <v>339</v>
      </c>
      <c r="F255" s="767" t="s">
        <v>340</v>
      </c>
      <c r="G255" s="723"/>
      <c r="H255" s="767">
        <v>50</v>
      </c>
      <c r="I255" s="762" t="s">
        <v>341</v>
      </c>
      <c r="J255" s="12" t="s">
        <v>38</v>
      </c>
      <c r="K255" s="757">
        <v>5</v>
      </c>
      <c r="L255" s="12">
        <v>3</v>
      </c>
      <c r="M255" s="924" t="s">
        <v>303</v>
      </c>
      <c r="N255" s="948" t="s">
        <v>342</v>
      </c>
      <c r="O255" s="941" t="s">
        <v>343</v>
      </c>
      <c r="P255" s="767" t="s">
        <v>42</v>
      </c>
      <c r="Q255" s="27">
        <v>0</v>
      </c>
      <c r="R255" s="27">
        <v>0</v>
      </c>
      <c r="S255" s="27">
        <v>0</v>
      </c>
      <c r="T255" s="27">
        <v>0</v>
      </c>
      <c r="U255" s="27">
        <v>0</v>
      </c>
      <c r="V255" s="27">
        <v>0</v>
      </c>
      <c r="W255" s="27">
        <v>0</v>
      </c>
      <c r="X255" s="27"/>
      <c r="Y255" s="27"/>
      <c r="Z255" s="27"/>
      <c r="AA255" s="27">
        <v>0</v>
      </c>
      <c r="AB255" s="27"/>
      <c r="AC255" s="27">
        <v>0</v>
      </c>
      <c r="AD255" s="27">
        <v>0</v>
      </c>
      <c r="AE255" s="27"/>
      <c r="AF255" s="27"/>
      <c r="AG255" s="27"/>
      <c r="AH255" s="27"/>
      <c r="AI255" s="27"/>
      <c r="AJ255" s="27"/>
      <c r="AK255" s="27">
        <v>0</v>
      </c>
      <c r="AL255" s="27">
        <v>0</v>
      </c>
      <c r="AM255" s="108">
        <f>90000000-30000000+148240000+40840000</f>
        <v>249080000</v>
      </c>
      <c r="AN255" s="15"/>
      <c r="AO255" s="27">
        <v>0</v>
      </c>
      <c r="AP255" s="28">
        <v>0</v>
      </c>
      <c r="AQ255" s="28"/>
      <c r="AR255" s="27">
        <f t="shared" si="129"/>
        <v>249080000</v>
      </c>
    </row>
    <row r="256" spans="1:44" s="29" customFormat="1" ht="49.5" customHeight="1" x14ac:dyDescent="0.25">
      <c r="A256" s="21"/>
      <c r="B256" s="30"/>
      <c r="C256" s="761"/>
      <c r="D256" s="762"/>
      <c r="E256" s="767"/>
      <c r="F256" s="767"/>
      <c r="G256" s="723"/>
      <c r="H256" s="761">
        <v>51</v>
      </c>
      <c r="I256" s="762" t="s">
        <v>344</v>
      </c>
      <c r="J256" s="12">
        <v>0</v>
      </c>
      <c r="K256" s="12">
        <v>1</v>
      </c>
      <c r="L256" s="12">
        <v>0.5</v>
      </c>
      <c r="M256" s="926"/>
      <c r="N256" s="949"/>
      <c r="O256" s="943"/>
      <c r="P256" s="767" t="s">
        <v>47</v>
      </c>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108">
        <f>60000000+30000000-40840000</f>
        <v>49160000</v>
      </c>
      <c r="AN256" s="15"/>
      <c r="AO256" s="27"/>
      <c r="AP256" s="28"/>
      <c r="AQ256" s="28"/>
      <c r="AR256" s="27">
        <f t="shared" si="129"/>
        <v>49160000</v>
      </c>
    </row>
    <row r="257" spans="1:44" s="165" customFormat="1" ht="15" x14ac:dyDescent="0.25">
      <c r="A257" s="21"/>
      <c r="B257" s="30"/>
      <c r="C257" s="761"/>
      <c r="D257" s="762"/>
      <c r="E257" s="767"/>
      <c r="F257" s="767"/>
      <c r="G257" s="160"/>
      <c r="H257" s="161"/>
      <c r="I257" s="160"/>
      <c r="J257" s="256"/>
      <c r="K257" s="256"/>
      <c r="L257" s="256"/>
      <c r="M257" s="256"/>
      <c r="N257" s="163"/>
      <c r="O257" s="160"/>
      <c r="P257" s="161"/>
      <c r="Q257" s="164">
        <f t="shared" ref="Q257:AP257" si="164">SUM(Q255:Q256)</f>
        <v>0</v>
      </c>
      <c r="R257" s="164">
        <f t="shared" si="164"/>
        <v>0</v>
      </c>
      <c r="S257" s="164">
        <f t="shared" si="164"/>
        <v>0</v>
      </c>
      <c r="T257" s="164">
        <f t="shared" si="164"/>
        <v>0</v>
      </c>
      <c r="U257" s="164">
        <f t="shared" si="164"/>
        <v>0</v>
      </c>
      <c r="V257" s="164">
        <f t="shared" si="164"/>
        <v>0</v>
      </c>
      <c r="W257" s="164">
        <f t="shared" si="164"/>
        <v>0</v>
      </c>
      <c r="X257" s="164">
        <f t="shared" si="164"/>
        <v>0</v>
      </c>
      <c r="Y257" s="164">
        <f t="shared" si="164"/>
        <v>0</v>
      </c>
      <c r="Z257" s="164">
        <f t="shared" si="164"/>
        <v>0</v>
      </c>
      <c r="AA257" s="164">
        <f t="shared" si="164"/>
        <v>0</v>
      </c>
      <c r="AB257" s="164">
        <f t="shared" si="164"/>
        <v>0</v>
      </c>
      <c r="AC257" s="164">
        <f t="shared" si="164"/>
        <v>0</v>
      </c>
      <c r="AD257" s="164">
        <f t="shared" si="164"/>
        <v>0</v>
      </c>
      <c r="AE257" s="164">
        <f t="shared" si="164"/>
        <v>0</v>
      </c>
      <c r="AF257" s="164">
        <f t="shared" si="164"/>
        <v>0</v>
      </c>
      <c r="AG257" s="164">
        <f t="shared" si="164"/>
        <v>0</v>
      </c>
      <c r="AH257" s="164">
        <f t="shared" si="164"/>
        <v>0</v>
      </c>
      <c r="AI257" s="164">
        <f t="shared" si="164"/>
        <v>0</v>
      </c>
      <c r="AJ257" s="164">
        <f t="shared" si="164"/>
        <v>0</v>
      </c>
      <c r="AK257" s="164">
        <f t="shared" si="164"/>
        <v>0</v>
      </c>
      <c r="AL257" s="164">
        <f t="shared" si="164"/>
        <v>0</v>
      </c>
      <c r="AM257" s="164">
        <f t="shared" si="164"/>
        <v>298240000</v>
      </c>
      <c r="AN257" s="164">
        <f t="shared" si="164"/>
        <v>0</v>
      </c>
      <c r="AO257" s="164">
        <f t="shared" si="164"/>
        <v>0</v>
      </c>
      <c r="AP257" s="164">
        <f t="shared" si="164"/>
        <v>0</v>
      </c>
      <c r="AQ257" s="164">
        <f>SUM(AQ255:AQ256)</f>
        <v>0</v>
      </c>
      <c r="AR257" s="164">
        <f t="shared" si="129"/>
        <v>298240000</v>
      </c>
    </row>
    <row r="258" spans="1:44" s="29" customFormat="1" ht="15" x14ac:dyDescent="0.25">
      <c r="A258" s="21"/>
      <c r="B258" s="30"/>
      <c r="C258" s="760"/>
      <c r="D258" s="183"/>
      <c r="E258" s="760"/>
      <c r="F258" s="760"/>
      <c r="G258" s="183"/>
      <c r="H258" s="760"/>
      <c r="I258" s="183"/>
      <c r="J258" s="267"/>
      <c r="K258" s="267"/>
      <c r="L258" s="267"/>
      <c r="M258" s="267"/>
      <c r="N258" s="185"/>
      <c r="O258" s="183"/>
      <c r="P258" s="760"/>
      <c r="Q258" s="186"/>
      <c r="R258" s="186"/>
      <c r="S258" s="186"/>
      <c r="T258" s="186"/>
      <c r="U258" s="186"/>
      <c r="V258" s="186"/>
      <c r="W258" s="186"/>
      <c r="X258" s="186"/>
      <c r="Y258" s="186"/>
      <c r="Z258" s="186"/>
      <c r="AA258" s="186"/>
      <c r="AB258" s="186"/>
      <c r="AC258" s="186"/>
      <c r="AD258" s="186"/>
      <c r="AE258" s="186"/>
      <c r="AF258" s="186"/>
      <c r="AG258" s="186"/>
      <c r="AH258" s="186"/>
      <c r="AI258" s="186"/>
      <c r="AJ258" s="186"/>
      <c r="AK258" s="186"/>
      <c r="AL258" s="186"/>
      <c r="AM258" s="287"/>
      <c r="AN258" s="288"/>
      <c r="AO258" s="186"/>
      <c r="AP258" s="186"/>
      <c r="AQ258" s="186"/>
      <c r="AR258" s="205">
        <f t="shared" si="129"/>
        <v>0</v>
      </c>
    </row>
    <row r="259" spans="1:44" s="165" customFormat="1" ht="15" x14ac:dyDescent="0.25">
      <c r="A259" s="21"/>
      <c r="B259" s="30"/>
      <c r="C259" s="761"/>
      <c r="D259" s="762"/>
      <c r="E259" s="767"/>
      <c r="F259" s="767"/>
      <c r="G259" s="261">
        <v>12</v>
      </c>
      <c r="H259" s="278" t="s">
        <v>345</v>
      </c>
      <c r="I259" s="194"/>
      <c r="J259" s="194"/>
      <c r="K259" s="194"/>
      <c r="L259" s="194"/>
      <c r="M259" s="194"/>
      <c r="N259" s="194"/>
      <c r="O259" s="194"/>
      <c r="P259" s="194"/>
      <c r="Q259" s="194"/>
      <c r="R259" s="194"/>
      <c r="S259" s="342"/>
      <c r="T259" s="342"/>
      <c r="U259" s="342"/>
      <c r="V259" s="342"/>
      <c r="W259" s="342"/>
      <c r="X259" s="342"/>
      <c r="Y259" s="342"/>
      <c r="Z259" s="342"/>
      <c r="AA259" s="342"/>
      <c r="AB259" s="342"/>
      <c r="AC259" s="342"/>
      <c r="AD259" s="342"/>
      <c r="AE259" s="342"/>
      <c r="AF259" s="342"/>
      <c r="AG259" s="342"/>
      <c r="AH259" s="342"/>
      <c r="AI259" s="342"/>
      <c r="AJ259" s="342"/>
      <c r="AK259" s="342"/>
      <c r="AL259" s="342"/>
      <c r="AM259" s="196"/>
      <c r="AN259" s="342"/>
      <c r="AO259" s="342"/>
      <c r="AP259" s="342"/>
      <c r="AQ259" s="342"/>
      <c r="AR259" s="865"/>
    </row>
    <row r="260" spans="1:44" s="165" customFormat="1" ht="75.75" customHeight="1" x14ac:dyDescent="0.25">
      <c r="A260" s="21"/>
      <c r="B260" s="30"/>
      <c r="C260" s="761" t="s">
        <v>337</v>
      </c>
      <c r="D260" s="762" t="s">
        <v>338</v>
      </c>
      <c r="E260" s="767" t="s">
        <v>339</v>
      </c>
      <c r="F260" s="767" t="s">
        <v>340</v>
      </c>
      <c r="G260" s="718"/>
      <c r="H260" s="6">
        <v>52</v>
      </c>
      <c r="I260" s="159" t="s">
        <v>346</v>
      </c>
      <c r="J260" s="12">
        <v>0</v>
      </c>
      <c r="K260" s="12">
        <v>3</v>
      </c>
      <c r="L260" s="12">
        <v>3</v>
      </c>
      <c r="M260" s="343" t="s">
        <v>303</v>
      </c>
      <c r="N260" s="39" t="s">
        <v>347</v>
      </c>
      <c r="O260" s="762" t="s">
        <v>348</v>
      </c>
      <c r="P260" s="767" t="s">
        <v>47</v>
      </c>
      <c r="Q260" s="27">
        <v>0</v>
      </c>
      <c r="R260" s="27">
        <v>0</v>
      </c>
      <c r="S260" s="27">
        <v>0</v>
      </c>
      <c r="T260" s="27">
        <v>0</v>
      </c>
      <c r="U260" s="27">
        <v>0</v>
      </c>
      <c r="V260" s="27">
        <v>0</v>
      </c>
      <c r="W260" s="27">
        <v>0</v>
      </c>
      <c r="X260" s="27"/>
      <c r="Y260" s="27"/>
      <c r="Z260" s="27"/>
      <c r="AA260" s="27">
        <v>0</v>
      </c>
      <c r="AB260" s="27"/>
      <c r="AC260" s="27">
        <v>0</v>
      </c>
      <c r="AD260" s="27">
        <v>0</v>
      </c>
      <c r="AE260" s="257"/>
      <c r="AF260" s="257"/>
      <c r="AG260" s="257"/>
      <c r="AH260" s="257"/>
      <c r="AI260" s="257"/>
      <c r="AJ260" s="257"/>
      <c r="AK260" s="27">
        <v>0</v>
      </c>
      <c r="AL260" s="27">
        <v>0</v>
      </c>
      <c r="AM260" s="108">
        <f>90000000+155080000</f>
        <v>245080000</v>
      </c>
      <c r="AN260" s="15"/>
      <c r="AO260" s="27"/>
      <c r="AP260" s="28">
        <v>0</v>
      </c>
      <c r="AQ260" s="28"/>
      <c r="AR260" s="27">
        <f t="shared" si="129"/>
        <v>245080000</v>
      </c>
    </row>
    <row r="261" spans="1:44" s="344" customFormat="1" ht="20.25" x14ac:dyDescent="0.25">
      <c r="A261" s="21"/>
      <c r="B261" s="30"/>
      <c r="C261" s="761"/>
      <c r="D261" s="762"/>
      <c r="E261" s="767"/>
      <c r="F261" s="767"/>
      <c r="G261" s="160"/>
      <c r="H261" s="161"/>
      <c r="I261" s="160"/>
      <c r="J261" s="256"/>
      <c r="K261" s="256"/>
      <c r="L261" s="256"/>
      <c r="M261" s="256"/>
      <c r="N261" s="163"/>
      <c r="O261" s="160"/>
      <c r="P261" s="161"/>
      <c r="Q261" s="164">
        <f t="shared" ref="Q261:AP261" si="165">SUM(Q260:Q260)</f>
        <v>0</v>
      </c>
      <c r="R261" s="164">
        <f t="shared" si="165"/>
        <v>0</v>
      </c>
      <c r="S261" s="164">
        <f t="shared" si="165"/>
        <v>0</v>
      </c>
      <c r="T261" s="164">
        <f t="shared" si="165"/>
        <v>0</v>
      </c>
      <c r="U261" s="164">
        <f t="shared" si="165"/>
        <v>0</v>
      </c>
      <c r="V261" s="164">
        <f t="shared" si="165"/>
        <v>0</v>
      </c>
      <c r="W261" s="164">
        <f t="shared" si="165"/>
        <v>0</v>
      </c>
      <c r="X261" s="164">
        <f t="shared" si="165"/>
        <v>0</v>
      </c>
      <c r="Y261" s="164">
        <f t="shared" si="165"/>
        <v>0</v>
      </c>
      <c r="Z261" s="164">
        <f t="shared" si="165"/>
        <v>0</v>
      </c>
      <c r="AA261" s="164">
        <f t="shared" si="165"/>
        <v>0</v>
      </c>
      <c r="AB261" s="164">
        <f t="shared" si="165"/>
        <v>0</v>
      </c>
      <c r="AC261" s="164">
        <f t="shared" si="165"/>
        <v>0</v>
      </c>
      <c r="AD261" s="164">
        <f t="shared" si="165"/>
        <v>0</v>
      </c>
      <c r="AE261" s="164">
        <f t="shared" si="165"/>
        <v>0</v>
      </c>
      <c r="AF261" s="164">
        <f t="shared" si="165"/>
        <v>0</v>
      </c>
      <c r="AG261" s="164">
        <f t="shared" si="165"/>
        <v>0</v>
      </c>
      <c r="AH261" s="164">
        <f t="shared" si="165"/>
        <v>0</v>
      </c>
      <c r="AI261" s="164">
        <f t="shared" si="165"/>
        <v>0</v>
      </c>
      <c r="AJ261" s="164">
        <f t="shared" si="165"/>
        <v>0</v>
      </c>
      <c r="AK261" s="164">
        <f t="shared" si="165"/>
        <v>0</v>
      </c>
      <c r="AL261" s="164">
        <f t="shared" si="165"/>
        <v>0</v>
      </c>
      <c r="AM261" s="164">
        <f t="shared" si="165"/>
        <v>245080000</v>
      </c>
      <c r="AN261" s="164">
        <f t="shared" si="165"/>
        <v>0</v>
      </c>
      <c r="AO261" s="164">
        <f t="shared" si="165"/>
        <v>0</v>
      </c>
      <c r="AP261" s="164">
        <f t="shared" si="165"/>
        <v>0</v>
      </c>
      <c r="AQ261" s="164">
        <f t="shared" ref="AQ261" si="166">SUM(AQ260:AQ260)</f>
        <v>0</v>
      </c>
      <c r="AR261" s="164">
        <f t="shared" si="129"/>
        <v>245080000</v>
      </c>
    </row>
    <row r="262" spans="1:44" s="344" customFormat="1" ht="20.25" x14ac:dyDescent="0.25">
      <c r="A262" s="21"/>
      <c r="B262" s="30"/>
      <c r="C262" s="760"/>
      <c r="D262" s="183"/>
      <c r="E262" s="760"/>
      <c r="F262" s="760"/>
      <c r="G262" s="183"/>
      <c r="H262" s="760"/>
      <c r="I262" s="183"/>
      <c r="J262" s="267"/>
      <c r="K262" s="267"/>
      <c r="L262" s="267"/>
      <c r="M262" s="267"/>
      <c r="N262" s="185"/>
      <c r="O262" s="183"/>
      <c r="P262" s="760"/>
      <c r="Q262" s="186"/>
      <c r="R262" s="186"/>
      <c r="S262" s="186"/>
      <c r="T262" s="186"/>
      <c r="U262" s="186"/>
      <c r="V262" s="186"/>
      <c r="W262" s="186"/>
      <c r="X262" s="186"/>
      <c r="Y262" s="186"/>
      <c r="Z262" s="186"/>
      <c r="AA262" s="186"/>
      <c r="AB262" s="186"/>
      <c r="AC262" s="186"/>
      <c r="AD262" s="186"/>
      <c r="AE262" s="186"/>
      <c r="AF262" s="186"/>
      <c r="AG262" s="186"/>
      <c r="AH262" s="186"/>
      <c r="AI262" s="186"/>
      <c r="AJ262" s="186"/>
      <c r="AK262" s="186"/>
      <c r="AL262" s="186"/>
      <c r="AM262" s="188"/>
      <c r="AN262" s="189"/>
      <c r="AO262" s="186"/>
      <c r="AP262" s="186"/>
      <c r="AQ262" s="186"/>
      <c r="AR262" s="205">
        <f t="shared" si="129"/>
        <v>0</v>
      </c>
    </row>
    <row r="263" spans="1:44" s="344" customFormat="1" ht="20.25" x14ac:dyDescent="0.25">
      <c r="A263" s="21"/>
      <c r="B263" s="30"/>
      <c r="C263" s="761"/>
      <c r="D263" s="762"/>
      <c r="E263" s="767"/>
      <c r="F263" s="767"/>
      <c r="G263" s="193">
        <v>13</v>
      </c>
      <c r="H263" s="736" t="s">
        <v>349</v>
      </c>
      <c r="I263" s="194"/>
      <c r="J263" s="194"/>
      <c r="K263" s="194"/>
      <c r="L263" s="194"/>
      <c r="M263" s="194"/>
      <c r="N263" s="195"/>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c r="AK263" s="194"/>
      <c r="AL263" s="194"/>
      <c r="AM263" s="196"/>
      <c r="AN263" s="245"/>
      <c r="AO263" s="194"/>
      <c r="AP263" s="194"/>
      <c r="AQ263" s="194"/>
      <c r="AR263" s="197"/>
    </row>
    <row r="264" spans="1:44" s="346" customFormat="1" ht="87.75" customHeight="1" x14ac:dyDescent="0.25">
      <c r="A264" s="21"/>
      <c r="B264" s="30"/>
      <c r="C264" s="761" t="s">
        <v>337</v>
      </c>
      <c r="D264" s="762" t="s">
        <v>338</v>
      </c>
      <c r="E264" s="767" t="s">
        <v>339</v>
      </c>
      <c r="F264" s="767" t="s">
        <v>340</v>
      </c>
      <c r="G264" s="24"/>
      <c r="H264" s="6">
        <v>53</v>
      </c>
      <c r="I264" s="159" t="s">
        <v>350</v>
      </c>
      <c r="J264" s="12">
        <v>0</v>
      </c>
      <c r="K264" s="12">
        <v>1</v>
      </c>
      <c r="L264" s="12">
        <v>0.6</v>
      </c>
      <c r="M264" s="343" t="s">
        <v>303</v>
      </c>
      <c r="N264" s="39" t="s">
        <v>351</v>
      </c>
      <c r="O264" s="55" t="s">
        <v>352</v>
      </c>
      <c r="P264" s="767" t="s">
        <v>47</v>
      </c>
      <c r="Q264" s="27">
        <v>0</v>
      </c>
      <c r="R264" s="27">
        <v>0</v>
      </c>
      <c r="S264" s="27">
        <v>0</v>
      </c>
      <c r="T264" s="27">
        <v>0</v>
      </c>
      <c r="U264" s="27">
        <v>0</v>
      </c>
      <c r="V264" s="27">
        <v>0</v>
      </c>
      <c r="W264" s="27">
        <v>0</v>
      </c>
      <c r="X264" s="27"/>
      <c r="Y264" s="27"/>
      <c r="Z264" s="27"/>
      <c r="AA264" s="27">
        <v>0</v>
      </c>
      <c r="AB264" s="27"/>
      <c r="AC264" s="27">
        <v>0</v>
      </c>
      <c r="AD264" s="27">
        <v>0</v>
      </c>
      <c r="AE264" s="257"/>
      <c r="AF264" s="257"/>
      <c r="AG264" s="257"/>
      <c r="AH264" s="257"/>
      <c r="AI264" s="257"/>
      <c r="AJ264" s="257"/>
      <c r="AK264" s="27">
        <v>0</v>
      </c>
      <c r="AL264" s="27">
        <v>0</v>
      </c>
      <c r="AM264" s="108">
        <f>100000000+60000000+180000000+50100000+60000000</f>
        <v>450100000</v>
      </c>
      <c r="AN264" s="40"/>
      <c r="AO264" s="15">
        <f>389502600+88606963</f>
        <v>478109563</v>
      </c>
      <c r="AP264" s="28">
        <v>0</v>
      </c>
      <c r="AQ264" s="28"/>
      <c r="AR264" s="27">
        <f t="shared" si="129"/>
        <v>928209563</v>
      </c>
    </row>
    <row r="265" spans="1:44" s="165" customFormat="1" ht="15" x14ac:dyDescent="0.25">
      <c r="A265" s="21"/>
      <c r="B265" s="32"/>
      <c r="C265" s="761"/>
      <c r="D265" s="762"/>
      <c r="E265" s="767"/>
      <c r="F265" s="767"/>
      <c r="G265" s="160"/>
      <c r="H265" s="161"/>
      <c r="I265" s="160"/>
      <c r="J265" s="256"/>
      <c r="K265" s="256"/>
      <c r="L265" s="256"/>
      <c r="M265" s="256"/>
      <c r="N265" s="163"/>
      <c r="O265" s="160"/>
      <c r="P265" s="161"/>
      <c r="Q265" s="164">
        <f t="shared" ref="Q265:AL265" si="167">SUM(Q264:Q264)</f>
        <v>0</v>
      </c>
      <c r="R265" s="164">
        <f t="shared" si="167"/>
        <v>0</v>
      </c>
      <c r="S265" s="164">
        <f t="shared" si="167"/>
        <v>0</v>
      </c>
      <c r="T265" s="164">
        <f t="shared" si="167"/>
        <v>0</v>
      </c>
      <c r="U265" s="164">
        <f t="shared" si="167"/>
        <v>0</v>
      </c>
      <c r="V265" s="164">
        <f t="shared" si="167"/>
        <v>0</v>
      </c>
      <c r="W265" s="164">
        <f t="shared" si="167"/>
        <v>0</v>
      </c>
      <c r="X265" s="164">
        <f t="shared" si="167"/>
        <v>0</v>
      </c>
      <c r="Y265" s="164">
        <f t="shared" si="167"/>
        <v>0</v>
      </c>
      <c r="Z265" s="164">
        <f t="shared" si="167"/>
        <v>0</v>
      </c>
      <c r="AA265" s="164">
        <f t="shared" si="167"/>
        <v>0</v>
      </c>
      <c r="AB265" s="164">
        <f t="shared" si="167"/>
        <v>0</v>
      </c>
      <c r="AC265" s="164">
        <f t="shared" si="167"/>
        <v>0</v>
      </c>
      <c r="AD265" s="164">
        <f t="shared" si="167"/>
        <v>0</v>
      </c>
      <c r="AE265" s="164">
        <f t="shared" si="167"/>
        <v>0</v>
      </c>
      <c r="AF265" s="164">
        <f t="shared" si="167"/>
        <v>0</v>
      </c>
      <c r="AG265" s="164">
        <f t="shared" si="167"/>
        <v>0</v>
      </c>
      <c r="AH265" s="164">
        <f t="shared" si="167"/>
        <v>0</v>
      </c>
      <c r="AI265" s="164">
        <f t="shared" si="167"/>
        <v>0</v>
      </c>
      <c r="AJ265" s="164">
        <f t="shared" si="167"/>
        <v>0</v>
      </c>
      <c r="AK265" s="164">
        <f t="shared" si="167"/>
        <v>0</v>
      </c>
      <c r="AL265" s="164">
        <f t="shared" si="167"/>
        <v>0</v>
      </c>
      <c r="AM265" s="164">
        <f t="shared" ref="AM265:AP265" si="168">SUM(AM264:AM264)</f>
        <v>450100000</v>
      </c>
      <c r="AN265" s="164">
        <f t="shared" si="168"/>
        <v>0</v>
      </c>
      <c r="AO265" s="164">
        <f t="shared" si="168"/>
        <v>478109563</v>
      </c>
      <c r="AP265" s="164">
        <f t="shared" si="168"/>
        <v>0</v>
      </c>
      <c r="AQ265" s="164">
        <f t="shared" ref="AQ265" si="169">SUM(AQ264:AQ264)</f>
        <v>0</v>
      </c>
      <c r="AR265" s="164">
        <f t="shared" si="129"/>
        <v>928209563</v>
      </c>
    </row>
    <row r="266" spans="1:44" s="165" customFormat="1" ht="15" x14ac:dyDescent="0.25">
      <c r="A266" s="158"/>
      <c r="B266" s="227"/>
      <c r="C266" s="168"/>
      <c r="D266" s="167"/>
      <c r="E266" s="168"/>
      <c r="F266" s="168"/>
      <c r="G266" s="167"/>
      <c r="H266" s="168"/>
      <c r="I266" s="167"/>
      <c r="J266" s="264"/>
      <c r="K266" s="264"/>
      <c r="L266" s="264"/>
      <c r="M266" s="264"/>
      <c r="N266" s="170"/>
      <c r="O266" s="167"/>
      <c r="P266" s="168"/>
      <c r="Q266" s="171">
        <f t="shared" ref="Q266:AL266" si="170">Q265+Q261+Q257</f>
        <v>0</v>
      </c>
      <c r="R266" s="171">
        <f t="shared" si="170"/>
        <v>0</v>
      </c>
      <c r="S266" s="171">
        <f t="shared" si="170"/>
        <v>0</v>
      </c>
      <c r="T266" s="171">
        <f t="shared" si="170"/>
        <v>0</v>
      </c>
      <c r="U266" s="171">
        <f t="shared" si="170"/>
        <v>0</v>
      </c>
      <c r="V266" s="171">
        <f t="shared" si="170"/>
        <v>0</v>
      </c>
      <c r="W266" s="171">
        <f t="shared" si="170"/>
        <v>0</v>
      </c>
      <c r="X266" s="171">
        <f t="shared" si="170"/>
        <v>0</v>
      </c>
      <c r="Y266" s="171">
        <f t="shared" si="170"/>
        <v>0</v>
      </c>
      <c r="Z266" s="171">
        <f t="shared" si="170"/>
        <v>0</v>
      </c>
      <c r="AA266" s="171">
        <f t="shared" si="170"/>
        <v>0</v>
      </c>
      <c r="AB266" s="171">
        <f t="shared" si="170"/>
        <v>0</v>
      </c>
      <c r="AC266" s="171">
        <f t="shared" si="170"/>
        <v>0</v>
      </c>
      <c r="AD266" s="171">
        <f t="shared" si="170"/>
        <v>0</v>
      </c>
      <c r="AE266" s="171">
        <f t="shared" si="170"/>
        <v>0</v>
      </c>
      <c r="AF266" s="171">
        <f t="shared" si="170"/>
        <v>0</v>
      </c>
      <c r="AG266" s="171">
        <f t="shared" si="170"/>
        <v>0</v>
      </c>
      <c r="AH266" s="171">
        <f t="shared" si="170"/>
        <v>0</v>
      </c>
      <c r="AI266" s="171">
        <f t="shared" si="170"/>
        <v>0</v>
      </c>
      <c r="AJ266" s="171">
        <f t="shared" si="170"/>
        <v>0</v>
      </c>
      <c r="AK266" s="171">
        <f t="shared" si="170"/>
        <v>0</v>
      </c>
      <c r="AL266" s="171">
        <f t="shared" si="170"/>
        <v>0</v>
      </c>
      <c r="AM266" s="171">
        <f t="shared" ref="AM266:AP266" si="171">AM265+AM261+AM257</f>
        <v>993420000</v>
      </c>
      <c r="AN266" s="171">
        <f t="shared" si="171"/>
        <v>0</v>
      </c>
      <c r="AO266" s="171">
        <f t="shared" si="171"/>
        <v>478109563</v>
      </c>
      <c r="AP266" s="171">
        <f t="shared" si="171"/>
        <v>0</v>
      </c>
      <c r="AQ266" s="171">
        <f t="shared" ref="AQ266" si="172">AQ265+AQ261+AQ257</f>
        <v>0</v>
      </c>
      <c r="AR266" s="171">
        <f t="shared" si="129"/>
        <v>1471529563</v>
      </c>
    </row>
    <row r="267" spans="1:44" s="165" customFormat="1" ht="15" x14ac:dyDescent="0.25">
      <c r="A267" s="172"/>
      <c r="B267" s="172"/>
      <c r="C267" s="173"/>
      <c r="D267" s="172"/>
      <c r="E267" s="173"/>
      <c r="F267" s="173"/>
      <c r="G267" s="172"/>
      <c r="H267" s="173"/>
      <c r="I267" s="172"/>
      <c r="J267" s="266"/>
      <c r="K267" s="266"/>
      <c r="L267" s="266"/>
      <c r="M267" s="266"/>
      <c r="N267" s="175"/>
      <c r="O267" s="172"/>
      <c r="P267" s="173"/>
      <c r="Q267" s="176">
        <f t="shared" ref="Q267:AL267" si="173">Q266+Q251</f>
        <v>0</v>
      </c>
      <c r="R267" s="176">
        <f t="shared" si="173"/>
        <v>0</v>
      </c>
      <c r="S267" s="176">
        <f t="shared" si="173"/>
        <v>0</v>
      </c>
      <c r="T267" s="176">
        <f t="shared" si="173"/>
        <v>0</v>
      </c>
      <c r="U267" s="176">
        <f t="shared" si="173"/>
        <v>0</v>
      </c>
      <c r="V267" s="176">
        <f t="shared" si="173"/>
        <v>0</v>
      </c>
      <c r="W267" s="176">
        <f t="shared" si="173"/>
        <v>0</v>
      </c>
      <c r="X267" s="176">
        <f t="shared" si="173"/>
        <v>0</v>
      </c>
      <c r="Y267" s="176">
        <f t="shared" si="173"/>
        <v>0</v>
      </c>
      <c r="Z267" s="176">
        <f t="shared" si="173"/>
        <v>0</v>
      </c>
      <c r="AA267" s="176">
        <f t="shared" si="173"/>
        <v>0</v>
      </c>
      <c r="AB267" s="176">
        <f t="shared" si="173"/>
        <v>0</v>
      </c>
      <c r="AC267" s="176">
        <f t="shared" si="173"/>
        <v>0</v>
      </c>
      <c r="AD267" s="176">
        <f t="shared" si="173"/>
        <v>0</v>
      </c>
      <c r="AE267" s="176">
        <f t="shared" si="173"/>
        <v>0</v>
      </c>
      <c r="AF267" s="176">
        <f t="shared" si="173"/>
        <v>0</v>
      </c>
      <c r="AG267" s="176">
        <f t="shared" si="173"/>
        <v>0</v>
      </c>
      <c r="AH267" s="176">
        <f t="shared" si="173"/>
        <v>0</v>
      </c>
      <c r="AI267" s="176">
        <f t="shared" si="173"/>
        <v>0</v>
      </c>
      <c r="AJ267" s="176">
        <f t="shared" si="173"/>
        <v>0</v>
      </c>
      <c r="AK267" s="176">
        <f t="shared" si="173"/>
        <v>0</v>
      </c>
      <c r="AL267" s="176">
        <f t="shared" si="173"/>
        <v>0</v>
      </c>
      <c r="AM267" s="176">
        <f t="shared" ref="AM267:AP267" si="174">AM266+AM251</f>
        <v>2042000000</v>
      </c>
      <c r="AN267" s="176">
        <f t="shared" si="174"/>
        <v>0</v>
      </c>
      <c r="AO267" s="176">
        <f t="shared" si="174"/>
        <v>478109563</v>
      </c>
      <c r="AP267" s="176">
        <f t="shared" si="174"/>
        <v>0</v>
      </c>
      <c r="AQ267" s="176">
        <f t="shared" ref="AQ267" si="175">AQ266+AQ251</f>
        <v>0</v>
      </c>
      <c r="AR267" s="176">
        <f t="shared" si="129"/>
        <v>2520109563</v>
      </c>
    </row>
    <row r="268" spans="1:44" s="165" customFormat="1" ht="15" x14ac:dyDescent="0.25">
      <c r="A268" s="177"/>
      <c r="B268" s="177"/>
      <c r="C268" s="178"/>
      <c r="D268" s="177"/>
      <c r="E268" s="178"/>
      <c r="F268" s="178"/>
      <c r="G268" s="177"/>
      <c r="H268" s="178"/>
      <c r="I268" s="177"/>
      <c r="J268" s="277"/>
      <c r="K268" s="277"/>
      <c r="L268" s="277"/>
      <c r="M268" s="277"/>
      <c r="N268" s="180"/>
      <c r="O268" s="177"/>
      <c r="P268" s="178"/>
      <c r="Q268" s="181">
        <f t="shared" ref="Q268:AL268" si="176">Q267</f>
        <v>0</v>
      </c>
      <c r="R268" s="181">
        <f t="shared" si="176"/>
        <v>0</v>
      </c>
      <c r="S268" s="181">
        <f t="shared" si="176"/>
        <v>0</v>
      </c>
      <c r="T268" s="181">
        <f t="shared" si="176"/>
        <v>0</v>
      </c>
      <c r="U268" s="181">
        <f t="shared" si="176"/>
        <v>0</v>
      </c>
      <c r="V268" s="181">
        <f t="shared" si="176"/>
        <v>0</v>
      </c>
      <c r="W268" s="181">
        <f t="shared" si="176"/>
        <v>0</v>
      </c>
      <c r="X268" s="181">
        <f t="shared" si="176"/>
        <v>0</v>
      </c>
      <c r="Y268" s="181">
        <f t="shared" si="176"/>
        <v>0</v>
      </c>
      <c r="Z268" s="181">
        <f t="shared" si="176"/>
        <v>0</v>
      </c>
      <c r="AA268" s="181">
        <f t="shared" si="176"/>
        <v>0</v>
      </c>
      <c r="AB268" s="181">
        <f t="shared" si="176"/>
        <v>0</v>
      </c>
      <c r="AC268" s="181">
        <f t="shared" si="176"/>
        <v>0</v>
      </c>
      <c r="AD268" s="181">
        <f t="shared" si="176"/>
        <v>0</v>
      </c>
      <c r="AE268" s="181">
        <f t="shared" si="176"/>
        <v>0</v>
      </c>
      <c r="AF268" s="181">
        <f t="shared" si="176"/>
        <v>0</v>
      </c>
      <c r="AG268" s="181">
        <f t="shared" si="176"/>
        <v>0</v>
      </c>
      <c r="AH268" s="181">
        <f t="shared" si="176"/>
        <v>0</v>
      </c>
      <c r="AI268" s="181">
        <f t="shared" si="176"/>
        <v>0</v>
      </c>
      <c r="AJ268" s="181">
        <f t="shared" si="176"/>
        <v>0</v>
      </c>
      <c r="AK268" s="181">
        <f t="shared" si="176"/>
        <v>0</v>
      </c>
      <c r="AL268" s="181">
        <f t="shared" si="176"/>
        <v>0</v>
      </c>
      <c r="AM268" s="181">
        <f t="shared" ref="AM268:AP268" si="177">AM267</f>
        <v>2042000000</v>
      </c>
      <c r="AN268" s="181">
        <f t="shared" si="177"/>
        <v>0</v>
      </c>
      <c r="AO268" s="181">
        <f t="shared" si="177"/>
        <v>478109563</v>
      </c>
      <c r="AP268" s="181">
        <f t="shared" si="177"/>
        <v>0</v>
      </c>
      <c r="AQ268" s="181">
        <f t="shared" ref="AQ268" si="178">AQ267</f>
        <v>0</v>
      </c>
      <c r="AR268" s="181">
        <f t="shared" si="129"/>
        <v>2520109563</v>
      </c>
    </row>
    <row r="269" spans="1:44" s="29" customFormat="1" ht="15" x14ac:dyDescent="0.25">
      <c r="A269" s="182"/>
      <c r="B269" s="183"/>
      <c r="C269" s="760"/>
      <c r="D269" s="183"/>
      <c r="E269" s="760"/>
      <c r="F269" s="760"/>
      <c r="G269" s="183"/>
      <c r="H269" s="760"/>
      <c r="I269" s="183"/>
      <c r="J269" s="267"/>
      <c r="K269" s="267"/>
      <c r="L269" s="267"/>
      <c r="M269" s="267"/>
      <c r="N269" s="185"/>
      <c r="O269" s="183"/>
      <c r="P269" s="760"/>
      <c r="Q269" s="186"/>
      <c r="R269" s="186"/>
      <c r="S269" s="186"/>
      <c r="T269" s="186"/>
      <c r="U269" s="186"/>
      <c r="V269" s="186"/>
      <c r="W269" s="186"/>
      <c r="X269" s="186"/>
      <c r="Y269" s="186"/>
      <c r="Z269" s="186"/>
      <c r="AA269" s="186"/>
      <c r="AB269" s="186"/>
      <c r="AC269" s="186"/>
      <c r="AD269" s="186"/>
      <c r="AE269" s="187"/>
      <c r="AF269" s="187"/>
      <c r="AG269" s="187"/>
      <c r="AH269" s="187"/>
      <c r="AI269" s="187"/>
      <c r="AJ269" s="187"/>
      <c r="AK269" s="186"/>
      <c r="AL269" s="186"/>
      <c r="AM269" s="188"/>
      <c r="AN269" s="189"/>
      <c r="AO269" s="189"/>
      <c r="AP269" s="189"/>
      <c r="AQ269" s="189"/>
      <c r="AR269" s="866">
        <f t="shared" ref="AR269:AR330" si="179">Q269+R269+S269+T269+U269+V269+W269+X269+Y269+Z269+AA269+AB269+AC269+AD269+AE269+AF269+AG269+AH269+AI269+AJ269+AK269+AL269+AM269+AN269+AO269+AP269+AQ269</f>
        <v>0</v>
      </c>
    </row>
    <row r="270" spans="1:44" s="165" customFormat="1" ht="20.25" x14ac:dyDescent="0.25">
      <c r="A270" s="135" t="s">
        <v>353</v>
      </c>
      <c r="B270" s="347"/>
      <c r="C270" s="348"/>
      <c r="D270" s="347"/>
      <c r="E270" s="347"/>
      <c r="F270" s="347"/>
      <c r="G270" s="347"/>
      <c r="H270" s="348"/>
      <c r="I270" s="347"/>
      <c r="J270" s="347"/>
      <c r="K270" s="347"/>
      <c r="L270" s="347"/>
      <c r="M270" s="347"/>
      <c r="N270" s="349"/>
      <c r="O270" s="347"/>
      <c r="P270" s="348"/>
      <c r="Q270" s="347"/>
      <c r="R270" s="347"/>
      <c r="S270" s="347"/>
      <c r="T270" s="347"/>
      <c r="U270" s="347"/>
      <c r="V270" s="347"/>
      <c r="W270" s="347"/>
      <c r="X270" s="347"/>
      <c r="Y270" s="347"/>
      <c r="Z270" s="347"/>
      <c r="AA270" s="347"/>
      <c r="AB270" s="347"/>
      <c r="AC270" s="347"/>
      <c r="AD270" s="347"/>
      <c r="AE270" s="347"/>
      <c r="AF270" s="347"/>
      <c r="AG270" s="347"/>
      <c r="AH270" s="347"/>
      <c r="AI270" s="347"/>
      <c r="AJ270" s="347"/>
      <c r="AK270" s="347"/>
      <c r="AL270" s="347"/>
      <c r="AM270" s="350"/>
      <c r="AN270" s="351"/>
      <c r="AO270" s="347"/>
      <c r="AP270" s="347"/>
      <c r="AQ270" s="347"/>
      <c r="AR270" s="352"/>
    </row>
    <row r="271" spans="1:44" s="165" customFormat="1" x14ac:dyDescent="0.25">
      <c r="A271" s="826">
        <v>1</v>
      </c>
      <c r="B271" s="142" t="s">
        <v>145</v>
      </c>
      <c r="C271" s="143"/>
      <c r="D271" s="142"/>
      <c r="E271" s="142"/>
      <c r="F271" s="142"/>
      <c r="G271" s="142"/>
      <c r="H271" s="143"/>
      <c r="I271" s="142"/>
      <c r="J271" s="142"/>
      <c r="K271" s="142"/>
      <c r="L271" s="142"/>
      <c r="M271" s="142"/>
      <c r="N271" s="144"/>
      <c r="O271" s="142"/>
      <c r="P271" s="142"/>
      <c r="Q271" s="142"/>
      <c r="R271" s="142"/>
      <c r="S271" s="142"/>
      <c r="T271" s="142"/>
      <c r="U271" s="142"/>
      <c r="V271" s="142"/>
      <c r="W271" s="142"/>
      <c r="X271" s="142"/>
      <c r="Y271" s="142"/>
      <c r="Z271" s="142"/>
      <c r="AA271" s="142"/>
      <c r="AB271" s="142"/>
      <c r="AC271" s="142"/>
      <c r="AD271" s="142"/>
      <c r="AE271" s="142"/>
      <c r="AF271" s="142"/>
      <c r="AG271" s="142"/>
      <c r="AH271" s="142"/>
      <c r="AI271" s="142"/>
      <c r="AJ271" s="142"/>
      <c r="AK271" s="142"/>
      <c r="AL271" s="142"/>
      <c r="AM271" s="145"/>
      <c r="AN271" s="142"/>
      <c r="AO271" s="142"/>
      <c r="AP271" s="142"/>
      <c r="AQ271" s="142"/>
      <c r="AR271" s="146"/>
    </row>
    <row r="272" spans="1:44" s="165" customFormat="1" x14ac:dyDescent="0.25">
      <c r="A272" s="190"/>
      <c r="B272" s="269">
        <v>1</v>
      </c>
      <c r="C272" s="150" t="s">
        <v>146</v>
      </c>
      <c r="D272" s="149"/>
      <c r="E272" s="149"/>
      <c r="F272" s="149"/>
      <c r="G272" s="149"/>
      <c r="H272" s="150"/>
      <c r="I272" s="149"/>
      <c r="J272" s="149"/>
      <c r="K272" s="149"/>
      <c r="L272" s="149"/>
      <c r="M272" s="149"/>
      <c r="N272" s="151"/>
      <c r="O272" s="149"/>
      <c r="P272" s="149"/>
      <c r="Q272" s="149"/>
      <c r="R272" s="149"/>
      <c r="S272" s="149"/>
      <c r="T272" s="149"/>
      <c r="U272" s="149"/>
      <c r="V272" s="149"/>
      <c r="W272" s="149"/>
      <c r="X272" s="149"/>
      <c r="Y272" s="149"/>
      <c r="Z272" s="149"/>
      <c r="AA272" s="149"/>
      <c r="AB272" s="149"/>
      <c r="AC272" s="149"/>
      <c r="AD272" s="149"/>
      <c r="AE272" s="149"/>
      <c r="AF272" s="149"/>
      <c r="AG272" s="149"/>
      <c r="AH272" s="149"/>
      <c r="AI272" s="149"/>
      <c r="AJ272" s="149"/>
      <c r="AK272" s="149"/>
      <c r="AL272" s="149"/>
      <c r="AM272" s="152"/>
      <c r="AN272" s="149"/>
      <c r="AO272" s="149"/>
      <c r="AP272" s="149"/>
      <c r="AQ272" s="149"/>
      <c r="AR272" s="153"/>
    </row>
    <row r="273" spans="1:44" s="165" customFormat="1" x14ac:dyDescent="0.25">
      <c r="A273" s="21"/>
      <c r="B273" s="190"/>
      <c r="C273" s="830"/>
      <c r="D273" s="829"/>
      <c r="E273" s="830"/>
      <c r="F273" s="774"/>
      <c r="G273" s="337">
        <v>1</v>
      </c>
      <c r="H273" s="724" t="s">
        <v>354</v>
      </c>
      <c r="I273" s="194"/>
      <c r="J273" s="194"/>
      <c r="K273" s="194"/>
      <c r="L273" s="194"/>
      <c r="M273" s="194"/>
      <c r="N273" s="195"/>
      <c r="O273" s="194"/>
      <c r="P273" s="194"/>
      <c r="Q273" s="194"/>
      <c r="R273" s="194"/>
      <c r="S273" s="194"/>
      <c r="T273" s="194"/>
      <c r="U273" s="194"/>
      <c r="V273" s="194"/>
      <c r="W273" s="194"/>
      <c r="X273" s="194"/>
      <c r="Y273" s="194"/>
      <c r="Z273" s="194"/>
      <c r="AA273" s="194"/>
      <c r="AB273" s="194"/>
      <c r="AC273" s="194"/>
      <c r="AD273" s="194"/>
      <c r="AE273" s="194"/>
      <c r="AF273" s="194"/>
      <c r="AG273" s="194"/>
      <c r="AH273" s="194"/>
      <c r="AI273" s="194"/>
      <c r="AJ273" s="194"/>
      <c r="AK273" s="194"/>
      <c r="AL273" s="194"/>
      <c r="AM273" s="196"/>
      <c r="AN273" s="194"/>
      <c r="AO273" s="194"/>
      <c r="AP273" s="194"/>
      <c r="AQ273" s="194"/>
      <c r="AR273" s="197"/>
    </row>
    <row r="274" spans="1:44" s="29" customFormat="1" ht="53.25" customHeight="1" x14ac:dyDescent="0.25">
      <c r="A274" s="21"/>
      <c r="B274" s="20"/>
      <c r="C274" s="719">
        <v>1</v>
      </c>
      <c r="D274" s="730" t="s">
        <v>355</v>
      </c>
      <c r="E274" s="353" t="s">
        <v>38</v>
      </c>
      <c r="F274" s="354">
        <v>15000</v>
      </c>
      <c r="G274" s="867"/>
      <c r="H274" s="767">
        <v>1</v>
      </c>
      <c r="I274" s="762" t="s">
        <v>356</v>
      </c>
      <c r="J274" s="12">
        <v>0</v>
      </c>
      <c r="K274" s="12">
        <v>1</v>
      </c>
      <c r="L274" s="663">
        <v>0.5</v>
      </c>
      <c r="M274" s="1038" t="s">
        <v>357</v>
      </c>
      <c r="N274" s="948" t="s">
        <v>358</v>
      </c>
      <c r="O274" s="941" t="s">
        <v>359</v>
      </c>
      <c r="P274" s="767" t="s">
        <v>47</v>
      </c>
      <c r="Q274" s="27">
        <v>0</v>
      </c>
      <c r="R274" s="27">
        <v>0</v>
      </c>
      <c r="S274" s="27">
        <v>0</v>
      </c>
      <c r="T274" s="27">
        <v>0</v>
      </c>
      <c r="U274" s="27">
        <v>0</v>
      </c>
      <c r="V274" s="27">
        <v>0</v>
      </c>
      <c r="W274" s="27">
        <v>0</v>
      </c>
      <c r="X274" s="27"/>
      <c r="Y274" s="27"/>
      <c r="Z274" s="27"/>
      <c r="AA274" s="27">
        <v>0</v>
      </c>
      <c r="AB274" s="27"/>
      <c r="AC274" s="27">
        <v>0</v>
      </c>
      <c r="AD274" s="27">
        <v>0</v>
      </c>
      <c r="AE274" s="27"/>
      <c r="AF274" s="27"/>
      <c r="AG274" s="27"/>
      <c r="AH274" s="27"/>
      <c r="AI274" s="27"/>
      <c r="AJ274" s="27"/>
      <c r="AK274" s="27">
        <v>0</v>
      </c>
      <c r="AL274" s="27">
        <v>0</v>
      </c>
      <c r="AM274" s="355">
        <f>22500000+10000000</f>
        <v>32500000</v>
      </c>
      <c r="AN274" s="356"/>
      <c r="AO274" s="27">
        <v>0</v>
      </c>
      <c r="AP274" s="28">
        <v>0</v>
      </c>
      <c r="AQ274" s="28"/>
      <c r="AR274" s="27">
        <f t="shared" si="179"/>
        <v>32500000</v>
      </c>
    </row>
    <row r="275" spans="1:44" s="29" customFormat="1" ht="55.5" customHeight="1" x14ac:dyDescent="0.25">
      <c r="A275" s="21"/>
      <c r="B275" s="20"/>
      <c r="C275" s="719">
        <v>2</v>
      </c>
      <c r="D275" s="730" t="s">
        <v>360</v>
      </c>
      <c r="E275" s="719" t="s">
        <v>361</v>
      </c>
      <c r="F275" s="719" t="s">
        <v>361</v>
      </c>
      <c r="G275" s="97"/>
      <c r="H275" s="767">
        <v>2</v>
      </c>
      <c r="I275" s="762" t="s">
        <v>362</v>
      </c>
      <c r="J275" s="12">
        <v>3</v>
      </c>
      <c r="K275" s="12">
        <v>4</v>
      </c>
      <c r="L275" s="663">
        <v>3</v>
      </c>
      <c r="M275" s="1039"/>
      <c r="N275" s="959"/>
      <c r="O275" s="942"/>
      <c r="P275" s="767" t="s">
        <v>47</v>
      </c>
      <c r="Q275" s="27">
        <v>0</v>
      </c>
      <c r="R275" s="27">
        <v>0</v>
      </c>
      <c r="S275" s="27">
        <v>0</v>
      </c>
      <c r="T275" s="27">
        <v>0</v>
      </c>
      <c r="U275" s="27">
        <v>0</v>
      </c>
      <c r="V275" s="27">
        <v>0</v>
      </c>
      <c r="W275" s="27">
        <v>0</v>
      </c>
      <c r="X275" s="27"/>
      <c r="Y275" s="27"/>
      <c r="Z275" s="27"/>
      <c r="AA275" s="27">
        <v>0</v>
      </c>
      <c r="AB275" s="27"/>
      <c r="AC275" s="27">
        <v>0</v>
      </c>
      <c r="AD275" s="27">
        <v>0</v>
      </c>
      <c r="AE275" s="27"/>
      <c r="AF275" s="27"/>
      <c r="AG275" s="27"/>
      <c r="AH275" s="27"/>
      <c r="AI275" s="27"/>
      <c r="AJ275" s="27"/>
      <c r="AK275" s="27">
        <v>0</v>
      </c>
      <c r="AL275" s="27">
        <v>0</v>
      </c>
      <c r="AM275" s="355">
        <f>7500000+10000000</f>
        <v>17500000</v>
      </c>
      <c r="AN275" s="356"/>
      <c r="AO275" s="27">
        <v>0</v>
      </c>
      <c r="AP275" s="28">
        <v>0</v>
      </c>
      <c r="AQ275" s="28"/>
      <c r="AR275" s="27">
        <f t="shared" si="179"/>
        <v>17500000</v>
      </c>
    </row>
    <row r="276" spans="1:44" s="29" customFormat="1" ht="57" x14ac:dyDescent="0.25">
      <c r="A276" s="21"/>
      <c r="B276" s="20"/>
      <c r="C276" s="719"/>
      <c r="D276" s="730"/>
      <c r="E276" s="719"/>
      <c r="F276" s="719"/>
      <c r="G276" s="97"/>
      <c r="H276" s="767">
        <v>3</v>
      </c>
      <c r="I276" s="762" t="s">
        <v>363</v>
      </c>
      <c r="J276" s="12">
        <v>1</v>
      </c>
      <c r="K276" s="12">
        <v>1</v>
      </c>
      <c r="L276" s="663">
        <v>0.5</v>
      </c>
      <c r="M276" s="1039"/>
      <c r="N276" s="959"/>
      <c r="O276" s="942"/>
      <c r="P276" s="767" t="s">
        <v>47</v>
      </c>
      <c r="Q276" s="27">
        <v>0</v>
      </c>
      <c r="R276" s="27">
        <v>0</v>
      </c>
      <c r="S276" s="27">
        <v>0</v>
      </c>
      <c r="T276" s="27">
        <v>0</v>
      </c>
      <c r="U276" s="27">
        <v>0</v>
      </c>
      <c r="V276" s="27">
        <v>0</v>
      </c>
      <c r="W276" s="27">
        <v>0</v>
      </c>
      <c r="X276" s="27"/>
      <c r="Y276" s="27"/>
      <c r="Z276" s="27"/>
      <c r="AA276" s="27">
        <v>0</v>
      </c>
      <c r="AB276" s="27"/>
      <c r="AC276" s="27">
        <v>0</v>
      </c>
      <c r="AD276" s="27">
        <v>0</v>
      </c>
      <c r="AE276" s="27"/>
      <c r="AF276" s="27"/>
      <c r="AG276" s="27"/>
      <c r="AH276" s="27"/>
      <c r="AI276" s="27"/>
      <c r="AJ276" s="27"/>
      <c r="AK276" s="27">
        <v>0</v>
      </c>
      <c r="AL276" s="27">
        <v>0</v>
      </c>
      <c r="AM276" s="355">
        <f>11250000-250000</f>
        <v>11000000</v>
      </c>
      <c r="AN276" s="356"/>
      <c r="AO276" s="27">
        <v>0</v>
      </c>
      <c r="AP276" s="28">
        <v>0</v>
      </c>
      <c r="AQ276" s="28"/>
      <c r="AR276" s="27">
        <f t="shared" si="179"/>
        <v>11000000</v>
      </c>
    </row>
    <row r="277" spans="1:44" s="29" customFormat="1" ht="57" x14ac:dyDescent="0.25">
      <c r="A277" s="21"/>
      <c r="B277" s="20"/>
      <c r="C277" s="719"/>
      <c r="D277" s="730"/>
      <c r="E277" s="719"/>
      <c r="F277" s="719"/>
      <c r="G277" s="97"/>
      <c r="H277" s="767">
        <v>4</v>
      </c>
      <c r="I277" s="762" t="s">
        <v>933</v>
      </c>
      <c r="J277" s="12">
        <v>0</v>
      </c>
      <c r="K277" s="12">
        <v>1</v>
      </c>
      <c r="L277" s="663">
        <v>0.5</v>
      </c>
      <c r="M277" s="1039"/>
      <c r="N277" s="959"/>
      <c r="O277" s="942"/>
      <c r="P277" s="767" t="s">
        <v>47</v>
      </c>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355">
        <v>20000000</v>
      </c>
      <c r="AN277" s="356"/>
      <c r="AO277" s="27"/>
      <c r="AP277" s="28"/>
      <c r="AQ277" s="28"/>
      <c r="AR277" s="27">
        <f t="shared" si="179"/>
        <v>20000000</v>
      </c>
    </row>
    <row r="278" spans="1:44" s="29" customFormat="1" ht="81" customHeight="1" x14ac:dyDescent="0.25">
      <c r="A278" s="21"/>
      <c r="B278" s="20"/>
      <c r="C278" s="719">
        <v>3</v>
      </c>
      <c r="D278" s="730" t="s">
        <v>364</v>
      </c>
      <c r="E278" s="719" t="s">
        <v>365</v>
      </c>
      <c r="F278" s="719" t="s">
        <v>150</v>
      </c>
      <c r="G278" s="97"/>
      <c r="H278" s="767">
        <v>5</v>
      </c>
      <c r="I278" s="762" t="s">
        <v>366</v>
      </c>
      <c r="J278" s="12">
        <v>3</v>
      </c>
      <c r="K278" s="12">
        <v>2</v>
      </c>
      <c r="L278" s="663">
        <v>1</v>
      </c>
      <c r="M278" s="1039"/>
      <c r="N278" s="959"/>
      <c r="O278" s="942"/>
      <c r="P278" s="767" t="s">
        <v>42</v>
      </c>
      <c r="Q278" s="27">
        <v>0</v>
      </c>
      <c r="R278" s="27">
        <v>0</v>
      </c>
      <c r="S278" s="27">
        <v>0</v>
      </c>
      <c r="T278" s="27">
        <v>0</v>
      </c>
      <c r="U278" s="27">
        <v>0</v>
      </c>
      <c r="V278" s="27">
        <v>0</v>
      </c>
      <c r="W278" s="27">
        <v>0</v>
      </c>
      <c r="X278" s="27"/>
      <c r="Y278" s="27"/>
      <c r="Z278" s="27"/>
      <c r="AA278" s="27">
        <v>0</v>
      </c>
      <c r="AB278" s="27"/>
      <c r="AC278" s="27">
        <v>0</v>
      </c>
      <c r="AD278" s="27">
        <v>0</v>
      </c>
      <c r="AE278" s="27"/>
      <c r="AF278" s="27"/>
      <c r="AG278" s="27"/>
      <c r="AH278" s="27"/>
      <c r="AI278" s="27"/>
      <c r="AJ278" s="27"/>
      <c r="AK278" s="27">
        <v>0</v>
      </c>
      <c r="AL278" s="27">
        <v>0</v>
      </c>
      <c r="AM278" s="355">
        <f>7500000+10500000+50000000</f>
        <v>68000000</v>
      </c>
      <c r="AN278" s="356"/>
      <c r="AO278" s="27">
        <v>0</v>
      </c>
      <c r="AP278" s="28">
        <v>0</v>
      </c>
      <c r="AQ278" s="28"/>
      <c r="AR278" s="27">
        <f t="shared" si="179"/>
        <v>68000000</v>
      </c>
    </row>
    <row r="279" spans="1:44" s="345" customFormat="1" ht="85.5" x14ac:dyDescent="0.25">
      <c r="A279" s="21"/>
      <c r="B279" s="20"/>
      <c r="C279" s="723"/>
      <c r="D279" s="32"/>
      <c r="E279" s="723"/>
      <c r="F279" s="723"/>
      <c r="G279" s="99"/>
      <c r="H279" s="767">
        <v>6</v>
      </c>
      <c r="I279" s="762" t="s">
        <v>367</v>
      </c>
      <c r="J279" s="12">
        <v>3</v>
      </c>
      <c r="K279" s="12">
        <v>12</v>
      </c>
      <c r="L279" s="663">
        <v>12</v>
      </c>
      <c r="M279" s="1040"/>
      <c r="N279" s="949"/>
      <c r="O279" s="943"/>
      <c r="P279" s="767" t="s">
        <v>47</v>
      </c>
      <c r="Q279" s="27">
        <v>0</v>
      </c>
      <c r="R279" s="27">
        <v>0</v>
      </c>
      <c r="S279" s="27">
        <v>0</v>
      </c>
      <c r="T279" s="27">
        <v>0</v>
      </c>
      <c r="U279" s="27">
        <v>0</v>
      </c>
      <c r="V279" s="27">
        <v>0</v>
      </c>
      <c r="W279" s="27">
        <v>0</v>
      </c>
      <c r="X279" s="27"/>
      <c r="Y279" s="27"/>
      <c r="Z279" s="27"/>
      <c r="AA279" s="27">
        <v>0</v>
      </c>
      <c r="AB279" s="27"/>
      <c r="AC279" s="27">
        <v>0</v>
      </c>
      <c r="AD279" s="27">
        <v>0</v>
      </c>
      <c r="AE279" s="27"/>
      <c r="AF279" s="27"/>
      <c r="AG279" s="27"/>
      <c r="AH279" s="27"/>
      <c r="AI279" s="27"/>
      <c r="AJ279" s="27"/>
      <c r="AK279" s="27">
        <v>0</v>
      </c>
      <c r="AL279" s="27">
        <v>0</v>
      </c>
      <c r="AM279" s="108">
        <f>11250000-250000</f>
        <v>11000000</v>
      </c>
      <c r="AN279" s="357"/>
      <c r="AO279" s="27">
        <v>0</v>
      </c>
      <c r="AP279" s="28">
        <v>0</v>
      </c>
      <c r="AQ279" s="28"/>
      <c r="AR279" s="27">
        <f t="shared" si="179"/>
        <v>11000000</v>
      </c>
    </row>
    <row r="280" spans="1:44" s="165" customFormat="1" ht="15" x14ac:dyDescent="0.25">
      <c r="A280" s="21"/>
      <c r="B280" s="21"/>
      <c r="C280" s="761"/>
      <c r="D280" s="762"/>
      <c r="E280" s="767"/>
      <c r="F280" s="767"/>
      <c r="G280" s="160"/>
      <c r="H280" s="161"/>
      <c r="I280" s="160"/>
      <c r="J280" s="256"/>
      <c r="K280" s="256"/>
      <c r="L280" s="256"/>
      <c r="M280" s="256"/>
      <c r="N280" s="163"/>
      <c r="O280" s="160"/>
      <c r="P280" s="161"/>
      <c r="Q280" s="164">
        <f t="shared" ref="Q280:AP280" si="180">SUM(Q274:Q279)</f>
        <v>0</v>
      </c>
      <c r="R280" s="164">
        <f t="shared" si="180"/>
        <v>0</v>
      </c>
      <c r="S280" s="164">
        <f t="shared" si="180"/>
        <v>0</v>
      </c>
      <c r="T280" s="164">
        <f t="shared" si="180"/>
        <v>0</v>
      </c>
      <c r="U280" s="164">
        <f t="shared" si="180"/>
        <v>0</v>
      </c>
      <c r="V280" s="164">
        <f t="shared" si="180"/>
        <v>0</v>
      </c>
      <c r="W280" s="164">
        <f t="shared" si="180"/>
        <v>0</v>
      </c>
      <c r="X280" s="164">
        <f t="shared" si="180"/>
        <v>0</v>
      </c>
      <c r="Y280" s="164">
        <f t="shared" si="180"/>
        <v>0</v>
      </c>
      <c r="Z280" s="164">
        <f t="shared" si="180"/>
        <v>0</v>
      </c>
      <c r="AA280" s="164">
        <f t="shared" si="180"/>
        <v>0</v>
      </c>
      <c r="AB280" s="164">
        <f t="shared" si="180"/>
        <v>0</v>
      </c>
      <c r="AC280" s="164">
        <f t="shared" si="180"/>
        <v>0</v>
      </c>
      <c r="AD280" s="164">
        <f t="shared" si="180"/>
        <v>0</v>
      </c>
      <c r="AE280" s="164">
        <f t="shared" si="180"/>
        <v>0</v>
      </c>
      <c r="AF280" s="164">
        <f t="shared" si="180"/>
        <v>0</v>
      </c>
      <c r="AG280" s="164">
        <f t="shared" si="180"/>
        <v>0</v>
      </c>
      <c r="AH280" s="164">
        <f t="shared" si="180"/>
        <v>0</v>
      </c>
      <c r="AI280" s="164">
        <f t="shared" si="180"/>
        <v>0</v>
      </c>
      <c r="AJ280" s="164">
        <f t="shared" si="180"/>
        <v>0</v>
      </c>
      <c r="AK280" s="164">
        <f t="shared" si="180"/>
        <v>0</v>
      </c>
      <c r="AL280" s="164">
        <f t="shared" si="180"/>
        <v>0</v>
      </c>
      <c r="AM280" s="164">
        <f t="shared" si="180"/>
        <v>160000000</v>
      </c>
      <c r="AN280" s="164">
        <f t="shared" si="180"/>
        <v>0</v>
      </c>
      <c r="AO280" s="164">
        <f t="shared" si="180"/>
        <v>0</v>
      </c>
      <c r="AP280" s="164">
        <f t="shared" si="180"/>
        <v>0</v>
      </c>
      <c r="AQ280" s="164">
        <f t="shared" ref="AQ280" si="181">SUM(AQ274:AQ279)</f>
        <v>0</v>
      </c>
      <c r="AR280" s="164">
        <f t="shared" si="179"/>
        <v>160000000</v>
      </c>
    </row>
    <row r="281" spans="1:44" s="29" customFormat="1" ht="15" x14ac:dyDescent="0.25">
      <c r="A281" s="21"/>
      <c r="B281" s="21"/>
      <c r="C281" s="760"/>
      <c r="D281" s="183"/>
      <c r="E281" s="760"/>
      <c r="F281" s="760"/>
      <c r="G281" s="183"/>
      <c r="H281" s="760"/>
      <c r="I281" s="183"/>
      <c r="J281" s="267"/>
      <c r="K281" s="267"/>
      <c r="L281" s="267"/>
      <c r="M281" s="267"/>
      <c r="N281" s="185"/>
      <c r="O281" s="183"/>
      <c r="P281" s="760"/>
      <c r="Q281" s="186"/>
      <c r="R281" s="186"/>
      <c r="S281" s="186"/>
      <c r="T281" s="186"/>
      <c r="U281" s="186"/>
      <c r="V281" s="186"/>
      <c r="W281" s="186"/>
      <c r="X281" s="186"/>
      <c r="Y281" s="186"/>
      <c r="Z281" s="186"/>
      <c r="AA281" s="186"/>
      <c r="AB281" s="186"/>
      <c r="AC281" s="186"/>
      <c r="AD281" s="186"/>
      <c r="AE281" s="187"/>
      <c r="AF281" s="187"/>
      <c r="AG281" s="187"/>
      <c r="AH281" s="187"/>
      <c r="AI281" s="187"/>
      <c r="AJ281" s="187"/>
      <c r="AK281" s="186"/>
      <c r="AL281" s="186"/>
      <c r="AM281" s="188"/>
      <c r="AN281" s="189"/>
      <c r="AO281" s="186"/>
      <c r="AP281" s="186"/>
      <c r="AQ281" s="186"/>
      <c r="AR281" s="205">
        <f t="shared" si="179"/>
        <v>0</v>
      </c>
    </row>
    <row r="282" spans="1:44" s="165" customFormat="1" x14ac:dyDescent="0.25">
      <c r="A282" s="21"/>
      <c r="B282" s="21"/>
      <c r="C282" s="761"/>
      <c r="D282" s="762"/>
      <c r="E282" s="767"/>
      <c r="F282" s="767"/>
      <c r="G282" s="261">
        <v>2</v>
      </c>
      <c r="H282" s="756" t="s">
        <v>147</v>
      </c>
      <c r="I282" s="194"/>
      <c r="J282" s="194"/>
      <c r="K282" s="194"/>
      <c r="L282" s="194"/>
      <c r="M282" s="194"/>
      <c r="N282" s="195"/>
      <c r="O282" s="194"/>
      <c r="P282" s="194"/>
      <c r="Q282" s="194"/>
      <c r="R282" s="194"/>
      <c r="S282" s="194"/>
      <c r="T282" s="194"/>
      <c r="U282" s="194"/>
      <c r="V282" s="194"/>
      <c r="W282" s="194"/>
      <c r="X282" s="194"/>
      <c r="Y282" s="194"/>
      <c r="Z282" s="194"/>
      <c r="AA282" s="194"/>
      <c r="AB282" s="194"/>
      <c r="AC282" s="194"/>
      <c r="AD282" s="194"/>
      <c r="AE282" s="194"/>
      <c r="AF282" s="194"/>
      <c r="AG282" s="194"/>
      <c r="AH282" s="194"/>
      <c r="AI282" s="194"/>
      <c r="AJ282" s="194"/>
      <c r="AK282" s="194"/>
      <c r="AL282" s="194"/>
      <c r="AM282" s="196"/>
      <c r="AN282" s="194"/>
      <c r="AO282" s="194"/>
      <c r="AP282" s="194"/>
      <c r="AQ282" s="194"/>
      <c r="AR282" s="197"/>
    </row>
    <row r="283" spans="1:44" s="29" customFormat="1" ht="99.75" customHeight="1" x14ac:dyDescent="0.25">
      <c r="A283" s="21"/>
      <c r="B283" s="21"/>
      <c r="C283" s="761">
        <v>2</v>
      </c>
      <c r="D283" s="762" t="s">
        <v>360</v>
      </c>
      <c r="E283" s="767" t="s">
        <v>361</v>
      </c>
      <c r="F283" s="767" t="s">
        <v>361</v>
      </c>
      <c r="G283" s="24"/>
      <c r="H283" s="767">
        <v>8</v>
      </c>
      <c r="I283" s="762" t="s">
        <v>368</v>
      </c>
      <c r="J283" s="12">
        <v>1</v>
      </c>
      <c r="K283" s="12">
        <v>2</v>
      </c>
      <c r="L283" s="663">
        <v>2</v>
      </c>
      <c r="M283" s="1048" t="s">
        <v>369</v>
      </c>
      <c r="N283" s="948" t="s">
        <v>370</v>
      </c>
      <c r="O283" s="941" t="s">
        <v>371</v>
      </c>
      <c r="P283" s="767" t="s">
        <v>42</v>
      </c>
      <c r="Q283" s="27">
        <v>0</v>
      </c>
      <c r="R283" s="27">
        <v>0</v>
      </c>
      <c r="S283" s="27">
        <v>0</v>
      </c>
      <c r="T283" s="27">
        <v>0</v>
      </c>
      <c r="U283" s="27">
        <v>0</v>
      </c>
      <c r="V283" s="27">
        <v>0</v>
      </c>
      <c r="W283" s="27">
        <v>0</v>
      </c>
      <c r="X283" s="27"/>
      <c r="Y283" s="27"/>
      <c r="Z283" s="27"/>
      <c r="AA283" s="27">
        <v>0</v>
      </c>
      <c r="AB283" s="27"/>
      <c r="AC283" s="27">
        <v>0</v>
      </c>
      <c r="AD283" s="27">
        <v>0</v>
      </c>
      <c r="AE283" s="27"/>
      <c r="AF283" s="27"/>
      <c r="AG283" s="27"/>
      <c r="AH283" s="27"/>
      <c r="AI283" s="27"/>
      <c r="AJ283" s="27"/>
      <c r="AK283" s="27">
        <v>0</v>
      </c>
      <c r="AL283" s="27">
        <v>0</v>
      </c>
      <c r="AM283" s="108">
        <f>46600000+20000000</f>
        <v>66600000</v>
      </c>
      <c r="AN283" s="40"/>
      <c r="AO283" s="27">
        <v>0</v>
      </c>
      <c r="AP283" s="28">
        <v>0</v>
      </c>
      <c r="AQ283" s="28"/>
      <c r="AR283" s="27">
        <f t="shared" si="179"/>
        <v>66600000</v>
      </c>
    </row>
    <row r="284" spans="1:44" s="29" customFormat="1" ht="66" customHeight="1" x14ac:dyDescent="0.25">
      <c r="A284" s="21"/>
      <c r="B284" s="21"/>
      <c r="C284" s="761">
        <v>2</v>
      </c>
      <c r="D284" s="762" t="s">
        <v>360</v>
      </c>
      <c r="E284" s="767" t="s">
        <v>361</v>
      </c>
      <c r="F284" s="767" t="s">
        <v>361</v>
      </c>
      <c r="G284" s="32"/>
      <c r="H284" s="767">
        <v>7</v>
      </c>
      <c r="I284" s="762" t="s">
        <v>372</v>
      </c>
      <c r="J284" s="12">
        <v>0</v>
      </c>
      <c r="K284" s="12">
        <v>1</v>
      </c>
      <c r="L284" s="663">
        <v>0.5</v>
      </c>
      <c r="M284" s="1049"/>
      <c r="N284" s="949"/>
      <c r="O284" s="943"/>
      <c r="P284" s="767" t="s">
        <v>47</v>
      </c>
      <c r="Q284" s="27">
        <v>0</v>
      </c>
      <c r="R284" s="27">
        <v>0</v>
      </c>
      <c r="S284" s="27">
        <v>0</v>
      </c>
      <c r="T284" s="27">
        <v>0</v>
      </c>
      <c r="U284" s="27">
        <v>0</v>
      </c>
      <c r="V284" s="27">
        <v>0</v>
      </c>
      <c r="W284" s="27">
        <v>0</v>
      </c>
      <c r="X284" s="27"/>
      <c r="Y284" s="27"/>
      <c r="Z284" s="27"/>
      <c r="AA284" s="27">
        <v>0</v>
      </c>
      <c r="AB284" s="27"/>
      <c r="AC284" s="27">
        <v>0</v>
      </c>
      <c r="AD284" s="27">
        <v>0</v>
      </c>
      <c r="AE284" s="27"/>
      <c r="AF284" s="27"/>
      <c r="AG284" s="27"/>
      <c r="AH284" s="27"/>
      <c r="AI284" s="27"/>
      <c r="AJ284" s="27"/>
      <c r="AK284" s="27">
        <v>0</v>
      </c>
      <c r="AL284" s="66">
        <v>0</v>
      </c>
      <c r="AM284" s="108">
        <f>12200000+30000000</f>
        <v>42200000</v>
      </c>
      <c r="AN284" s="40"/>
      <c r="AO284" s="27">
        <v>0</v>
      </c>
      <c r="AP284" s="28"/>
      <c r="AQ284" s="28"/>
      <c r="AR284" s="27">
        <f t="shared" si="179"/>
        <v>42200000</v>
      </c>
    </row>
    <row r="285" spans="1:44" s="165" customFormat="1" ht="15" x14ac:dyDescent="0.25">
      <c r="A285" s="21"/>
      <c r="B285" s="21"/>
      <c r="C285" s="761"/>
      <c r="D285" s="159"/>
      <c r="E285" s="328"/>
      <c r="F285" s="328"/>
      <c r="G285" s="160"/>
      <c r="H285" s="161"/>
      <c r="I285" s="160"/>
      <c r="J285" s="160"/>
      <c r="K285" s="160"/>
      <c r="L285" s="160"/>
      <c r="M285" s="160"/>
      <c r="N285" s="163"/>
      <c r="O285" s="160"/>
      <c r="P285" s="161"/>
      <c r="Q285" s="262">
        <f t="shared" ref="Q285:AP285" si="182">SUM(Q283:Q284)</f>
        <v>0</v>
      </c>
      <c r="R285" s="262">
        <f t="shared" si="182"/>
        <v>0</v>
      </c>
      <c r="S285" s="262">
        <f t="shared" si="182"/>
        <v>0</v>
      </c>
      <c r="T285" s="262">
        <f t="shared" si="182"/>
        <v>0</v>
      </c>
      <c r="U285" s="262">
        <f t="shared" si="182"/>
        <v>0</v>
      </c>
      <c r="V285" s="262">
        <f t="shared" si="182"/>
        <v>0</v>
      </c>
      <c r="W285" s="262">
        <f t="shared" si="182"/>
        <v>0</v>
      </c>
      <c r="X285" s="262">
        <f t="shared" si="182"/>
        <v>0</v>
      </c>
      <c r="Y285" s="262">
        <f t="shared" si="182"/>
        <v>0</v>
      </c>
      <c r="Z285" s="262">
        <f t="shared" si="182"/>
        <v>0</v>
      </c>
      <c r="AA285" s="262">
        <f t="shared" si="182"/>
        <v>0</v>
      </c>
      <c r="AB285" s="262">
        <f t="shared" si="182"/>
        <v>0</v>
      </c>
      <c r="AC285" s="262">
        <f t="shared" si="182"/>
        <v>0</v>
      </c>
      <c r="AD285" s="262">
        <f t="shared" si="182"/>
        <v>0</v>
      </c>
      <c r="AE285" s="262">
        <f t="shared" si="182"/>
        <v>0</v>
      </c>
      <c r="AF285" s="262">
        <f t="shared" si="182"/>
        <v>0</v>
      </c>
      <c r="AG285" s="262">
        <f t="shared" si="182"/>
        <v>0</v>
      </c>
      <c r="AH285" s="262">
        <f t="shared" si="182"/>
        <v>0</v>
      </c>
      <c r="AI285" s="262">
        <f t="shared" si="182"/>
        <v>0</v>
      </c>
      <c r="AJ285" s="262">
        <f t="shared" si="182"/>
        <v>0</v>
      </c>
      <c r="AK285" s="262">
        <f t="shared" si="182"/>
        <v>0</v>
      </c>
      <c r="AL285" s="262">
        <f t="shared" si="182"/>
        <v>0</v>
      </c>
      <c r="AM285" s="262">
        <f t="shared" si="182"/>
        <v>108800000</v>
      </c>
      <c r="AN285" s="262">
        <f t="shared" si="182"/>
        <v>0</v>
      </c>
      <c r="AO285" s="262">
        <f t="shared" si="182"/>
        <v>0</v>
      </c>
      <c r="AP285" s="262">
        <f t="shared" si="182"/>
        <v>0</v>
      </c>
      <c r="AQ285" s="262">
        <f t="shared" ref="AQ285" si="183">SUM(AQ283:AQ284)</f>
        <v>0</v>
      </c>
      <c r="AR285" s="262">
        <f t="shared" si="179"/>
        <v>108800000</v>
      </c>
    </row>
    <row r="286" spans="1:44" s="29" customFormat="1" ht="15" x14ac:dyDescent="0.25">
      <c r="A286" s="21"/>
      <c r="B286" s="21"/>
      <c r="C286" s="760"/>
      <c r="D286" s="183"/>
      <c r="E286" s="314"/>
      <c r="F286" s="314"/>
      <c r="G286" s="183"/>
      <c r="H286" s="760"/>
      <c r="I286" s="183"/>
      <c r="J286" s="183"/>
      <c r="K286" s="183"/>
      <c r="L286" s="183"/>
      <c r="M286" s="183"/>
      <c r="N286" s="185"/>
      <c r="O286" s="183"/>
      <c r="P286" s="760"/>
      <c r="Q286" s="358"/>
      <c r="R286" s="358"/>
      <c r="S286" s="358"/>
      <c r="T286" s="358"/>
      <c r="U286" s="358"/>
      <c r="V286" s="358"/>
      <c r="W286" s="358"/>
      <c r="X286" s="358"/>
      <c r="Y286" s="358"/>
      <c r="Z286" s="358"/>
      <c r="AA286" s="358"/>
      <c r="AB286" s="358"/>
      <c r="AC286" s="358"/>
      <c r="AD286" s="358"/>
      <c r="AE286" s="359"/>
      <c r="AF286" s="359"/>
      <c r="AG286" s="359"/>
      <c r="AH286" s="359"/>
      <c r="AI286" s="359"/>
      <c r="AJ286" s="359"/>
      <c r="AK286" s="358"/>
      <c r="AL286" s="358"/>
      <c r="AM286" s="360"/>
      <c r="AN286" s="361"/>
      <c r="AO286" s="358"/>
      <c r="AP286" s="358"/>
      <c r="AQ286" s="358"/>
      <c r="AR286" s="868">
        <f t="shared" si="179"/>
        <v>0</v>
      </c>
    </row>
    <row r="287" spans="1:44" s="165" customFormat="1" x14ac:dyDescent="0.25">
      <c r="A287" s="21"/>
      <c r="B287" s="21"/>
      <c r="C287" s="761"/>
      <c r="D287" s="159"/>
      <c r="E287" s="328"/>
      <c r="F287" s="328"/>
      <c r="G287" s="261">
        <v>3</v>
      </c>
      <c r="H287" s="756" t="s">
        <v>373</v>
      </c>
      <c r="I287" s="194"/>
      <c r="J287" s="194"/>
      <c r="K287" s="194"/>
      <c r="L287" s="194"/>
      <c r="M287" s="194"/>
      <c r="N287" s="195"/>
      <c r="O287" s="194"/>
      <c r="P287" s="194"/>
      <c r="Q287" s="194"/>
      <c r="R287" s="194"/>
      <c r="S287" s="194"/>
      <c r="T287" s="194"/>
      <c r="U287" s="194"/>
      <c r="V287" s="194"/>
      <c r="W287" s="194"/>
      <c r="X287" s="194"/>
      <c r="Y287" s="194"/>
      <c r="Z287" s="194"/>
      <c r="AA287" s="194"/>
      <c r="AB287" s="194"/>
      <c r="AC287" s="194"/>
      <c r="AD287" s="194"/>
      <c r="AE287" s="194"/>
      <c r="AF287" s="194"/>
      <c r="AG287" s="194"/>
      <c r="AH287" s="194"/>
      <c r="AI287" s="194"/>
      <c r="AJ287" s="194"/>
      <c r="AK287" s="194"/>
      <c r="AL287" s="194"/>
      <c r="AM287" s="196"/>
      <c r="AN287" s="194"/>
      <c r="AO287" s="194"/>
      <c r="AP287" s="194"/>
      <c r="AQ287" s="194"/>
      <c r="AR287" s="197"/>
    </row>
    <row r="288" spans="1:44" s="29" customFormat="1" ht="73.5" customHeight="1" x14ac:dyDescent="0.25">
      <c r="A288" s="21"/>
      <c r="B288" s="21"/>
      <c r="C288" s="761" t="s">
        <v>374</v>
      </c>
      <c r="D288" s="762" t="s">
        <v>375</v>
      </c>
      <c r="E288" s="767" t="s">
        <v>376</v>
      </c>
      <c r="F288" s="767" t="s">
        <v>377</v>
      </c>
      <c r="G288" s="24"/>
      <c r="H288" s="767">
        <v>14</v>
      </c>
      <c r="I288" s="762" t="s">
        <v>378</v>
      </c>
      <c r="J288" s="12">
        <v>2</v>
      </c>
      <c r="K288" s="12">
        <v>6</v>
      </c>
      <c r="L288" s="663">
        <v>6</v>
      </c>
      <c r="M288" s="12" t="s">
        <v>357</v>
      </c>
      <c r="N288" s="39" t="s">
        <v>379</v>
      </c>
      <c r="O288" s="762" t="s">
        <v>380</v>
      </c>
      <c r="P288" s="767" t="s">
        <v>47</v>
      </c>
      <c r="Q288" s="27">
        <v>0</v>
      </c>
      <c r="R288" s="27">
        <v>0</v>
      </c>
      <c r="S288" s="27">
        <v>0</v>
      </c>
      <c r="T288" s="27">
        <v>0</v>
      </c>
      <c r="U288" s="27">
        <v>0</v>
      </c>
      <c r="V288" s="27">
        <v>0</v>
      </c>
      <c r="W288" s="27">
        <v>0</v>
      </c>
      <c r="X288" s="27"/>
      <c r="Y288" s="27"/>
      <c r="Z288" s="27"/>
      <c r="AA288" s="27">
        <v>0</v>
      </c>
      <c r="AB288" s="27"/>
      <c r="AC288" s="27">
        <v>0</v>
      </c>
      <c r="AD288" s="27">
        <v>0</v>
      </c>
      <c r="AE288" s="27"/>
      <c r="AF288" s="27"/>
      <c r="AG288" s="27"/>
      <c r="AH288" s="27"/>
      <c r="AI288" s="27"/>
      <c r="AJ288" s="27"/>
      <c r="AK288" s="27">
        <v>0</v>
      </c>
      <c r="AL288" s="27">
        <v>0</v>
      </c>
      <c r="AM288" s="109">
        <f>380191884.6692+75115288+1400000+219592885</f>
        <v>676300057.66919994</v>
      </c>
      <c r="AN288" s="42"/>
      <c r="AO288" s="27">
        <v>0</v>
      </c>
      <c r="AP288" s="60">
        <v>0</v>
      </c>
      <c r="AQ288" s="60"/>
      <c r="AR288" s="27">
        <f t="shared" si="179"/>
        <v>676300057.66919994</v>
      </c>
    </row>
    <row r="289" spans="1:44" s="29" customFormat="1" ht="76.5" customHeight="1" x14ac:dyDescent="0.25">
      <c r="A289" s="21"/>
      <c r="B289" s="21"/>
      <c r="C289" s="761">
        <v>3</v>
      </c>
      <c r="D289" s="762" t="s">
        <v>364</v>
      </c>
      <c r="E289" s="767" t="s">
        <v>365</v>
      </c>
      <c r="F289" s="767" t="s">
        <v>150</v>
      </c>
      <c r="G289" s="30"/>
      <c r="H289" s="767">
        <v>15</v>
      </c>
      <c r="I289" s="24" t="s">
        <v>381</v>
      </c>
      <c r="J289" s="12">
        <v>0</v>
      </c>
      <c r="K289" s="12">
        <v>2</v>
      </c>
      <c r="L289" s="663">
        <v>1</v>
      </c>
      <c r="M289" s="1038" t="s">
        <v>357</v>
      </c>
      <c r="N289" s="959" t="s">
        <v>382</v>
      </c>
      <c r="O289" s="942" t="s">
        <v>383</v>
      </c>
      <c r="P289" s="767" t="s">
        <v>47</v>
      </c>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109">
        <f>169400000+148407115</f>
        <v>317807115</v>
      </c>
      <c r="AN289" s="42"/>
      <c r="AO289" s="27"/>
      <c r="AP289" s="28"/>
      <c r="AQ289" s="28"/>
      <c r="AR289" s="27">
        <f t="shared" si="179"/>
        <v>317807115</v>
      </c>
    </row>
    <row r="290" spans="1:44" s="29" customFormat="1" ht="83.25" customHeight="1" x14ac:dyDescent="0.25">
      <c r="A290" s="21"/>
      <c r="B290" s="21"/>
      <c r="C290" s="761"/>
      <c r="D290" s="762"/>
      <c r="E290" s="767"/>
      <c r="F290" s="767"/>
      <c r="G290" s="30"/>
      <c r="H290" s="767">
        <v>16</v>
      </c>
      <c r="I290" s="24" t="s">
        <v>384</v>
      </c>
      <c r="J290" s="12">
        <v>7</v>
      </c>
      <c r="K290" s="12">
        <v>3</v>
      </c>
      <c r="L290" s="663">
        <v>0</v>
      </c>
      <c r="M290" s="1039"/>
      <c r="N290" s="959"/>
      <c r="O290" s="942"/>
      <c r="P290" s="767" t="s">
        <v>42</v>
      </c>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109">
        <v>6000000</v>
      </c>
      <c r="AN290" s="42"/>
      <c r="AO290" s="27"/>
      <c r="AP290" s="28"/>
      <c r="AQ290" s="28"/>
      <c r="AR290" s="27">
        <f t="shared" si="179"/>
        <v>6000000</v>
      </c>
    </row>
    <row r="291" spans="1:44" s="29" customFormat="1" ht="57" customHeight="1" x14ac:dyDescent="0.25">
      <c r="A291" s="21"/>
      <c r="B291" s="21"/>
      <c r="C291" s="761"/>
      <c r="D291" s="762"/>
      <c r="E291" s="767"/>
      <c r="F291" s="767"/>
      <c r="G291" s="30"/>
      <c r="H291" s="767">
        <v>18</v>
      </c>
      <c r="I291" s="762" t="s">
        <v>385</v>
      </c>
      <c r="J291" s="12">
        <v>0</v>
      </c>
      <c r="K291" s="12">
        <v>7</v>
      </c>
      <c r="L291" s="663">
        <v>7</v>
      </c>
      <c r="M291" s="1039"/>
      <c r="N291" s="959"/>
      <c r="O291" s="942"/>
      <c r="P291" s="767" t="s">
        <v>42</v>
      </c>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110">
        <f>10000000-1400000+2337233</f>
        <v>10937233</v>
      </c>
      <c r="AN291" s="11"/>
      <c r="AO291" s="27"/>
      <c r="AP291" s="28"/>
      <c r="AQ291" s="28"/>
      <c r="AR291" s="27">
        <f t="shared" si="179"/>
        <v>10937233</v>
      </c>
    </row>
    <row r="292" spans="1:44" s="29" customFormat="1" ht="72" customHeight="1" x14ac:dyDescent="0.25">
      <c r="A292" s="21"/>
      <c r="B292" s="21"/>
      <c r="C292" s="761">
        <v>4</v>
      </c>
      <c r="D292" s="762" t="s">
        <v>386</v>
      </c>
      <c r="E292" s="767" t="s">
        <v>387</v>
      </c>
      <c r="F292" s="767" t="s">
        <v>388</v>
      </c>
      <c r="G292" s="30"/>
      <c r="H292" s="767">
        <v>19</v>
      </c>
      <c r="I292" s="762" t="s">
        <v>389</v>
      </c>
      <c r="J292" s="12">
        <v>20</v>
      </c>
      <c r="K292" s="767">
        <v>9</v>
      </c>
      <c r="L292" s="663">
        <v>5</v>
      </c>
      <c r="M292" s="1039"/>
      <c r="N292" s="959"/>
      <c r="O292" s="942"/>
      <c r="P292" s="767" t="s">
        <v>42</v>
      </c>
      <c r="Q292" s="27">
        <v>0</v>
      </c>
      <c r="R292" s="27">
        <v>0</v>
      </c>
      <c r="S292" s="27">
        <v>0</v>
      </c>
      <c r="T292" s="27">
        <v>0</v>
      </c>
      <c r="U292" s="27">
        <v>0</v>
      </c>
      <c r="V292" s="27">
        <v>0</v>
      </c>
      <c r="W292" s="27">
        <v>0</v>
      </c>
      <c r="X292" s="27"/>
      <c r="Y292" s="27"/>
      <c r="Z292" s="27"/>
      <c r="AA292" s="27">
        <v>0</v>
      </c>
      <c r="AB292" s="27"/>
      <c r="AC292" s="27">
        <v>0</v>
      </c>
      <c r="AD292" s="27">
        <v>0</v>
      </c>
      <c r="AE292" s="27"/>
      <c r="AF292" s="27"/>
      <c r="AG292" s="27"/>
      <c r="AH292" s="27"/>
      <c r="AI292" s="27"/>
      <c r="AJ292" s="27"/>
      <c r="AK292" s="27">
        <v>0</v>
      </c>
      <c r="AL292" s="27">
        <v>0</v>
      </c>
      <c r="AM292" s="110">
        <v>7000000</v>
      </c>
      <c r="AN292" s="11"/>
      <c r="AO292" s="27">
        <v>0</v>
      </c>
      <c r="AP292" s="28">
        <v>0</v>
      </c>
      <c r="AQ292" s="28"/>
      <c r="AR292" s="27">
        <f t="shared" si="179"/>
        <v>7000000</v>
      </c>
    </row>
    <row r="293" spans="1:44" s="29" customFormat="1" ht="83.25" customHeight="1" x14ac:dyDescent="0.25">
      <c r="A293" s="21"/>
      <c r="B293" s="21"/>
      <c r="C293" s="761">
        <v>1</v>
      </c>
      <c r="D293" s="762" t="s">
        <v>355</v>
      </c>
      <c r="E293" s="76" t="s">
        <v>38</v>
      </c>
      <c r="F293" s="77">
        <v>15000</v>
      </c>
      <c r="G293" s="30"/>
      <c r="H293" s="767">
        <v>20</v>
      </c>
      <c r="I293" s="762" t="s">
        <v>390</v>
      </c>
      <c r="J293" s="12" t="s">
        <v>38</v>
      </c>
      <c r="K293" s="767">
        <v>70</v>
      </c>
      <c r="L293" s="663">
        <v>0</v>
      </c>
      <c r="M293" s="1040"/>
      <c r="N293" s="949"/>
      <c r="O293" s="943"/>
      <c r="P293" s="767" t="s">
        <v>42</v>
      </c>
      <c r="Q293" s="27">
        <v>0</v>
      </c>
      <c r="R293" s="27">
        <v>0</v>
      </c>
      <c r="S293" s="27">
        <v>0</v>
      </c>
      <c r="T293" s="27">
        <v>0</v>
      </c>
      <c r="U293" s="27">
        <v>0</v>
      </c>
      <c r="V293" s="27">
        <v>0</v>
      </c>
      <c r="W293" s="27">
        <v>0</v>
      </c>
      <c r="X293" s="27"/>
      <c r="Y293" s="27"/>
      <c r="Z293" s="27"/>
      <c r="AA293" s="27">
        <v>0</v>
      </c>
      <c r="AB293" s="27"/>
      <c r="AC293" s="27">
        <v>0</v>
      </c>
      <c r="AD293" s="27">
        <v>0</v>
      </c>
      <c r="AE293" s="27"/>
      <c r="AF293" s="27"/>
      <c r="AG293" s="27"/>
      <c r="AH293" s="27"/>
      <c r="AI293" s="27"/>
      <c r="AJ293" s="27"/>
      <c r="AK293" s="27">
        <v>0</v>
      </c>
      <c r="AL293" s="27">
        <v>0</v>
      </c>
      <c r="AM293" s="110">
        <v>7000000</v>
      </c>
      <c r="AN293" s="11"/>
      <c r="AO293" s="27">
        <v>0</v>
      </c>
      <c r="AP293" s="28">
        <v>0</v>
      </c>
      <c r="AQ293" s="28"/>
      <c r="AR293" s="27">
        <f t="shared" si="179"/>
        <v>7000000</v>
      </c>
    </row>
    <row r="294" spans="1:44" s="165" customFormat="1" ht="20.25" customHeight="1" x14ac:dyDescent="0.25">
      <c r="A294" s="21"/>
      <c r="B294" s="158"/>
      <c r="C294" s="761"/>
      <c r="D294" s="762"/>
      <c r="E294" s="767"/>
      <c r="F294" s="767"/>
      <c r="G294" s="160"/>
      <c r="H294" s="161"/>
      <c r="I294" s="160"/>
      <c r="J294" s="160"/>
      <c r="K294" s="160"/>
      <c r="L294" s="160"/>
      <c r="M294" s="160"/>
      <c r="N294" s="163"/>
      <c r="O294" s="362"/>
      <c r="P294" s="161"/>
      <c r="Q294" s="262">
        <f>SUM(Q288:Q293)</f>
        <v>0</v>
      </c>
      <c r="R294" s="262">
        <f t="shared" ref="R294:AL294" si="184">SUM(R288:R293)</f>
        <v>0</v>
      </c>
      <c r="S294" s="262">
        <f t="shared" si="184"/>
        <v>0</v>
      </c>
      <c r="T294" s="262">
        <f t="shared" si="184"/>
        <v>0</v>
      </c>
      <c r="U294" s="262">
        <f t="shared" si="184"/>
        <v>0</v>
      </c>
      <c r="V294" s="262">
        <f t="shared" si="184"/>
        <v>0</v>
      </c>
      <c r="W294" s="262">
        <f t="shared" si="184"/>
        <v>0</v>
      </c>
      <c r="X294" s="262">
        <f t="shared" si="184"/>
        <v>0</v>
      </c>
      <c r="Y294" s="262">
        <f t="shared" si="184"/>
        <v>0</v>
      </c>
      <c r="Z294" s="262">
        <f t="shared" si="184"/>
        <v>0</v>
      </c>
      <c r="AA294" s="262">
        <f t="shared" si="184"/>
        <v>0</v>
      </c>
      <c r="AB294" s="262">
        <f t="shared" si="184"/>
        <v>0</v>
      </c>
      <c r="AC294" s="262">
        <f t="shared" si="184"/>
        <v>0</v>
      </c>
      <c r="AD294" s="262">
        <f t="shared" si="184"/>
        <v>0</v>
      </c>
      <c r="AE294" s="262">
        <f t="shared" si="184"/>
        <v>0</v>
      </c>
      <c r="AF294" s="262">
        <f t="shared" si="184"/>
        <v>0</v>
      </c>
      <c r="AG294" s="262">
        <f t="shared" si="184"/>
        <v>0</v>
      </c>
      <c r="AH294" s="262">
        <f t="shared" si="184"/>
        <v>0</v>
      </c>
      <c r="AI294" s="262">
        <f t="shared" si="184"/>
        <v>0</v>
      </c>
      <c r="AJ294" s="262">
        <f t="shared" si="184"/>
        <v>0</v>
      </c>
      <c r="AK294" s="262">
        <f t="shared" si="184"/>
        <v>0</v>
      </c>
      <c r="AL294" s="262">
        <f t="shared" si="184"/>
        <v>0</v>
      </c>
      <c r="AM294" s="262">
        <f t="shared" ref="AM294:AP294" si="185">SUM(AM288:AM293)</f>
        <v>1025044405.6691999</v>
      </c>
      <c r="AN294" s="262">
        <f t="shared" si="185"/>
        <v>0</v>
      </c>
      <c r="AO294" s="262">
        <f t="shared" si="185"/>
        <v>0</v>
      </c>
      <c r="AP294" s="262">
        <f t="shared" si="185"/>
        <v>0</v>
      </c>
      <c r="AQ294" s="262">
        <f t="shared" ref="AQ294" si="186">SUM(AQ288:AQ293)</f>
        <v>0</v>
      </c>
      <c r="AR294" s="262">
        <f t="shared" si="179"/>
        <v>1025044405.6691999</v>
      </c>
    </row>
    <row r="295" spans="1:44" s="165" customFormat="1" ht="24" customHeight="1" x14ac:dyDescent="0.25">
      <c r="A295" s="158"/>
      <c r="B295" s="167"/>
      <c r="C295" s="229"/>
      <c r="D295" s="167"/>
      <c r="E295" s="168"/>
      <c r="F295" s="168"/>
      <c r="G295" s="167"/>
      <c r="H295" s="168"/>
      <c r="I295" s="167"/>
      <c r="J295" s="167"/>
      <c r="K295" s="167"/>
      <c r="L295" s="167"/>
      <c r="M295" s="167"/>
      <c r="N295" s="170"/>
      <c r="O295" s="167"/>
      <c r="P295" s="168"/>
      <c r="Q295" s="363">
        <f t="shared" ref="Q295:AL295" si="187">Q294+Q285+Q280</f>
        <v>0</v>
      </c>
      <c r="R295" s="363">
        <f t="shared" si="187"/>
        <v>0</v>
      </c>
      <c r="S295" s="363">
        <f t="shared" si="187"/>
        <v>0</v>
      </c>
      <c r="T295" s="363">
        <f t="shared" si="187"/>
        <v>0</v>
      </c>
      <c r="U295" s="363">
        <f t="shared" si="187"/>
        <v>0</v>
      </c>
      <c r="V295" s="363">
        <f t="shared" si="187"/>
        <v>0</v>
      </c>
      <c r="W295" s="363">
        <f t="shared" si="187"/>
        <v>0</v>
      </c>
      <c r="X295" s="363">
        <f t="shared" si="187"/>
        <v>0</v>
      </c>
      <c r="Y295" s="363">
        <f t="shared" si="187"/>
        <v>0</v>
      </c>
      <c r="Z295" s="363">
        <f t="shared" si="187"/>
        <v>0</v>
      </c>
      <c r="AA295" s="363">
        <f t="shared" si="187"/>
        <v>0</v>
      </c>
      <c r="AB295" s="363">
        <f t="shared" si="187"/>
        <v>0</v>
      </c>
      <c r="AC295" s="363">
        <f t="shared" si="187"/>
        <v>0</v>
      </c>
      <c r="AD295" s="363">
        <f t="shared" si="187"/>
        <v>0</v>
      </c>
      <c r="AE295" s="363">
        <f t="shared" si="187"/>
        <v>0</v>
      </c>
      <c r="AF295" s="363">
        <f t="shared" si="187"/>
        <v>0</v>
      </c>
      <c r="AG295" s="363">
        <f t="shared" si="187"/>
        <v>0</v>
      </c>
      <c r="AH295" s="363">
        <f t="shared" si="187"/>
        <v>0</v>
      </c>
      <c r="AI295" s="363">
        <f t="shared" si="187"/>
        <v>0</v>
      </c>
      <c r="AJ295" s="363">
        <f t="shared" si="187"/>
        <v>0</v>
      </c>
      <c r="AK295" s="363">
        <f t="shared" si="187"/>
        <v>0</v>
      </c>
      <c r="AL295" s="363">
        <f t="shared" si="187"/>
        <v>0</v>
      </c>
      <c r="AM295" s="363">
        <f t="shared" ref="AM295:AP295" si="188">AM294+AM285+AM280</f>
        <v>1293844405.6691999</v>
      </c>
      <c r="AN295" s="363">
        <f t="shared" si="188"/>
        <v>0</v>
      </c>
      <c r="AO295" s="363">
        <f t="shared" si="188"/>
        <v>0</v>
      </c>
      <c r="AP295" s="363">
        <f t="shared" si="188"/>
        <v>0</v>
      </c>
      <c r="AQ295" s="363">
        <f t="shared" ref="AQ295" si="189">AQ294+AQ285+AQ280</f>
        <v>0</v>
      </c>
      <c r="AR295" s="363">
        <f t="shared" si="179"/>
        <v>1293844405.6691999</v>
      </c>
    </row>
    <row r="296" spans="1:44" s="29" customFormat="1" ht="23.25" customHeight="1" x14ac:dyDescent="0.25">
      <c r="A296" s="737"/>
      <c r="B296" s="737"/>
      <c r="C296" s="364"/>
      <c r="D296" s="365"/>
      <c r="E296" s="365"/>
      <c r="F296" s="365"/>
      <c r="G296" s="365"/>
      <c r="H296" s="364"/>
      <c r="I296" s="365"/>
      <c r="J296" s="365"/>
      <c r="K296" s="365"/>
      <c r="L296" s="365"/>
      <c r="M296" s="365"/>
      <c r="N296" s="366"/>
      <c r="O296" s="365"/>
      <c r="P296" s="365"/>
      <c r="Q296" s="365">
        <f t="shared" ref="Q296:AL296" si="190">Q295</f>
        <v>0</v>
      </c>
      <c r="R296" s="365">
        <f t="shared" si="190"/>
        <v>0</v>
      </c>
      <c r="S296" s="365">
        <f t="shared" si="190"/>
        <v>0</v>
      </c>
      <c r="T296" s="365">
        <f t="shared" si="190"/>
        <v>0</v>
      </c>
      <c r="U296" s="365">
        <f t="shared" si="190"/>
        <v>0</v>
      </c>
      <c r="V296" s="365">
        <f t="shared" si="190"/>
        <v>0</v>
      </c>
      <c r="W296" s="365">
        <f t="shared" si="190"/>
        <v>0</v>
      </c>
      <c r="X296" s="365">
        <f t="shared" si="190"/>
        <v>0</v>
      </c>
      <c r="Y296" s="365">
        <f t="shared" si="190"/>
        <v>0</v>
      </c>
      <c r="Z296" s="365">
        <f t="shared" si="190"/>
        <v>0</v>
      </c>
      <c r="AA296" s="365">
        <f t="shared" si="190"/>
        <v>0</v>
      </c>
      <c r="AB296" s="365">
        <f t="shared" si="190"/>
        <v>0</v>
      </c>
      <c r="AC296" s="365">
        <f t="shared" si="190"/>
        <v>0</v>
      </c>
      <c r="AD296" s="365">
        <f t="shared" si="190"/>
        <v>0</v>
      </c>
      <c r="AE296" s="365">
        <f t="shared" si="190"/>
        <v>0</v>
      </c>
      <c r="AF296" s="365">
        <f t="shared" si="190"/>
        <v>0</v>
      </c>
      <c r="AG296" s="365">
        <f t="shared" si="190"/>
        <v>0</v>
      </c>
      <c r="AH296" s="365">
        <f t="shared" si="190"/>
        <v>0</v>
      </c>
      <c r="AI296" s="365">
        <f t="shared" si="190"/>
        <v>0</v>
      </c>
      <c r="AJ296" s="365">
        <f t="shared" si="190"/>
        <v>0</v>
      </c>
      <c r="AK296" s="365">
        <f t="shared" si="190"/>
        <v>0</v>
      </c>
      <c r="AL296" s="365">
        <f t="shared" si="190"/>
        <v>0</v>
      </c>
      <c r="AM296" s="365">
        <f t="shared" ref="AM296:AP296" si="191">AM295</f>
        <v>1293844405.6691999</v>
      </c>
      <c r="AN296" s="365">
        <f t="shared" si="191"/>
        <v>0</v>
      </c>
      <c r="AO296" s="365">
        <f t="shared" si="191"/>
        <v>0</v>
      </c>
      <c r="AP296" s="365">
        <f t="shared" si="191"/>
        <v>0</v>
      </c>
      <c r="AQ296" s="365">
        <f t="shared" ref="AQ296" si="192">AQ295</f>
        <v>0</v>
      </c>
      <c r="AR296" s="677">
        <f t="shared" si="179"/>
        <v>1293844405.6691999</v>
      </c>
    </row>
    <row r="297" spans="1:44" s="29" customFormat="1" ht="15" x14ac:dyDescent="0.25">
      <c r="A297" s="182"/>
      <c r="B297" s="183"/>
      <c r="C297" s="760"/>
      <c r="D297" s="183"/>
      <c r="E297" s="760"/>
      <c r="F297" s="760"/>
      <c r="G297" s="183"/>
      <c r="H297" s="760"/>
      <c r="I297" s="183"/>
      <c r="J297" s="183"/>
      <c r="K297" s="183"/>
      <c r="L297" s="183"/>
      <c r="M297" s="183"/>
      <c r="N297" s="185"/>
      <c r="O297" s="183"/>
      <c r="P297" s="760"/>
      <c r="Q297" s="358"/>
      <c r="R297" s="358"/>
      <c r="S297" s="358"/>
      <c r="T297" s="358"/>
      <c r="U297" s="358"/>
      <c r="V297" s="358"/>
      <c r="W297" s="358"/>
      <c r="X297" s="358"/>
      <c r="Y297" s="358"/>
      <c r="Z297" s="358"/>
      <c r="AA297" s="358"/>
      <c r="AB297" s="358"/>
      <c r="AC297" s="358"/>
      <c r="AD297" s="358"/>
      <c r="AE297" s="359"/>
      <c r="AF297" s="359"/>
      <c r="AG297" s="359"/>
      <c r="AH297" s="359"/>
      <c r="AI297" s="359"/>
      <c r="AJ297" s="359"/>
      <c r="AK297" s="358"/>
      <c r="AL297" s="358"/>
      <c r="AM297" s="360"/>
      <c r="AN297" s="358"/>
      <c r="AO297" s="358"/>
      <c r="AP297" s="358"/>
      <c r="AQ297" s="358"/>
      <c r="AR297" s="868">
        <f t="shared" si="179"/>
        <v>0</v>
      </c>
    </row>
    <row r="298" spans="1:44" s="165" customFormat="1" x14ac:dyDescent="0.25">
      <c r="A298" s="826">
        <v>2</v>
      </c>
      <c r="B298" s="142" t="s">
        <v>122</v>
      </c>
      <c r="C298" s="143"/>
      <c r="D298" s="142"/>
      <c r="E298" s="142"/>
      <c r="F298" s="142"/>
      <c r="G298" s="142"/>
      <c r="H298" s="143"/>
      <c r="I298" s="142"/>
      <c r="J298" s="142"/>
      <c r="K298" s="142"/>
      <c r="L298" s="142"/>
      <c r="M298" s="142"/>
      <c r="N298" s="144"/>
      <c r="O298" s="142"/>
      <c r="P298" s="142"/>
      <c r="Q298" s="142"/>
      <c r="R298" s="142"/>
      <c r="S298" s="142"/>
      <c r="T298" s="142"/>
      <c r="U298" s="142"/>
      <c r="V298" s="142"/>
      <c r="W298" s="142"/>
      <c r="X298" s="142"/>
      <c r="Y298" s="142"/>
      <c r="Z298" s="142"/>
      <c r="AA298" s="142"/>
      <c r="AB298" s="142"/>
      <c r="AC298" s="142"/>
      <c r="AD298" s="142"/>
      <c r="AE298" s="142"/>
      <c r="AF298" s="142"/>
      <c r="AG298" s="142"/>
      <c r="AH298" s="142"/>
      <c r="AI298" s="142"/>
      <c r="AJ298" s="142"/>
      <c r="AK298" s="142"/>
      <c r="AL298" s="142"/>
      <c r="AM298" s="145"/>
      <c r="AN298" s="142"/>
      <c r="AO298" s="142"/>
      <c r="AP298" s="142"/>
      <c r="AQ298" s="142"/>
      <c r="AR298" s="146"/>
    </row>
    <row r="299" spans="1:44" s="165" customFormat="1" x14ac:dyDescent="0.25">
      <c r="A299" s="190"/>
      <c r="B299" s="243">
        <v>2</v>
      </c>
      <c r="C299" s="148" t="s">
        <v>299</v>
      </c>
      <c r="D299" s="149"/>
      <c r="E299" s="149"/>
      <c r="F299" s="149"/>
      <c r="G299" s="149"/>
      <c r="H299" s="150"/>
      <c r="I299" s="149"/>
      <c r="J299" s="149"/>
      <c r="K299" s="149"/>
      <c r="L299" s="149"/>
      <c r="M299" s="149"/>
      <c r="N299" s="151"/>
      <c r="O299" s="149"/>
      <c r="P299" s="149"/>
      <c r="Q299" s="149"/>
      <c r="R299" s="149"/>
      <c r="S299" s="149"/>
      <c r="T299" s="149"/>
      <c r="U299" s="149"/>
      <c r="V299" s="149"/>
      <c r="W299" s="149"/>
      <c r="X299" s="149"/>
      <c r="Y299" s="149"/>
      <c r="Z299" s="149"/>
      <c r="AA299" s="149"/>
      <c r="AB299" s="149"/>
      <c r="AC299" s="149"/>
      <c r="AD299" s="149"/>
      <c r="AE299" s="149"/>
      <c r="AF299" s="149"/>
      <c r="AG299" s="149"/>
      <c r="AH299" s="149"/>
      <c r="AI299" s="149"/>
      <c r="AJ299" s="149"/>
      <c r="AK299" s="149"/>
      <c r="AL299" s="149"/>
      <c r="AM299" s="152"/>
      <c r="AN299" s="149"/>
      <c r="AO299" s="149"/>
      <c r="AP299" s="149"/>
      <c r="AQ299" s="149"/>
      <c r="AR299" s="153"/>
    </row>
    <row r="300" spans="1:44" s="165" customFormat="1" ht="23.25" customHeight="1" x14ac:dyDescent="0.25">
      <c r="A300" s="21"/>
      <c r="B300" s="190"/>
      <c r="C300" s="760"/>
      <c r="D300" s="183"/>
      <c r="E300" s="760"/>
      <c r="F300" s="761"/>
      <c r="G300" s="337">
        <v>4</v>
      </c>
      <c r="H300" s="724" t="s">
        <v>391</v>
      </c>
      <c r="I300" s="194"/>
      <c r="J300" s="194"/>
      <c r="K300" s="194"/>
      <c r="L300" s="194"/>
      <c r="M300" s="194"/>
      <c r="N300" s="195"/>
      <c r="O300" s="194"/>
      <c r="P300" s="194"/>
      <c r="Q300" s="194"/>
      <c r="R300" s="194"/>
      <c r="S300" s="194"/>
      <c r="T300" s="194"/>
      <c r="U300" s="194"/>
      <c r="V300" s="194"/>
      <c r="W300" s="194"/>
      <c r="X300" s="194"/>
      <c r="Y300" s="194"/>
      <c r="Z300" s="194"/>
      <c r="AA300" s="194"/>
      <c r="AB300" s="194"/>
      <c r="AC300" s="194"/>
      <c r="AD300" s="194"/>
      <c r="AE300" s="194"/>
      <c r="AF300" s="194"/>
      <c r="AG300" s="194"/>
      <c r="AH300" s="194"/>
      <c r="AI300" s="194"/>
      <c r="AJ300" s="194"/>
      <c r="AK300" s="194"/>
      <c r="AL300" s="194"/>
      <c r="AM300" s="196"/>
      <c r="AN300" s="194"/>
      <c r="AO300" s="194"/>
      <c r="AP300" s="194"/>
      <c r="AQ300" s="194"/>
      <c r="AR300" s="197"/>
    </row>
    <row r="301" spans="1:44" s="29" customFormat="1" ht="82.5" customHeight="1" x14ac:dyDescent="0.25">
      <c r="A301" s="21"/>
      <c r="B301" s="21"/>
      <c r="C301" s="761" t="s">
        <v>392</v>
      </c>
      <c r="D301" s="762" t="s">
        <v>393</v>
      </c>
      <c r="E301" s="767" t="s">
        <v>394</v>
      </c>
      <c r="F301" s="767" t="s">
        <v>395</v>
      </c>
      <c r="G301" s="762"/>
      <c r="H301" s="767">
        <v>21</v>
      </c>
      <c r="I301" s="762" t="s">
        <v>396</v>
      </c>
      <c r="J301" s="12">
        <v>20</v>
      </c>
      <c r="K301" s="767">
        <v>100</v>
      </c>
      <c r="L301" s="663">
        <v>80</v>
      </c>
      <c r="M301" s="1038" t="s">
        <v>93</v>
      </c>
      <c r="N301" s="948" t="s">
        <v>397</v>
      </c>
      <c r="O301" s="924" t="s">
        <v>398</v>
      </c>
      <c r="P301" s="767" t="s">
        <v>42</v>
      </c>
      <c r="Q301" s="27">
        <v>0</v>
      </c>
      <c r="R301" s="27">
        <v>0</v>
      </c>
      <c r="S301" s="27">
        <v>0</v>
      </c>
      <c r="T301" s="27">
        <v>0</v>
      </c>
      <c r="U301" s="27">
        <v>0</v>
      </c>
      <c r="V301" s="27">
        <v>0</v>
      </c>
      <c r="W301" s="27">
        <v>0</v>
      </c>
      <c r="X301" s="27"/>
      <c r="Y301" s="27"/>
      <c r="Z301" s="27"/>
      <c r="AA301" s="27">
        <v>0</v>
      </c>
      <c r="AB301" s="27"/>
      <c r="AC301" s="27">
        <v>0</v>
      </c>
      <c r="AD301" s="27">
        <v>0</v>
      </c>
      <c r="AE301" s="27"/>
      <c r="AF301" s="27"/>
      <c r="AG301" s="27"/>
      <c r="AH301" s="27"/>
      <c r="AI301" s="27"/>
      <c r="AJ301" s="27"/>
      <c r="AK301" s="27">
        <v>0</v>
      </c>
      <c r="AL301" s="27">
        <v>0</v>
      </c>
      <c r="AM301" s="110">
        <f>50000000+50000000</f>
        <v>100000000</v>
      </c>
      <c r="AN301" s="11"/>
      <c r="AO301" s="27">
        <v>0</v>
      </c>
      <c r="AP301" s="28">
        <v>0</v>
      </c>
      <c r="AQ301" s="28"/>
      <c r="AR301" s="27">
        <f t="shared" si="179"/>
        <v>100000000</v>
      </c>
    </row>
    <row r="302" spans="1:44" s="29" customFormat="1" ht="82.5" customHeight="1" x14ac:dyDescent="0.25">
      <c r="A302" s="21"/>
      <c r="B302" s="21"/>
      <c r="C302" s="761" t="s">
        <v>392</v>
      </c>
      <c r="D302" s="762" t="s">
        <v>393</v>
      </c>
      <c r="E302" s="767" t="s">
        <v>394</v>
      </c>
      <c r="F302" s="767" t="s">
        <v>395</v>
      </c>
      <c r="G302" s="762"/>
      <c r="H302" s="761">
        <v>22</v>
      </c>
      <c r="I302" s="762" t="s">
        <v>399</v>
      </c>
      <c r="J302" s="12">
        <v>0</v>
      </c>
      <c r="K302" s="12">
        <v>1</v>
      </c>
      <c r="L302" s="663">
        <v>1</v>
      </c>
      <c r="M302" s="1039"/>
      <c r="N302" s="959"/>
      <c r="O302" s="925"/>
      <c r="P302" s="767" t="s">
        <v>42</v>
      </c>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110">
        <v>50000000</v>
      </c>
      <c r="AN302" s="11"/>
      <c r="AO302" s="27"/>
      <c r="AP302" s="28"/>
      <c r="AQ302" s="28"/>
      <c r="AR302" s="27">
        <f t="shared" si="179"/>
        <v>50000000</v>
      </c>
    </row>
    <row r="303" spans="1:44" s="29" customFormat="1" ht="51" customHeight="1" x14ac:dyDescent="0.25">
      <c r="A303" s="21"/>
      <c r="B303" s="21"/>
      <c r="C303" s="761" t="s">
        <v>392</v>
      </c>
      <c r="D303" s="762" t="s">
        <v>393</v>
      </c>
      <c r="E303" s="767" t="s">
        <v>394</v>
      </c>
      <c r="F303" s="767" t="s">
        <v>395</v>
      </c>
      <c r="G303" s="762"/>
      <c r="H303" s="761">
        <v>23</v>
      </c>
      <c r="I303" s="762" t="s">
        <v>400</v>
      </c>
      <c r="J303" s="12">
        <v>0</v>
      </c>
      <c r="K303" s="12">
        <v>1</v>
      </c>
      <c r="L303" s="663">
        <v>0.25</v>
      </c>
      <c r="M303" s="1039"/>
      <c r="N303" s="959"/>
      <c r="O303" s="925"/>
      <c r="P303" s="767" t="s">
        <v>47</v>
      </c>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110">
        <f>200000000-50000000</f>
        <v>150000000</v>
      </c>
      <c r="AN303" s="11"/>
      <c r="AO303" s="27"/>
      <c r="AP303" s="28"/>
      <c r="AQ303" s="28"/>
      <c r="AR303" s="27">
        <f t="shared" si="179"/>
        <v>150000000</v>
      </c>
    </row>
    <row r="304" spans="1:44" s="29" customFormat="1" ht="79.5" customHeight="1" x14ac:dyDescent="0.25">
      <c r="A304" s="21"/>
      <c r="B304" s="21"/>
      <c r="C304" s="761" t="s">
        <v>392</v>
      </c>
      <c r="D304" s="762" t="s">
        <v>393</v>
      </c>
      <c r="E304" s="767" t="s">
        <v>394</v>
      </c>
      <c r="F304" s="767" t="s">
        <v>395</v>
      </c>
      <c r="G304" s="762"/>
      <c r="H304" s="761">
        <v>24</v>
      </c>
      <c r="I304" s="762" t="s">
        <v>401</v>
      </c>
      <c r="J304" s="12">
        <v>0</v>
      </c>
      <c r="K304" s="12">
        <v>1</v>
      </c>
      <c r="L304" s="663">
        <v>1</v>
      </c>
      <c r="M304" s="1040"/>
      <c r="N304" s="949"/>
      <c r="O304" s="926"/>
      <c r="P304" s="767" t="s">
        <v>42</v>
      </c>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110">
        <v>50000000</v>
      </c>
      <c r="AN304" s="11"/>
      <c r="AO304" s="27"/>
      <c r="AP304" s="28"/>
      <c r="AQ304" s="28"/>
      <c r="AR304" s="27">
        <f t="shared" si="179"/>
        <v>50000000</v>
      </c>
    </row>
    <row r="305" spans="1:44" s="29" customFormat="1" ht="21" customHeight="1" x14ac:dyDescent="0.25">
      <c r="A305" s="21"/>
      <c r="B305" s="21"/>
      <c r="C305" s="761"/>
      <c r="D305" s="762"/>
      <c r="E305" s="767"/>
      <c r="F305" s="767"/>
      <c r="G305" s="117"/>
      <c r="H305" s="118"/>
      <c r="I305" s="13"/>
      <c r="J305" s="14"/>
      <c r="K305" s="14"/>
      <c r="L305" s="102"/>
      <c r="M305" s="102"/>
      <c r="N305" s="119"/>
      <c r="O305" s="120"/>
      <c r="P305" s="121"/>
      <c r="Q305" s="122">
        <f>SUM(Q301:Q304)</f>
        <v>0</v>
      </c>
      <c r="R305" s="122">
        <f t="shared" ref="R305:AL305" si="193">SUM(R301:R304)</f>
        <v>0</v>
      </c>
      <c r="S305" s="122">
        <f t="shared" si="193"/>
        <v>0</v>
      </c>
      <c r="T305" s="122">
        <f t="shared" si="193"/>
        <v>0</v>
      </c>
      <c r="U305" s="122">
        <f t="shared" si="193"/>
        <v>0</v>
      </c>
      <c r="V305" s="122">
        <f t="shared" si="193"/>
        <v>0</v>
      </c>
      <c r="W305" s="122">
        <f t="shared" si="193"/>
        <v>0</v>
      </c>
      <c r="X305" s="122">
        <f t="shared" si="193"/>
        <v>0</v>
      </c>
      <c r="Y305" s="122">
        <f t="shared" si="193"/>
        <v>0</v>
      </c>
      <c r="Z305" s="122">
        <f t="shared" si="193"/>
        <v>0</v>
      </c>
      <c r="AA305" s="122">
        <f t="shared" si="193"/>
        <v>0</v>
      </c>
      <c r="AB305" s="122">
        <f t="shared" si="193"/>
        <v>0</v>
      </c>
      <c r="AC305" s="122">
        <f t="shared" si="193"/>
        <v>0</v>
      </c>
      <c r="AD305" s="122">
        <f t="shared" si="193"/>
        <v>0</v>
      </c>
      <c r="AE305" s="122">
        <f t="shared" si="193"/>
        <v>0</v>
      </c>
      <c r="AF305" s="122">
        <f t="shared" si="193"/>
        <v>0</v>
      </c>
      <c r="AG305" s="122">
        <f t="shared" si="193"/>
        <v>0</v>
      </c>
      <c r="AH305" s="122">
        <f t="shared" si="193"/>
        <v>0</v>
      </c>
      <c r="AI305" s="122">
        <f t="shared" si="193"/>
        <v>0</v>
      </c>
      <c r="AJ305" s="122">
        <f t="shared" si="193"/>
        <v>0</v>
      </c>
      <c r="AK305" s="122">
        <f t="shared" si="193"/>
        <v>0</v>
      </c>
      <c r="AL305" s="122">
        <f t="shared" si="193"/>
        <v>0</v>
      </c>
      <c r="AM305" s="122">
        <f t="shared" ref="AM305:AP305" si="194">SUM(AM301:AM304)</f>
        <v>350000000</v>
      </c>
      <c r="AN305" s="122">
        <f t="shared" si="194"/>
        <v>0</v>
      </c>
      <c r="AO305" s="122">
        <f t="shared" si="194"/>
        <v>0</v>
      </c>
      <c r="AP305" s="122">
        <f t="shared" si="194"/>
        <v>0</v>
      </c>
      <c r="AQ305" s="122">
        <f t="shared" ref="AQ305" si="195">SUM(AQ301:AQ304)</f>
        <v>0</v>
      </c>
      <c r="AR305" s="122">
        <f t="shared" si="179"/>
        <v>350000000</v>
      </c>
    </row>
    <row r="306" spans="1:44" s="29" customFormat="1" ht="21" customHeight="1" x14ac:dyDescent="0.25">
      <c r="A306" s="21"/>
      <c r="B306" s="21"/>
      <c r="C306" s="761"/>
      <c r="D306" s="762"/>
      <c r="E306" s="767"/>
      <c r="F306" s="767"/>
      <c r="G306" s="731"/>
      <c r="H306" s="768"/>
      <c r="I306" s="762"/>
      <c r="J306" s="12"/>
      <c r="K306" s="12"/>
      <c r="L306" s="759"/>
      <c r="M306" s="759"/>
      <c r="N306" s="735"/>
      <c r="O306" s="723"/>
      <c r="P306" s="76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110"/>
      <c r="AN306" s="11"/>
      <c r="AO306" s="28"/>
      <c r="AP306" s="28"/>
      <c r="AQ306" s="28"/>
      <c r="AR306" s="27"/>
    </row>
    <row r="307" spans="1:44" s="29" customFormat="1" ht="28.5" customHeight="1" x14ac:dyDescent="0.25">
      <c r="A307" s="21"/>
      <c r="B307" s="21"/>
      <c r="C307" s="761"/>
      <c r="D307" s="762"/>
      <c r="E307" s="767"/>
      <c r="F307" s="767"/>
      <c r="G307" s="123">
        <v>5</v>
      </c>
      <c r="H307" s="124" t="s">
        <v>402</v>
      </c>
      <c r="I307" s="13"/>
      <c r="J307" s="14"/>
      <c r="K307" s="14"/>
      <c r="L307" s="14"/>
      <c r="M307" s="14"/>
      <c r="N307" s="367"/>
      <c r="O307" s="121"/>
      <c r="P307" s="121"/>
      <c r="Q307" s="122"/>
      <c r="R307" s="122"/>
      <c r="S307" s="122"/>
      <c r="T307" s="122"/>
      <c r="U307" s="122"/>
      <c r="V307" s="122"/>
      <c r="W307" s="122"/>
      <c r="X307" s="122"/>
      <c r="Y307" s="122"/>
      <c r="Z307" s="122"/>
      <c r="AA307" s="122"/>
      <c r="AB307" s="122"/>
      <c r="AC307" s="122"/>
      <c r="AD307" s="122"/>
      <c r="AE307" s="122"/>
      <c r="AF307" s="122"/>
      <c r="AG307" s="122"/>
      <c r="AH307" s="122"/>
      <c r="AI307" s="122"/>
      <c r="AJ307" s="122"/>
      <c r="AK307" s="122"/>
      <c r="AL307" s="122"/>
      <c r="AM307" s="368"/>
      <c r="AN307" s="369"/>
      <c r="AO307" s="369">
        <f>SUM(AO301:AO304)</f>
        <v>0</v>
      </c>
      <c r="AP307" s="369">
        <f>SUM(AP301:AP304)</f>
        <v>0</v>
      </c>
      <c r="AQ307" s="369">
        <f>SUM(AQ301:AQ304)</f>
        <v>0</v>
      </c>
      <c r="AR307" s="369"/>
    </row>
    <row r="308" spans="1:44" s="29" customFormat="1" ht="63.75" customHeight="1" x14ac:dyDescent="0.25">
      <c r="A308" s="21"/>
      <c r="B308" s="21"/>
      <c r="C308" s="761" t="s">
        <v>392</v>
      </c>
      <c r="D308" s="762" t="s">
        <v>393</v>
      </c>
      <c r="E308" s="767" t="s">
        <v>394</v>
      </c>
      <c r="F308" s="767" t="s">
        <v>395</v>
      </c>
      <c r="G308" s="78"/>
      <c r="H308" s="767">
        <v>25</v>
      </c>
      <c r="I308" s="762" t="s">
        <v>403</v>
      </c>
      <c r="J308" s="12" t="s">
        <v>38</v>
      </c>
      <c r="K308" s="767">
        <v>2</v>
      </c>
      <c r="L308" s="663">
        <v>1</v>
      </c>
      <c r="M308" s="1038" t="s">
        <v>93</v>
      </c>
      <c r="N308" s="948" t="s">
        <v>404</v>
      </c>
      <c r="O308" s="924" t="s">
        <v>405</v>
      </c>
      <c r="P308" s="767" t="s">
        <v>42</v>
      </c>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110">
        <f>300000000+60000000</f>
        <v>360000000</v>
      </c>
      <c r="AN308" s="11"/>
      <c r="AO308" s="27"/>
      <c r="AP308" s="28"/>
      <c r="AQ308" s="28"/>
      <c r="AR308" s="27">
        <f t="shared" si="179"/>
        <v>360000000</v>
      </c>
    </row>
    <row r="309" spans="1:44" s="29" customFormat="1" ht="99.75" customHeight="1" x14ac:dyDescent="0.25">
      <c r="A309" s="21"/>
      <c r="B309" s="21"/>
      <c r="C309" s="761" t="s">
        <v>392</v>
      </c>
      <c r="D309" s="762" t="s">
        <v>393</v>
      </c>
      <c r="E309" s="767" t="s">
        <v>394</v>
      </c>
      <c r="F309" s="767" t="s">
        <v>395</v>
      </c>
      <c r="G309" s="78"/>
      <c r="H309" s="767">
        <v>26</v>
      </c>
      <c r="I309" s="762" t="s">
        <v>406</v>
      </c>
      <c r="J309" s="12" t="s">
        <v>38</v>
      </c>
      <c r="K309" s="767">
        <v>1</v>
      </c>
      <c r="L309" s="663">
        <v>0.7</v>
      </c>
      <c r="M309" s="1039"/>
      <c r="N309" s="959"/>
      <c r="O309" s="925"/>
      <c r="P309" s="767" t="s">
        <v>42</v>
      </c>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110">
        <v>50000000</v>
      </c>
      <c r="AN309" s="11"/>
      <c r="AO309" s="27"/>
      <c r="AP309" s="28"/>
      <c r="AQ309" s="28"/>
      <c r="AR309" s="27">
        <f t="shared" si="179"/>
        <v>50000000</v>
      </c>
    </row>
    <row r="310" spans="1:44" s="29" customFormat="1" ht="60.75" customHeight="1" x14ac:dyDescent="0.25">
      <c r="A310" s="21"/>
      <c r="B310" s="21"/>
      <c r="C310" s="761" t="s">
        <v>392</v>
      </c>
      <c r="D310" s="762" t="s">
        <v>393</v>
      </c>
      <c r="E310" s="767" t="s">
        <v>394</v>
      </c>
      <c r="F310" s="767" t="s">
        <v>395</v>
      </c>
      <c r="G310" s="78"/>
      <c r="H310" s="767">
        <v>27</v>
      </c>
      <c r="I310" s="762" t="s">
        <v>407</v>
      </c>
      <c r="J310" s="12">
        <v>0</v>
      </c>
      <c r="K310" s="767">
        <v>2</v>
      </c>
      <c r="L310" s="663">
        <v>0</v>
      </c>
      <c r="M310" s="1039"/>
      <c r="N310" s="959"/>
      <c r="O310" s="925"/>
      <c r="P310" s="767" t="s">
        <v>42</v>
      </c>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110"/>
      <c r="AN310" s="11"/>
      <c r="AO310" s="27"/>
      <c r="AP310" s="28"/>
      <c r="AQ310" s="28"/>
      <c r="AR310" s="27">
        <f t="shared" si="179"/>
        <v>0</v>
      </c>
    </row>
    <row r="311" spans="1:44" s="29" customFormat="1" ht="51" customHeight="1" x14ac:dyDescent="0.25">
      <c r="A311" s="21"/>
      <c r="B311" s="21"/>
      <c r="C311" s="761" t="s">
        <v>392</v>
      </c>
      <c r="D311" s="762" t="s">
        <v>393</v>
      </c>
      <c r="E311" s="767" t="s">
        <v>394</v>
      </c>
      <c r="F311" s="767" t="s">
        <v>395</v>
      </c>
      <c r="G311" s="78"/>
      <c r="H311" s="767">
        <v>28</v>
      </c>
      <c r="I311" s="762" t="s">
        <v>408</v>
      </c>
      <c r="J311" s="12" t="s">
        <v>38</v>
      </c>
      <c r="K311" s="767">
        <v>2</v>
      </c>
      <c r="L311" s="663">
        <v>0.5</v>
      </c>
      <c r="M311" s="1039"/>
      <c r="N311" s="949"/>
      <c r="O311" s="926"/>
      <c r="P311" s="767" t="s">
        <v>42</v>
      </c>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110"/>
      <c r="AN311" s="11"/>
      <c r="AO311" s="27"/>
      <c r="AP311" s="28"/>
      <c r="AQ311" s="28"/>
      <c r="AR311" s="27">
        <f t="shared" si="179"/>
        <v>0</v>
      </c>
    </row>
    <row r="312" spans="1:44" s="29" customFormat="1" ht="57" customHeight="1" x14ac:dyDescent="0.25">
      <c r="A312" s="21"/>
      <c r="B312" s="21"/>
      <c r="C312" s="761" t="s">
        <v>392</v>
      </c>
      <c r="D312" s="762" t="s">
        <v>393</v>
      </c>
      <c r="E312" s="767" t="s">
        <v>394</v>
      </c>
      <c r="F312" s="767" t="s">
        <v>395</v>
      </c>
      <c r="G312" s="78"/>
      <c r="H312" s="767">
        <v>29</v>
      </c>
      <c r="I312" s="762" t="s">
        <v>409</v>
      </c>
      <c r="J312" s="12">
        <v>0</v>
      </c>
      <c r="K312" s="767">
        <v>1</v>
      </c>
      <c r="L312" s="663">
        <v>0.5</v>
      </c>
      <c r="M312" s="1039"/>
      <c r="N312" s="735" t="s">
        <v>896</v>
      </c>
      <c r="O312" s="723" t="s">
        <v>410</v>
      </c>
      <c r="P312" s="767" t="s">
        <v>47</v>
      </c>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110">
        <v>25000000</v>
      </c>
      <c r="AN312" s="11"/>
      <c r="AO312" s="27"/>
      <c r="AP312" s="28"/>
      <c r="AQ312" s="28"/>
      <c r="AR312" s="27">
        <f t="shared" si="179"/>
        <v>25000000</v>
      </c>
    </row>
    <row r="313" spans="1:44" s="29" customFormat="1" ht="102.75" customHeight="1" x14ac:dyDescent="0.25">
      <c r="A313" s="21"/>
      <c r="B313" s="21"/>
      <c r="C313" s="761" t="s">
        <v>392</v>
      </c>
      <c r="D313" s="762" t="s">
        <v>393</v>
      </c>
      <c r="E313" s="767" t="s">
        <v>394</v>
      </c>
      <c r="F313" s="767" t="s">
        <v>395</v>
      </c>
      <c r="G313" s="79"/>
      <c r="H313" s="767">
        <v>30</v>
      </c>
      <c r="I313" s="762" t="s">
        <v>411</v>
      </c>
      <c r="J313" s="12">
        <v>1</v>
      </c>
      <c r="K313" s="767">
        <v>1</v>
      </c>
      <c r="L313" s="663">
        <v>0</v>
      </c>
      <c r="M313" s="1040"/>
      <c r="N313" s="31" t="s">
        <v>412</v>
      </c>
      <c r="O313" s="762" t="s">
        <v>413</v>
      </c>
      <c r="P313" s="767" t="s">
        <v>47</v>
      </c>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110">
        <f>25000000+20000000</f>
        <v>45000000</v>
      </c>
      <c r="AN313" s="11"/>
      <c r="AO313" s="27"/>
      <c r="AP313" s="27"/>
      <c r="AQ313" s="27"/>
      <c r="AR313" s="27">
        <f t="shared" si="179"/>
        <v>45000000</v>
      </c>
    </row>
    <row r="314" spans="1:44" s="165" customFormat="1" ht="24.75" customHeight="1" x14ac:dyDescent="0.25">
      <c r="A314" s="21"/>
      <c r="B314" s="21"/>
      <c r="C314" s="760"/>
      <c r="D314" s="183"/>
      <c r="E314" s="760"/>
      <c r="F314" s="760"/>
      <c r="G314" s="337"/>
      <c r="H314" s="370"/>
      <c r="I314" s="371"/>
      <c r="J314" s="372"/>
      <c r="K314" s="372"/>
      <c r="L314" s="372"/>
      <c r="M314" s="372"/>
      <c r="N314" s="373"/>
      <c r="O314" s="371"/>
      <c r="P314" s="374"/>
      <c r="Q314" s="375">
        <f>SUM(Q308:Q313)</f>
        <v>0</v>
      </c>
      <c r="R314" s="375">
        <f t="shared" ref="R314:AL314" si="196">SUM(R308:R313)</f>
        <v>0</v>
      </c>
      <c r="S314" s="375">
        <f t="shared" si="196"/>
        <v>0</v>
      </c>
      <c r="T314" s="375">
        <f t="shared" si="196"/>
        <v>0</v>
      </c>
      <c r="U314" s="375">
        <f t="shared" si="196"/>
        <v>0</v>
      </c>
      <c r="V314" s="375">
        <f t="shared" si="196"/>
        <v>0</v>
      </c>
      <c r="W314" s="375">
        <f t="shared" si="196"/>
        <v>0</v>
      </c>
      <c r="X314" s="375">
        <f t="shared" si="196"/>
        <v>0</v>
      </c>
      <c r="Y314" s="375">
        <f t="shared" si="196"/>
        <v>0</v>
      </c>
      <c r="Z314" s="375">
        <f t="shared" si="196"/>
        <v>0</v>
      </c>
      <c r="AA314" s="375">
        <f t="shared" si="196"/>
        <v>0</v>
      </c>
      <c r="AB314" s="375">
        <f t="shared" si="196"/>
        <v>0</v>
      </c>
      <c r="AC314" s="375">
        <f t="shared" si="196"/>
        <v>0</v>
      </c>
      <c r="AD314" s="375">
        <f t="shared" si="196"/>
        <v>0</v>
      </c>
      <c r="AE314" s="375">
        <f t="shared" si="196"/>
        <v>0</v>
      </c>
      <c r="AF314" s="375">
        <f t="shared" si="196"/>
        <v>0</v>
      </c>
      <c r="AG314" s="375">
        <f t="shared" si="196"/>
        <v>0</v>
      </c>
      <c r="AH314" s="375">
        <f t="shared" si="196"/>
        <v>0</v>
      </c>
      <c r="AI314" s="375">
        <f t="shared" si="196"/>
        <v>0</v>
      </c>
      <c r="AJ314" s="375">
        <f t="shared" si="196"/>
        <v>0</v>
      </c>
      <c r="AK314" s="375">
        <f t="shared" si="196"/>
        <v>0</v>
      </c>
      <c r="AL314" s="375">
        <f t="shared" si="196"/>
        <v>0</v>
      </c>
      <c r="AM314" s="375">
        <f t="shared" ref="AM314:AP314" si="197">SUM(AM308:AM313)</f>
        <v>480000000</v>
      </c>
      <c r="AN314" s="375">
        <f t="shared" si="197"/>
        <v>0</v>
      </c>
      <c r="AO314" s="375">
        <f t="shared" si="197"/>
        <v>0</v>
      </c>
      <c r="AP314" s="375">
        <f t="shared" si="197"/>
        <v>0</v>
      </c>
      <c r="AQ314" s="375">
        <f t="shared" ref="AQ314" si="198">SUM(AQ308:AQ313)</f>
        <v>0</v>
      </c>
      <c r="AR314" s="869">
        <f t="shared" si="179"/>
        <v>480000000</v>
      </c>
    </row>
    <row r="315" spans="1:44" s="29" customFormat="1" ht="15" x14ac:dyDescent="0.25">
      <c r="A315" s="21"/>
      <c r="B315" s="21"/>
      <c r="C315" s="760"/>
      <c r="D315" s="183"/>
      <c r="E315" s="760"/>
      <c r="F315" s="760"/>
      <c r="G315" s="376"/>
      <c r="H315" s="244"/>
      <c r="I315" s="183"/>
      <c r="J315" s="267"/>
      <c r="K315" s="267"/>
      <c r="L315" s="267"/>
      <c r="M315" s="267"/>
      <c r="N315" s="185"/>
      <c r="O315" s="183"/>
      <c r="P315" s="760"/>
      <c r="Q315" s="186"/>
      <c r="R315" s="186"/>
      <c r="S315" s="186"/>
      <c r="T315" s="186"/>
      <c r="U315" s="186"/>
      <c r="V315" s="186"/>
      <c r="W315" s="186"/>
      <c r="X315" s="186"/>
      <c r="Y315" s="186"/>
      <c r="Z315" s="186"/>
      <c r="AA315" s="186"/>
      <c r="AB315" s="186"/>
      <c r="AC315" s="186"/>
      <c r="AD315" s="186"/>
      <c r="AE315" s="186"/>
      <c r="AF315" s="186"/>
      <c r="AG315" s="186"/>
      <c r="AH315" s="186"/>
      <c r="AI315" s="186"/>
      <c r="AJ315" s="186"/>
      <c r="AK315" s="186"/>
      <c r="AL315" s="186"/>
      <c r="AM315" s="188"/>
      <c r="AN315" s="186"/>
      <c r="AO315" s="186"/>
      <c r="AP315" s="186"/>
      <c r="AQ315" s="186"/>
      <c r="AR315" s="205">
        <f t="shared" si="179"/>
        <v>0</v>
      </c>
    </row>
    <row r="316" spans="1:44" s="165" customFormat="1" ht="26.25" customHeight="1" thickBot="1" x14ac:dyDescent="0.3">
      <c r="A316" s="21"/>
      <c r="B316" s="21"/>
      <c r="C316" s="761"/>
      <c r="D316" s="762"/>
      <c r="E316" s="767"/>
      <c r="F316" s="767"/>
      <c r="G316" s="261">
        <v>6</v>
      </c>
      <c r="H316" s="756" t="s">
        <v>414</v>
      </c>
      <c r="I316" s="194"/>
      <c r="J316" s="194"/>
      <c r="K316" s="194"/>
      <c r="L316" s="194"/>
      <c r="M316" s="194"/>
      <c r="N316" s="195"/>
      <c r="O316" s="194"/>
      <c r="P316" s="194"/>
      <c r="Q316" s="194"/>
      <c r="R316" s="194"/>
      <c r="S316" s="194"/>
      <c r="T316" s="194"/>
      <c r="U316" s="194"/>
      <c r="V316" s="194"/>
      <c r="W316" s="194"/>
      <c r="X316" s="194"/>
      <c r="Y316" s="194"/>
      <c r="Z316" s="194"/>
      <c r="AA316" s="194"/>
      <c r="AB316" s="194"/>
      <c r="AC316" s="194"/>
      <c r="AD316" s="194"/>
      <c r="AE316" s="194"/>
      <c r="AF316" s="194"/>
      <c r="AG316" s="194"/>
      <c r="AH316" s="194"/>
      <c r="AI316" s="194"/>
      <c r="AJ316" s="194"/>
      <c r="AK316" s="194"/>
      <c r="AL316" s="194"/>
      <c r="AM316" s="196"/>
      <c r="AN316" s="194"/>
      <c r="AO316" s="194"/>
      <c r="AP316" s="194"/>
      <c r="AQ316" s="194"/>
      <c r="AR316" s="197"/>
    </row>
    <row r="317" spans="1:44" s="165" customFormat="1" ht="66" customHeight="1" x14ac:dyDescent="0.25">
      <c r="A317" s="21"/>
      <c r="B317" s="21"/>
      <c r="C317" s="774">
        <v>5</v>
      </c>
      <c r="D317" s="729" t="s">
        <v>415</v>
      </c>
      <c r="E317" s="718">
        <v>12.9</v>
      </c>
      <c r="F317" s="718">
        <v>8.9</v>
      </c>
      <c r="G317" s="377"/>
      <c r="H317" s="10">
        <v>31</v>
      </c>
      <c r="I317" s="159" t="s">
        <v>416</v>
      </c>
      <c r="J317" s="12" t="s">
        <v>38</v>
      </c>
      <c r="K317" s="664">
        <v>4</v>
      </c>
      <c r="L317" s="663">
        <v>3</v>
      </c>
      <c r="M317" s="1041" t="s">
        <v>93</v>
      </c>
      <c r="N317" s="948" t="s">
        <v>417</v>
      </c>
      <c r="O317" s="941" t="s">
        <v>418</v>
      </c>
      <c r="P317" s="767" t="s">
        <v>47</v>
      </c>
      <c r="Q317" s="27"/>
      <c r="R317" s="27"/>
      <c r="S317" s="27"/>
      <c r="T317" s="27"/>
      <c r="U317" s="27"/>
      <c r="V317" s="27"/>
      <c r="W317" s="27"/>
      <c r="X317" s="27"/>
      <c r="Y317" s="27"/>
      <c r="Z317" s="27"/>
      <c r="AA317" s="27"/>
      <c r="AB317" s="27"/>
      <c r="AC317" s="27"/>
      <c r="AD317" s="27"/>
      <c r="AE317" s="257"/>
      <c r="AF317" s="257"/>
      <c r="AG317" s="257"/>
      <c r="AH317" s="257"/>
      <c r="AI317" s="257"/>
      <c r="AJ317" s="257"/>
      <c r="AK317" s="27"/>
      <c r="AL317" s="27"/>
      <c r="AM317" s="112">
        <f>95900000+10000000</f>
        <v>105900000</v>
      </c>
      <c r="AN317" s="5"/>
      <c r="AO317" s="27"/>
      <c r="AP317" s="290"/>
      <c r="AQ317" s="290"/>
      <c r="AR317" s="27">
        <f t="shared" si="179"/>
        <v>105900000</v>
      </c>
    </row>
    <row r="318" spans="1:44" s="165" customFormat="1" ht="57" customHeight="1" x14ac:dyDescent="0.25">
      <c r="A318" s="21"/>
      <c r="B318" s="21"/>
      <c r="C318" s="716">
        <v>6</v>
      </c>
      <c r="D318" s="730" t="s">
        <v>419</v>
      </c>
      <c r="E318" s="719">
        <v>3.4</v>
      </c>
      <c r="F318" s="719">
        <v>4.5999999999999996</v>
      </c>
      <c r="G318" s="377"/>
      <c r="H318" s="10">
        <v>32</v>
      </c>
      <c r="I318" s="762" t="s">
        <v>420</v>
      </c>
      <c r="J318" s="12" t="s">
        <v>38</v>
      </c>
      <c r="K318" s="767">
        <v>30</v>
      </c>
      <c r="L318" s="663">
        <v>15</v>
      </c>
      <c r="M318" s="1042"/>
      <c r="N318" s="959"/>
      <c r="O318" s="942"/>
      <c r="P318" s="767" t="s">
        <v>42</v>
      </c>
      <c r="Q318" s="27">
        <v>0</v>
      </c>
      <c r="R318" s="27">
        <v>0</v>
      </c>
      <c r="S318" s="27">
        <v>0</v>
      </c>
      <c r="T318" s="27">
        <v>0</v>
      </c>
      <c r="U318" s="27">
        <v>0</v>
      </c>
      <c r="V318" s="27">
        <v>0</v>
      </c>
      <c r="W318" s="27">
        <v>0</v>
      </c>
      <c r="X318" s="27"/>
      <c r="Y318" s="27"/>
      <c r="Z318" s="27"/>
      <c r="AA318" s="27">
        <v>0</v>
      </c>
      <c r="AB318" s="27"/>
      <c r="AC318" s="27">
        <v>0</v>
      </c>
      <c r="AD318" s="27">
        <v>0</v>
      </c>
      <c r="AE318" s="257"/>
      <c r="AF318" s="257"/>
      <c r="AG318" s="257"/>
      <c r="AH318" s="257"/>
      <c r="AI318" s="257"/>
      <c r="AJ318" s="257"/>
      <c r="AK318" s="27">
        <v>0</v>
      </c>
      <c r="AL318" s="27">
        <v>0</v>
      </c>
      <c r="AM318" s="112">
        <f>86900000+100000000</f>
        <v>186900000</v>
      </c>
      <c r="AN318" s="5"/>
      <c r="AO318" s="27">
        <v>0</v>
      </c>
      <c r="AP318" s="290">
        <v>0</v>
      </c>
      <c r="AQ318" s="290"/>
      <c r="AR318" s="27">
        <f t="shared" si="179"/>
        <v>186900000</v>
      </c>
    </row>
    <row r="319" spans="1:44" s="165" customFormat="1" ht="60.75" customHeight="1" x14ac:dyDescent="0.25">
      <c r="A319" s="21"/>
      <c r="B319" s="21"/>
      <c r="C319" s="717">
        <v>7</v>
      </c>
      <c r="D319" s="731" t="s">
        <v>421</v>
      </c>
      <c r="E319" s="723">
        <v>31.7</v>
      </c>
      <c r="F319" s="723">
        <v>27</v>
      </c>
      <c r="G319" s="377"/>
      <c r="H319" s="10">
        <v>33</v>
      </c>
      <c r="I319" s="159" t="s">
        <v>422</v>
      </c>
      <c r="J319" s="12" t="s">
        <v>38</v>
      </c>
      <c r="K319" s="767">
        <v>400</v>
      </c>
      <c r="L319" s="663">
        <v>300</v>
      </c>
      <c r="M319" s="1042"/>
      <c r="N319" s="959"/>
      <c r="O319" s="942"/>
      <c r="P319" s="767" t="s">
        <v>42</v>
      </c>
      <c r="Q319" s="378">
        <v>0</v>
      </c>
      <c r="R319" s="27">
        <v>0</v>
      </c>
      <c r="S319" s="27">
        <v>0</v>
      </c>
      <c r="T319" s="27">
        <v>0</v>
      </c>
      <c r="U319" s="27">
        <v>0</v>
      </c>
      <c r="V319" s="27">
        <v>0</v>
      </c>
      <c r="W319" s="27">
        <v>0</v>
      </c>
      <c r="X319" s="27"/>
      <c r="Y319" s="27"/>
      <c r="Z319" s="27"/>
      <c r="AA319" s="27">
        <v>0</v>
      </c>
      <c r="AB319" s="27"/>
      <c r="AC319" s="27">
        <v>0</v>
      </c>
      <c r="AD319" s="27">
        <v>0</v>
      </c>
      <c r="AE319" s="257"/>
      <c r="AF319" s="257"/>
      <c r="AG319" s="257"/>
      <c r="AH319" s="257"/>
      <c r="AI319" s="257"/>
      <c r="AJ319" s="257"/>
      <c r="AK319" s="27">
        <v>0</v>
      </c>
      <c r="AL319" s="27">
        <v>0</v>
      </c>
      <c r="AM319" s="112">
        <f>8600000+20000000</f>
        <v>28600000</v>
      </c>
      <c r="AN319" s="5"/>
      <c r="AO319" s="27">
        <v>0</v>
      </c>
      <c r="AP319" s="290">
        <v>0</v>
      </c>
      <c r="AQ319" s="290"/>
      <c r="AR319" s="27">
        <f t="shared" si="179"/>
        <v>28600000</v>
      </c>
    </row>
    <row r="320" spans="1:44" s="165" customFormat="1" ht="88.5" customHeight="1" thickBot="1" x14ac:dyDescent="0.3">
      <c r="A320" s="21"/>
      <c r="B320" s="21"/>
      <c r="C320" s="761"/>
      <c r="D320" s="7"/>
      <c r="E320" s="767"/>
      <c r="F320" s="767"/>
      <c r="G320" s="379"/>
      <c r="H320" s="10">
        <v>34</v>
      </c>
      <c r="I320" s="159" t="s">
        <v>423</v>
      </c>
      <c r="J320" s="12" t="s">
        <v>38</v>
      </c>
      <c r="K320" s="665">
        <v>800</v>
      </c>
      <c r="L320" s="663">
        <v>600</v>
      </c>
      <c r="M320" s="1043"/>
      <c r="N320" s="949"/>
      <c r="O320" s="943"/>
      <c r="P320" s="767" t="s">
        <v>42</v>
      </c>
      <c r="Q320" s="27">
        <v>0</v>
      </c>
      <c r="R320" s="27">
        <v>0</v>
      </c>
      <c r="S320" s="27">
        <v>0</v>
      </c>
      <c r="T320" s="27">
        <v>0</v>
      </c>
      <c r="U320" s="27">
        <v>0</v>
      </c>
      <c r="V320" s="27">
        <v>0</v>
      </c>
      <c r="W320" s="27">
        <v>0</v>
      </c>
      <c r="X320" s="27"/>
      <c r="Y320" s="27"/>
      <c r="Z320" s="27"/>
      <c r="AA320" s="27">
        <v>0</v>
      </c>
      <c r="AB320" s="27"/>
      <c r="AC320" s="27">
        <v>0</v>
      </c>
      <c r="AD320" s="27">
        <v>0</v>
      </c>
      <c r="AE320" s="257"/>
      <c r="AF320" s="257"/>
      <c r="AG320" s="257"/>
      <c r="AH320" s="257"/>
      <c r="AI320" s="257"/>
      <c r="AJ320" s="257"/>
      <c r="AK320" s="27">
        <v>0</v>
      </c>
      <c r="AL320" s="27">
        <v>0</v>
      </c>
      <c r="AM320" s="112">
        <f>8600000+20000000</f>
        <v>28600000</v>
      </c>
      <c r="AN320" s="5"/>
      <c r="AO320" s="27">
        <v>0</v>
      </c>
      <c r="AP320" s="290">
        <v>0</v>
      </c>
      <c r="AQ320" s="290"/>
      <c r="AR320" s="27">
        <f t="shared" si="179"/>
        <v>28600000</v>
      </c>
    </row>
    <row r="321" spans="1:44" s="29" customFormat="1" ht="26.25" customHeight="1" x14ac:dyDescent="0.25">
      <c r="A321" s="21"/>
      <c r="B321" s="21"/>
      <c r="C321" s="1044"/>
      <c r="D321" s="1044"/>
      <c r="E321" s="1044"/>
      <c r="F321" s="1045"/>
      <c r="G321" s="298"/>
      <c r="H321" s="311"/>
      <c r="I321" s="298"/>
      <c r="J321" s="298"/>
      <c r="K321" s="298"/>
      <c r="L321" s="298"/>
      <c r="M321" s="298"/>
      <c r="N321" s="380"/>
      <c r="O321" s="298"/>
      <c r="P321" s="311"/>
      <c r="Q321" s="381">
        <f>SUM(Q317:Q320)</f>
        <v>0</v>
      </c>
      <c r="R321" s="381">
        <f t="shared" ref="R321:AL321" si="199">SUM(R317:R320)</f>
        <v>0</v>
      </c>
      <c r="S321" s="381">
        <f t="shared" si="199"/>
        <v>0</v>
      </c>
      <c r="T321" s="381">
        <f t="shared" si="199"/>
        <v>0</v>
      </c>
      <c r="U321" s="381">
        <f t="shared" si="199"/>
        <v>0</v>
      </c>
      <c r="V321" s="381">
        <f t="shared" si="199"/>
        <v>0</v>
      </c>
      <c r="W321" s="381">
        <f t="shared" si="199"/>
        <v>0</v>
      </c>
      <c r="X321" s="381">
        <f t="shared" si="199"/>
        <v>0</v>
      </c>
      <c r="Y321" s="381">
        <f t="shared" si="199"/>
        <v>0</v>
      </c>
      <c r="Z321" s="381">
        <f t="shared" si="199"/>
        <v>0</v>
      </c>
      <c r="AA321" s="381">
        <f t="shared" si="199"/>
        <v>0</v>
      </c>
      <c r="AB321" s="381">
        <f t="shared" si="199"/>
        <v>0</v>
      </c>
      <c r="AC321" s="381">
        <f t="shared" si="199"/>
        <v>0</v>
      </c>
      <c r="AD321" s="381">
        <f t="shared" si="199"/>
        <v>0</v>
      </c>
      <c r="AE321" s="381">
        <f t="shared" si="199"/>
        <v>0</v>
      </c>
      <c r="AF321" s="381">
        <f t="shared" si="199"/>
        <v>0</v>
      </c>
      <c r="AG321" s="381">
        <f t="shared" si="199"/>
        <v>0</v>
      </c>
      <c r="AH321" s="381">
        <f t="shared" si="199"/>
        <v>0</v>
      </c>
      <c r="AI321" s="381">
        <f t="shared" si="199"/>
        <v>0</v>
      </c>
      <c r="AJ321" s="381">
        <f t="shared" si="199"/>
        <v>0</v>
      </c>
      <c r="AK321" s="381">
        <f t="shared" si="199"/>
        <v>0</v>
      </c>
      <c r="AL321" s="381">
        <f t="shared" si="199"/>
        <v>0</v>
      </c>
      <c r="AM321" s="381">
        <f t="shared" ref="AM321:AP321" si="200">SUM(AM317:AM320)</f>
        <v>350000000</v>
      </c>
      <c r="AN321" s="381">
        <f t="shared" si="200"/>
        <v>0</v>
      </c>
      <c r="AO321" s="381">
        <f t="shared" si="200"/>
        <v>0</v>
      </c>
      <c r="AP321" s="381">
        <f t="shared" si="200"/>
        <v>0</v>
      </c>
      <c r="AQ321" s="381">
        <f t="shared" ref="AQ321" si="201">SUM(AQ317:AQ320)</f>
        <v>0</v>
      </c>
      <c r="AR321" s="381">
        <f t="shared" si="179"/>
        <v>350000000</v>
      </c>
    </row>
    <row r="322" spans="1:44" s="29" customFormat="1" ht="15" x14ac:dyDescent="0.25">
      <c r="A322" s="21"/>
      <c r="B322" s="21"/>
      <c r="C322" s="760"/>
      <c r="D322" s="760"/>
      <c r="E322" s="760"/>
      <c r="F322" s="760"/>
      <c r="G322" s="299"/>
      <c r="H322" s="314"/>
      <c r="I322" s="299"/>
      <c r="J322" s="299"/>
      <c r="K322" s="299"/>
      <c r="L322" s="299"/>
      <c r="M322" s="299"/>
      <c r="N322" s="382"/>
      <c r="O322" s="299"/>
      <c r="P322" s="314"/>
      <c r="Q322" s="383"/>
      <c r="R322" s="383"/>
      <c r="S322" s="383"/>
      <c r="T322" s="383"/>
      <c r="U322" s="383"/>
      <c r="V322" s="383"/>
      <c r="W322" s="383"/>
      <c r="X322" s="383"/>
      <c r="Y322" s="383"/>
      <c r="Z322" s="383"/>
      <c r="AA322" s="383"/>
      <c r="AB322" s="383"/>
      <c r="AC322" s="383"/>
      <c r="AD322" s="383"/>
      <c r="AE322" s="383"/>
      <c r="AF322" s="383"/>
      <c r="AG322" s="383"/>
      <c r="AH322" s="383"/>
      <c r="AI322" s="383"/>
      <c r="AJ322" s="383"/>
      <c r="AK322" s="383"/>
      <c r="AL322" s="383"/>
      <c r="AM322" s="188"/>
      <c r="AN322" s="384"/>
      <c r="AO322" s="383"/>
      <c r="AP322" s="383"/>
      <c r="AQ322" s="383"/>
      <c r="AR322" s="870">
        <f t="shared" si="179"/>
        <v>0</v>
      </c>
    </row>
    <row r="323" spans="1:44" s="29" customFormat="1" ht="24.75" customHeight="1" x14ac:dyDescent="0.25">
      <c r="A323" s="21"/>
      <c r="B323" s="21"/>
      <c r="C323" s="760"/>
      <c r="D323" s="760"/>
      <c r="E323" s="760"/>
      <c r="F323" s="761"/>
      <c r="G323" s="385">
        <v>7</v>
      </c>
      <c r="H323" s="756" t="s">
        <v>424</v>
      </c>
      <c r="I323" s="194"/>
      <c r="J323" s="194"/>
      <c r="K323" s="194"/>
      <c r="L323" s="194"/>
      <c r="M323" s="194"/>
      <c r="N323" s="195"/>
      <c r="O323" s="194"/>
      <c r="P323" s="194"/>
      <c r="Q323" s="194"/>
      <c r="R323" s="194"/>
      <c r="S323" s="194"/>
      <c r="T323" s="194"/>
      <c r="U323" s="194"/>
      <c r="V323" s="194"/>
      <c r="W323" s="194"/>
      <c r="X323" s="194"/>
      <c r="Y323" s="194"/>
      <c r="Z323" s="194"/>
      <c r="AA323" s="194"/>
      <c r="AB323" s="194"/>
      <c r="AC323" s="194"/>
      <c r="AD323" s="194"/>
      <c r="AE323" s="194"/>
      <c r="AF323" s="194"/>
      <c r="AG323" s="194"/>
      <c r="AH323" s="194"/>
      <c r="AI323" s="194"/>
      <c r="AJ323" s="194"/>
      <c r="AK323" s="194"/>
      <c r="AL323" s="194"/>
      <c r="AM323" s="196"/>
      <c r="AN323" s="194"/>
      <c r="AO323" s="194"/>
      <c r="AP323" s="194"/>
      <c r="AQ323" s="194"/>
      <c r="AR323" s="197"/>
    </row>
    <row r="324" spans="1:44" s="165" customFormat="1" ht="58.5" customHeight="1" x14ac:dyDescent="0.25">
      <c r="A324" s="21"/>
      <c r="B324" s="21"/>
      <c r="C324" s="761" t="s">
        <v>392</v>
      </c>
      <c r="D324" s="762" t="s">
        <v>393</v>
      </c>
      <c r="E324" s="767" t="s">
        <v>394</v>
      </c>
      <c r="F324" s="767" t="s">
        <v>931</v>
      </c>
      <c r="G324" s="30"/>
      <c r="H324" s="6">
        <v>35</v>
      </c>
      <c r="I324" s="159" t="s">
        <v>425</v>
      </c>
      <c r="J324" s="12">
        <v>0</v>
      </c>
      <c r="K324" s="723">
        <v>5</v>
      </c>
      <c r="L324" s="663">
        <v>4</v>
      </c>
      <c r="M324" s="1046" t="s">
        <v>93</v>
      </c>
      <c r="N324" s="948" t="s">
        <v>426</v>
      </c>
      <c r="O324" s="941" t="s">
        <v>427</v>
      </c>
      <c r="P324" s="767" t="s">
        <v>47</v>
      </c>
      <c r="Q324" s="27"/>
      <c r="R324" s="27"/>
      <c r="S324" s="27"/>
      <c r="T324" s="27"/>
      <c r="U324" s="27"/>
      <c r="V324" s="27"/>
      <c r="W324" s="27"/>
      <c r="X324" s="27"/>
      <c r="Y324" s="27"/>
      <c r="Z324" s="27"/>
      <c r="AA324" s="27"/>
      <c r="AB324" s="27"/>
      <c r="AC324" s="27"/>
      <c r="AD324" s="27"/>
      <c r="AE324" s="257"/>
      <c r="AF324" s="257"/>
      <c r="AG324" s="257"/>
      <c r="AH324" s="257"/>
      <c r="AI324" s="257"/>
      <c r="AJ324" s="257"/>
      <c r="AK324" s="27"/>
      <c r="AL324" s="27"/>
      <c r="AM324" s="108">
        <f>90000000-30000000</f>
        <v>60000000</v>
      </c>
      <c r="AN324" s="15"/>
      <c r="AO324" s="27"/>
      <c r="AP324" s="290"/>
      <c r="AQ324" s="290"/>
      <c r="AR324" s="27">
        <f t="shared" si="179"/>
        <v>60000000</v>
      </c>
    </row>
    <row r="325" spans="1:44" s="165" customFormat="1" ht="66" customHeight="1" x14ac:dyDescent="0.25">
      <c r="A325" s="21"/>
      <c r="B325" s="21"/>
      <c r="C325" s="761" t="s">
        <v>392</v>
      </c>
      <c r="D325" s="762" t="s">
        <v>393</v>
      </c>
      <c r="E325" s="767" t="s">
        <v>394</v>
      </c>
      <c r="F325" s="767" t="s">
        <v>931</v>
      </c>
      <c r="G325" s="32"/>
      <c r="H325" s="6">
        <v>36</v>
      </c>
      <c r="I325" s="762" t="s">
        <v>428</v>
      </c>
      <c r="J325" s="12">
        <v>0</v>
      </c>
      <c r="K325" s="767">
        <v>1</v>
      </c>
      <c r="L325" s="663">
        <v>1</v>
      </c>
      <c r="M325" s="1047"/>
      <c r="N325" s="959"/>
      <c r="O325" s="942"/>
      <c r="P325" s="767" t="s">
        <v>42</v>
      </c>
      <c r="Q325" s="27">
        <v>0</v>
      </c>
      <c r="R325" s="27">
        <v>0</v>
      </c>
      <c r="S325" s="27">
        <v>0</v>
      </c>
      <c r="T325" s="27">
        <v>0</v>
      </c>
      <c r="U325" s="27">
        <v>0</v>
      </c>
      <c r="V325" s="27">
        <v>0</v>
      </c>
      <c r="W325" s="27">
        <v>0</v>
      </c>
      <c r="X325" s="27"/>
      <c r="Y325" s="27"/>
      <c r="Z325" s="27"/>
      <c r="AA325" s="27">
        <v>0</v>
      </c>
      <c r="AB325" s="27"/>
      <c r="AC325" s="27">
        <v>0</v>
      </c>
      <c r="AD325" s="27">
        <v>0</v>
      </c>
      <c r="AE325" s="257"/>
      <c r="AF325" s="257"/>
      <c r="AG325" s="257"/>
      <c r="AH325" s="257"/>
      <c r="AI325" s="257"/>
      <c r="AJ325" s="257"/>
      <c r="AK325" s="27">
        <v>0</v>
      </c>
      <c r="AL325" s="27">
        <v>0</v>
      </c>
      <c r="AM325" s="108">
        <f>3500000+30000000</f>
        <v>33500000</v>
      </c>
      <c r="AN325" s="15"/>
      <c r="AO325" s="27">
        <v>0</v>
      </c>
      <c r="AP325" s="290">
        <v>0</v>
      </c>
      <c r="AQ325" s="290"/>
      <c r="AR325" s="27">
        <f t="shared" si="179"/>
        <v>33500000</v>
      </c>
    </row>
    <row r="326" spans="1:44" s="165" customFormat="1" ht="67.5" customHeight="1" x14ac:dyDescent="0.25">
      <c r="A326" s="21"/>
      <c r="B326" s="21"/>
      <c r="C326" s="761" t="s">
        <v>392</v>
      </c>
      <c r="D326" s="762" t="s">
        <v>393</v>
      </c>
      <c r="E326" s="767" t="s">
        <v>394</v>
      </c>
      <c r="F326" s="767" t="s">
        <v>931</v>
      </c>
      <c r="G326" s="32"/>
      <c r="H326" s="6">
        <v>37</v>
      </c>
      <c r="I326" s="7" t="s">
        <v>429</v>
      </c>
      <c r="J326" s="338">
        <v>0</v>
      </c>
      <c r="K326" s="767">
        <v>1</v>
      </c>
      <c r="L326" s="663">
        <v>0.1</v>
      </c>
      <c r="M326" s="386"/>
      <c r="N326" s="949"/>
      <c r="O326" s="943"/>
      <c r="P326" s="767" t="s">
        <v>47</v>
      </c>
      <c r="Q326" s="27"/>
      <c r="R326" s="27"/>
      <c r="S326" s="27"/>
      <c r="T326" s="27"/>
      <c r="U326" s="27"/>
      <c r="V326" s="27"/>
      <c r="W326" s="27"/>
      <c r="X326" s="27"/>
      <c r="Y326" s="27"/>
      <c r="Z326" s="27"/>
      <c r="AA326" s="27"/>
      <c r="AB326" s="27"/>
      <c r="AC326" s="27"/>
      <c r="AD326" s="27"/>
      <c r="AE326" s="257"/>
      <c r="AF326" s="257"/>
      <c r="AG326" s="257"/>
      <c r="AH326" s="257"/>
      <c r="AI326" s="257"/>
      <c r="AJ326" s="257"/>
      <c r="AK326" s="27"/>
      <c r="AL326" s="27"/>
      <c r="AM326" s="27">
        <f>6500000+20000000+30000000</f>
        <v>56500000</v>
      </c>
      <c r="AN326" s="27"/>
      <c r="AO326" s="27"/>
      <c r="AP326" s="290"/>
      <c r="AQ326" s="290"/>
      <c r="AR326" s="27">
        <f t="shared" si="179"/>
        <v>56500000</v>
      </c>
    </row>
    <row r="327" spans="1:44" s="29" customFormat="1" ht="26.25" customHeight="1" x14ac:dyDescent="0.25">
      <c r="A327" s="21"/>
      <c r="B327" s="158"/>
      <c r="C327" s="761"/>
      <c r="D327" s="762"/>
      <c r="E327" s="767"/>
      <c r="F327" s="767"/>
      <c r="G327" s="160"/>
      <c r="H327" s="161"/>
      <c r="I327" s="160"/>
      <c r="J327" s="256"/>
      <c r="K327" s="256"/>
      <c r="L327" s="256"/>
      <c r="M327" s="256"/>
      <c r="N327" s="163"/>
      <c r="O327" s="160"/>
      <c r="P327" s="161"/>
      <c r="Q327" s="164">
        <f>SUM(Q324:Q326)</f>
        <v>0</v>
      </c>
      <c r="R327" s="164">
        <f t="shared" ref="R327:AL327" si="202">SUM(R324:R326)</f>
        <v>0</v>
      </c>
      <c r="S327" s="164">
        <f t="shared" si="202"/>
        <v>0</v>
      </c>
      <c r="T327" s="164">
        <f t="shared" si="202"/>
        <v>0</v>
      </c>
      <c r="U327" s="164">
        <f t="shared" si="202"/>
        <v>0</v>
      </c>
      <c r="V327" s="164">
        <f t="shared" si="202"/>
        <v>0</v>
      </c>
      <c r="W327" s="164">
        <f t="shared" si="202"/>
        <v>0</v>
      </c>
      <c r="X327" s="164">
        <f t="shared" si="202"/>
        <v>0</v>
      </c>
      <c r="Y327" s="164">
        <f t="shared" si="202"/>
        <v>0</v>
      </c>
      <c r="Z327" s="164">
        <f t="shared" si="202"/>
        <v>0</v>
      </c>
      <c r="AA327" s="164">
        <f t="shared" si="202"/>
        <v>0</v>
      </c>
      <c r="AB327" s="164">
        <f t="shared" si="202"/>
        <v>0</v>
      </c>
      <c r="AC327" s="164">
        <f t="shared" si="202"/>
        <v>0</v>
      </c>
      <c r="AD327" s="164">
        <f t="shared" si="202"/>
        <v>0</v>
      </c>
      <c r="AE327" s="164">
        <f t="shared" si="202"/>
        <v>0</v>
      </c>
      <c r="AF327" s="164">
        <f t="shared" si="202"/>
        <v>0</v>
      </c>
      <c r="AG327" s="164">
        <f t="shared" si="202"/>
        <v>0</v>
      </c>
      <c r="AH327" s="164">
        <f t="shared" si="202"/>
        <v>0</v>
      </c>
      <c r="AI327" s="164">
        <f t="shared" si="202"/>
        <v>0</v>
      </c>
      <c r="AJ327" s="164">
        <f t="shared" si="202"/>
        <v>0</v>
      </c>
      <c r="AK327" s="164">
        <f t="shared" si="202"/>
        <v>0</v>
      </c>
      <c r="AL327" s="164">
        <f t="shared" si="202"/>
        <v>0</v>
      </c>
      <c r="AM327" s="164">
        <f t="shared" ref="AM327:AP327" si="203">SUM(AM324:AM326)</f>
        <v>150000000</v>
      </c>
      <c r="AN327" s="164">
        <f t="shared" si="203"/>
        <v>0</v>
      </c>
      <c r="AO327" s="164">
        <f t="shared" si="203"/>
        <v>0</v>
      </c>
      <c r="AP327" s="164">
        <f t="shared" si="203"/>
        <v>0</v>
      </c>
      <c r="AQ327" s="164">
        <f t="shared" ref="AQ327" si="204">SUM(AQ324:AQ326)</f>
        <v>0</v>
      </c>
      <c r="AR327" s="164">
        <f t="shared" si="179"/>
        <v>150000000</v>
      </c>
    </row>
    <row r="328" spans="1:44" s="165" customFormat="1" ht="24" customHeight="1" x14ac:dyDescent="0.25">
      <c r="A328" s="21"/>
      <c r="B328" s="824"/>
      <c r="C328" s="231"/>
      <c r="D328" s="230"/>
      <c r="E328" s="231"/>
      <c r="F328" s="231" t="s">
        <v>430</v>
      </c>
      <c r="G328" s="230"/>
      <c r="H328" s="231"/>
      <c r="I328" s="230"/>
      <c r="J328" s="388"/>
      <c r="K328" s="388"/>
      <c r="L328" s="388"/>
      <c r="M328" s="388"/>
      <c r="N328" s="389"/>
      <c r="O328" s="230"/>
      <c r="P328" s="231"/>
      <c r="Q328" s="390">
        <f>Q327+Q321+Q314+Q305</f>
        <v>0</v>
      </c>
      <c r="R328" s="390">
        <f t="shared" ref="R328:AL328" si="205">R327+R321+R314+R305</f>
        <v>0</v>
      </c>
      <c r="S328" s="390">
        <f t="shared" si="205"/>
        <v>0</v>
      </c>
      <c r="T328" s="390">
        <f t="shared" si="205"/>
        <v>0</v>
      </c>
      <c r="U328" s="390">
        <f t="shared" si="205"/>
        <v>0</v>
      </c>
      <c r="V328" s="390">
        <f t="shared" si="205"/>
        <v>0</v>
      </c>
      <c r="W328" s="390">
        <f t="shared" si="205"/>
        <v>0</v>
      </c>
      <c r="X328" s="390">
        <f t="shared" si="205"/>
        <v>0</v>
      </c>
      <c r="Y328" s="390">
        <f t="shared" si="205"/>
        <v>0</v>
      </c>
      <c r="Z328" s="390">
        <f t="shared" si="205"/>
        <v>0</v>
      </c>
      <c r="AA328" s="390">
        <f t="shared" si="205"/>
        <v>0</v>
      </c>
      <c r="AB328" s="390">
        <f t="shared" si="205"/>
        <v>0</v>
      </c>
      <c r="AC328" s="390">
        <f t="shared" si="205"/>
        <v>0</v>
      </c>
      <c r="AD328" s="390">
        <f t="shared" si="205"/>
        <v>0</v>
      </c>
      <c r="AE328" s="390">
        <f t="shared" si="205"/>
        <v>0</v>
      </c>
      <c r="AF328" s="390">
        <f t="shared" si="205"/>
        <v>0</v>
      </c>
      <c r="AG328" s="390">
        <f t="shared" si="205"/>
        <v>0</v>
      </c>
      <c r="AH328" s="390">
        <f t="shared" si="205"/>
        <v>0</v>
      </c>
      <c r="AI328" s="390">
        <f t="shared" si="205"/>
        <v>0</v>
      </c>
      <c r="AJ328" s="390">
        <f t="shared" si="205"/>
        <v>0</v>
      </c>
      <c r="AK328" s="390">
        <f t="shared" si="205"/>
        <v>0</v>
      </c>
      <c r="AL328" s="390">
        <f t="shared" si="205"/>
        <v>0</v>
      </c>
      <c r="AM328" s="390">
        <f t="shared" ref="AM328:AP328" si="206">AM327+AM321+AM314+AM305</f>
        <v>1330000000</v>
      </c>
      <c r="AN328" s="390">
        <f t="shared" si="206"/>
        <v>0</v>
      </c>
      <c r="AO328" s="390">
        <f t="shared" si="206"/>
        <v>0</v>
      </c>
      <c r="AP328" s="390">
        <f t="shared" si="206"/>
        <v>0</v>
      </c>
      <c r="AQ328" s="390">
        <f t="shared" ref="AQ328" si="207">AQ327+AQ321+AQ314+AQ305</f>
        <v>0</v>
      </c>
      <c r="AR328" s="390">
        <f t="shared" si="179"/>
        <v>1330000000</v>
      </c>
    </row>
    <row r="329" spans="1:44" s="49" customFormat="1" ht="29.25" customHeight="1" x14ac:dyDescent="0.25">
      <c r="A329" s="172"/>
      <c r="B329" s="172"/>
      <c r="C329" s="173"/>
      <c r="D329" s="172"/>
      <c r="E329" s="173"/>
      <c r="F329" s="173"/>
      <c r="G329" s="172"/>
      <c r="H329" s="173"/>
      <c r="I329" s="172"/>
      <c r="J329" s="266"/>
      <c r="K329" s="266"/>
      <c r="L329" s="266"/>
      <c r="M329" s="266"/>
      <c r="N329" s="175"/>
      <c r="O329" s="172"/>
      <c r="P329" s="173"/>
      <c r="Q329" s="176">
        <f t="shared" ref="Q329:AL329" si="208">Q328</f>
        <v>0</v>
      </c>
      <c r="R329" s="176">
        <f t="shared" si="208"/>
        <v>0</v>
      </c>
      <c r="S329" s="176">
        <f t="shared" si="208"/>
        <v>0</v>
      </c>
      <c r="T329" s="176">
        <f t="shared" si="208"/>
        <v>0</v>
      </c>
      <c r="U329" s="176">
        <f t="shared" si="208"/>
        <v>0</v>
      </c>
      <c r="V329" s="176">
        <f t="shared" si="208"/>
        <v>0</v>
      </c>
      <c r="W329" s="176">
        <f t="shared" si="208"/>
        <v>0</v>
      </c>
      <c r="X329" s="176">
        <f t="shared" si="208"/>
        <v>0</v>
      </c>
      <c r="Y329" s="176">
        <f t="shared" si="208"/>
        <v>0</v>
      </c>
      <c r="Z329" s="176">
        <f t="shared" si="208"/>
        <v>0</v>
      </c>
      <c r="AA329" s="176">
        <f t="shared" si="208"/>
        <v>0</v>
      </c>
      <c r="AB329" s="176">
        <f t="shared" si="208"/>
        <v>0</v>
      </c>
      <c r="AC329" s="176">
        <f t="shared" si="208"/>
        <v>0</v>
      </c>
      <c r="AD329" s="176">
        <f t="shared" si="208"/>
        <v>0</v>
      </c>
      <c r="AE329" s="176">
        <f t="shared" si="208"/>
        <v>0</v>
      </c>
      <c r="AF329" s="176">
        <f t="shared" si="208"/>
        <v>0</v>
      </c>
      <c r="AG329" s="176">
        <f t="shared" si="208"/>
        <v>0</v>
      </c>
      <c r="AH329" s="176">
        <f t="shared" si="208"/>
        <v>0</v>
      </c>
      <c r="AI329" s="176">
        <f t="shared" si="208"/>
        <v>0</v>
      </c>
      <c r="AJ329" s="176">
        <f t="shared" si="208"/>
        <v>0</v>
      </c>
      <c r="AK329" s="176">
        <f t="shared" si="208"/>
        <v>0</v>
      </c>
      <c r="AL329" s="176">
        <f t="shared" si="208"/>
        <v>0</v>
      </c>
      <c r="AM329" s="176">
        <f t="shared" ref="AM329:AP329" si="209">AM328</f>
        <v>1330000000</v>
      </c>
      <c r="AN329" s="176">
        <f t="shared" si="209"/>
        <v>0</v>
      </c>
      <c r="AO329" s="176">
        <f t="shared" si="209"/>
        <v>0</v>
      </c>
      <c r="AP329" s="176">
        <f t="shared" si="209"/>
        <v>0</v>
      </c>
      <c r="AQ329" s="176">
        <f t="shared" ref="AQ329" si="210">AQ328</f>
        <v>0</v>
      </c>
      <c r="AR329" s="176">
        <f t="shared" si="179"/>
        <v>1330000000</v>
      </c>
    </row>
    <row r="330" spans="1:44" s="49" customFormat="1" ht="20.25" x14ac:dyDescent="0.25">
      <c r="A330" s="800"/>
      <c r="B330" s="417"/>
      <c r="C330" s="768"/>
      <c r="D330" s="417"/>
      <c r="E330" s="768"/>
      <c r="F330" s="768"/>
      <c r="G330" s="417"/>
      <c r="H330" s="768"/>
      <c r="I330" s="417"/>
      <c r="J330" s="648"/>
      <c r="K330" s="648"/>
      <c r="L330" s="648"/>
      <c r="M330" s="648"/>
      <c r="N330" s="421"/>
      <c r="O330" s="422"/>
      <c r="P330" s="768"/>
      <c r="Q330" s="284"/>
      <c r="R330" s="284"/>
      <c r="S330" s="284"/>
      <c r="T330" s="284"/>
      <c r="U330" s="284"/>
      <c r="V330" s="284"/>
      <c r="W330" s="284"/>
      <c r="X330" s="284"/>
      <c r="Y330" s="284"/>
      <c r="Z330" s="284"/>
      <c r="AA330" s="284"/>
      <c r="AB330" s="284"/>
      <c r="AC330" s="284"/>
      <c r="AD330" s="284"/>
      <c r="AE330" s="284"/>
      <c r="AF330" s="284"/>
      <c r="AG330" s="284"/>
      <c r="AH330" s="284"/>
      <c r="AI330" s="284"/>
      <c r="AJ330" s="284"/>
      <c r="AK330" s="284"/>
      <c r="AL330" s="284"/>
      <c r="AM330" s="285"/>
      <c r="AN330" s="284"/>
      <c r="AO330" s="284"/>
      <c r="AP330" s="284"/>
      <c r="AQ330" s="284"/>
      <c r="AR330" s="424">
        <f t="shared" si="179"/>
        <v>0</v>
      </c>
    </row>
    <row r="331" spans="1:44" s="49" customFormat="1" ht="20.25" x14ac:dyDescent="0.25">
      <c r="A331" s="826">
        <v>3</v>
      </c>
      <c r="B331" s="142" t="s">
        <v>431</v>
      </c>
      <c r="C331" s="143"/>
      <c r="D331" s="142"/>
      <c r="E331" s="142"/>
      <c r="F331" s="142"/>
      <c r="G331" s="142"/>
      <c r="H331" s="143"/>
      <c r="I331" s="142"/>
      <c r="J331" s="142"/>
      <c r="K331" s="142"/>
      <c r="L331" s="142"/>
      <c r="M331" s="142"/>
      <c r="N331" s="144"/>
      <c r="O331" s="142"/>
      <c r="P331" s="142"/>
      <c r="Q331" s="142"/>
      <c r="R331" s="142"/>
      <c r="S331" s="142"/>
      <c r="T331" s="142"/>
      <c r="U331" s="142"/>
      <c r="V331" s="142"/>
      <c r="W331" s="142"/>
      <c r="X331" s="142"/>
      <c r="Y331" s="142"/>
      <c r="Z331" s="142"/>
      <c r="AA331" s="142"/>
      <c r="AB331" s="142"/>
      <c r="AC331" s="142"/>
      <c r="AD331" s="142"/>
      <c r="AE331" s="142"/>
      <c r="AF331" s="142"/>
      <c r="AG331" s="142"/>
      <c r="AH331" s="142"/>
      <c r="AI331" s="142"/>
      <c r="AJ331" s="142"/>
      <c r="AK331" s="142"/>
      <c r="AL331" s="142"/>
      <c r="AM331" s="145"/>
      <c r="AN331" s="142"/>
      <c r="AO331" s="142"/>
      <c r="AP331" s="142"/>
      <c r="AQ331" s="142"/>
      <c r="AR331" s="146"/>
    </row>
    <row r="332" spans="1:44" s="49" customFormat="1" ht="20.25" x14ac:dyDescent="0.25">
      <c r="A332" s="190"/>
      <c r="B332" s="243">
        <v>11</v>
      </c>
      <c r="C332" s="150" t="s">
        <v>432</v>
      </c>
      <c r="D332" s="149"/>
      <c r="E332" s="149"/>
      <c r="F332" s="149"/>
      <c r="G332" s="149"/>
      <c r="H332" s="150"/>
      <c r="I332" s="149"/>
      <c r="J332" s="149"/>
      <c r="K332" s="149"/>
      <c r="L332" s="149"/>
      <c r="M332" s="149"/>
      <c r="N332" s="151"/>
      <c r="O332" s="149"/>
      <c r="P332" s="149"/>
      <c r="Q332" s="149"/>
      <c r="R332" s="149"/>
      <c r="S332" s="149"/>
      <c r="T332" s="149"/>
      <c r="U332" s="149"/>
      <c r="V332" s="149"/>
      <c r="W332" s="149"/>
      <c r="X332" s="149"/>
      <c r="Y332" s="149"/>
      <c r="Z332" s="149"/>
      <c r="AA332" s="149"/>
      <c r="AB332" s="149"/>
      <c r="AC332" s="149"/>
      <c r="AD332" s="149"/>
      <c r="AE332" s="149"/>
      <c r="AF332" s="149"/>
      <c r="AG332" s="149"/>
      <c r="AH332" s="149"/>
      <c r="AI332" s="149"/>
      <c r="AJ332" s="149"/>
      <c r="AK332" s="149"/>
      <c r="AL332" s="149"/>
      <c r="AM332" s="152"/>
      <c r="AN332" s="149"/>
      <c r="AO332" s="149"/>
      <c r="AP332" s="149"/>
      <c r="AQ332" s="149"/>
      <c r="AR332" s="153"/>
    </row>
    <row r="333" spans="1:44" s="49" customFormat="1" ht="20.25" x14ac:dyDescent="0.25">
      <c r="A333" s="21"/>
      <c r="B333" s="827"/>
      <c r="C333" s="760"/>
      <c r="D333" s="183"/>
      <c r="E333" s="760"/>
      <c r="F333" s="761"/>
      <c r="G333" s="337">
        <v>34</v>
      </c>
      <c r="H333" s="724" t="s">
        <v>433</v>
      </c>
      <c r="I333" s="194"/>
      <c r="J333" s="194"/>
      <c r="K333" s="194"/>
      <c r="L333" s="194"/>
      <c r="M333" s="194"/>
      <c r="N333" s="195"/>
      <c r="O333" s="194"/>
      <c r="P333" s="194"/>
      <c r="Q333" s="194"/>
      <c r="R333" s="194"/>
      <c r="S333" s="194"/>
      <c r="T333" s="194"/>
      <c r="U333" s="194"/>
      <c r="V333" s="194"/>
      <c r="W333" s="194"/>
      <c r="X333" s="194"/>
      <c r="Y333" s="194"/>
      <c r="Z333" s="194"/>
      <c r="AA333" s="194"/>
      <c r="AB333" s="194"/>
      <c r="AC333" s="194"/>
      <c r="AD333" s="194"/>
      <c r="AE333" s="194"/>
      <c r="AF333" s="194"/>
      <c r="AG333" s="194"/>
      <c r="AH333" s="194"/>
      <c r="AI333" s="194"/>
      <c r="AJ333" s="194"/>
      <c r="AK333" s="194"/>
      <c r="AL333" s="194"/>
      <c r="AM333" s="196"/>
      <c r="AN333" s="194"/>
      <c r="AO333" s="194"/>
      <c r="AP333" s="194"/>
      <c r="AQ333" s="194"/>
      <c r="AR333" s="197"/>
    </row>
    <row r="334" spans="1:44" s="29" customFormat="1" ht="97.5" customHeight="1" x14ac:dyDescent="0.25">
      <c r="A334" s="21"/>
      <c r="B334" s="20"/>
      <c r="C334" s="767">
        <v>23</v>
      </c>
      <c r="D334" s="762" t="s">
        <v>434</v>
      </c>
      <c r="E334" s="80">
        <v>0.92</v>
      </c>
      <c r="F334" s="80">
        <v>0.85</v>
      </c>
      <c r="G334" s="24"/>
      <c r="H334" s="767">
        <v>122</v>
      </c>
      <c r="I334" s="762" t="s">
        <v>435</v>
      </c>
      <c r="J334" s="12">
        <v>0</v>
      </c>
      <c r="K334" s="12">
        <v>1</v>
      </c>
      <c r="L334" s="663">
        <v>0.7</v>
      </c>
      <c r="M334" s="1038" t="s">
        <v>436</v>
      </c>
      <c r="N334" s="948" t="s">
        <v>437</v>
      </c>
      <c r="O334" s="924" t="s">
        <v>438</v>
      </c>
      <c r="P334" s="16" t="s">
        <v>47</v>
      </c>
      <c r="Q334" s="27">
        <v>0</v>
      </c>
      <c r="R334" s="27">
        <v>0</v>
      </c>
      <c r="S334" s="27">
        <v>0</v>
      </c>
      <c r="T334" s="27">
        <v>0</v>
      </c>
      <c r="U334" s="27">
        <v>0</v>
      </c>
      <c r="V334" s="27">
        <v>0</v>
      </c>
      <c r="W334" s="27">
        <v>0</v>
      </c>
      <c r="X334" s="27"/>
      <c r="Y334" s="27"/>
      <c r="Z334" s="27"/>
      <c r="AA334" s="27">
        <v>0</v>
      </c>
      <c r="AB334" s="27"/>
      <c r="AC334" s="27">
        <v>0</v>
      </c>
      <c r="AD334" s="27">
        <v>0</v>
      </c>
      <c r="AE334" s="27"/>
      <c r="AF334" s="27"/>
      <c r="AG334" s="27"/>
      <c r="AH334" s="27"/>
      <c r="AI334" s="27"/>
      <c r="AJ334" s="27"/>
      <c r="AK334" s="27">
        <v>0</v>
      </c>
      <c r="AL334" s="27">
        <v>0</v>
      </c>
      <c r="AM334" s="108">
        <f>10000000+20000000+25000000</f>
        <v>55000000</v>
      </c>
      <c r="AN334" s="15"/>
      <c r="AO334" s="27">
        <v>0</v>
      </c>
      <c r="AP334" s="28">
        <v>0</v>
      </c>
      <c r="AQ334" s="28"/>
      <c r="AR334" s="27">
        <f t="shared" ref="AR334:AR395" si="211">Q334+R334+S334+T334+U334+V334+W334+X334+Y334+Z334+AA334+AB334+AC334+AD334+AE334+AF334+AG334+AH334+AI334+AJ334+AK334+AL334+AM334+AN334+AO334+AP334+AQ334</f>
        <v>55000000</v>
      </c>
    </row>
    <row r="335" spans="1:44" s="29" customFormat="1" ht="85.5" x14ac:dyDescent="0.25">
      <c r="A335" s="21"/>
      <c r="B335" s="20"/>
      <c r="C335" s="767"/>
      <c r="D335" s="762"/>
      <c r="E335" s="80"/>
      <c r="F335" s="80"/>
      <c r="G335" s="30"/>
      <c r="H335" s="767">
        <v>123</v>
      </c>
      <c r="I335" s="762" t="s">
        <v>439</v>
      </c>
      <c r="J335" s="12" t="s">
        <v>38</v>
      </c>
      <c r="K335" s="12">
        <v>4</v>
      </c>
      <c r="L335" s="663">
        <v>2</v>
      </c>
      <c r="M335" s="1039"/>
      <c r="N335" s="959"/>
      <c r="O335" s="925"/>
      <c r="P335" s="16" t="s">
        <v>47</v>
      </c>
      <c r="Q335" s="81"/>
      <c r="R335" s="81"/>
      <c r="S335" s="81"/>
      <c r="T335" s="81"/>
      <c r="U335" s="81"/>
      <c r="V335" s="81"/>
      <c r="W335" s="81"/>
      <c r="X335" s="81"/>
      <c r="Y335" s="81"/>
      <c r="Z335" s="81"/>
      <c r="AA335" s="81"/>
      <c r="AB335" s="81"/>
      <c r="AC335" s="81"/>
      <c r="AD335" s="81"/>
      <c r="AE335" s="81"/>
      <c r="AF335" s="81"/>
      <c r="AG335" s="81"/>
      <c r="AH335" s="81"/>
      <c r="AI335" s="81"/>
      <c r="AJ335" s="81"/>
      <c r="AK335" s="81"/>
      <c r="AL335" s="81"/>
      <c r="AM335" s="110">
        <f>20000000+60000000-10000000</f>
        <v>70000000</v>
      </c>
      <c r="AN335" s="871"/>
      <c r="AO335" s="81"/>
      <c r="AP335" s="775"/>
      <c r="AQ335" s="775"/>
      <c r="AR335" s="27">
        <f t="shared" si="211"/>
        <v>70000000</v>
      </c>
    </row>
    <row r="336" spans="1:44" s="29" customFormat="1" ht="57" x14ac:dyDescent="0.25">
      <c r="A336" s="21"/>
      <c r="B336" s="20"/>
      <c r="C336" s="767"/>
      <c r="D336" s="762"/>
      <c r="E336" s="80"/>
      <c r="F336" s="80"/>
      <c r="G336" s="30"/>
      <c r="H336" s="767">
        <v>124</v>
      </c>
      <c r="I336" s="762" t="s">
        <v>440</v>
      </c>
      <c r="J336" s="12">
        <v>40</v>
      </c>
      <c r="K336" s="12">
        <v>150</v>
      </c>
      <c r="L336" s="663">
        <v>70</v>
      </c>
      <c r="M336" s="1039"/>
      <c r="N336" s="959"/>
      <c r="O336" s="925"/>
      <c r="P336" s="16" t="s">
        <v>42</v>
      </c>
      <c r="Q336" s="81"/>
      <c r="R336" s="81"/>
      <c r="S336" s="81"/>
      <c r="T336" s="81"/>
      <c r="U336" s="81"/>
      <c r="V336" s="81"/>
      <c r="W336" s="81"/>
      <c r="X336" s="81"/>
      <c r="Y336" s="81"/>
      <c r="Z336" s="81"/>
      <c r="AA336" s="81"/>
      <c r="AB336" s="81"/>
      <c r="AC336" s="81"/>
      <c r="AD336" s="81"/>
      <c r="AE336" s="81"/>
      <c r="AF336" s="81"/>
      <c r="AG336" s="81"/>
      <c r="AH336" s="81"/>
      <c r="AI336" s="81"/>
      <c r="AJ336" s="81"/>
      <c r="AK336" s="81"/>
      <c r="AL336" s="81"/>
      <c r="AM336" s="110">
        <f>20000000+35000000-19000000</f>
        <v>36000000</v>
      </c>
      <c r="AN336" s="871"/>
      <c r="AO336" s="81"/>
      <c r="AP336" s="775"/>
      <c r="AQ336" s="775"/>
      <c r="AR336" s="27">
        <f t="shared" si="211"/>
        <v>36000000</v>
      </c>
    </row>
    <row r="337" spans="1:44" s="29" customFormat="1" ht="71.25" x14ac:dyDescent="0.25">
      <c r="A337" s="21"/>
      <c r="B337" s="20"/>
      <c r="C337" s="767"/>
      <c r="D337" s="762"/>
      <c r="E337" s="80"/>
      <c r="F337" s="80"/>
      <c r="G337" s="30"/>
      <c r="H337" s="767">
        <v>126</v>
      </c>
      <c r="I337" s="762" t="s">
        <v>441</v>
      </c>
      <c r="J337" s="12" t="s">
        <v>38</v>
      </c>
      <c r="K337" s="12" t="s">
        <v>943</v>
      </c>
      <c r="L337" s="663">
        <v>700</v>
      </c>
      <c r="M337" s="1039"/>
      <c r="N337" s="959"/>
      <c r="O337" s="925"/>
      <c r="P337" s="16" t="s">
        <v>47</v>
      </c>
      <c r="Q337" s="81"/>
      <c r="R337" s="81"/>
      <c r="S337" s="81"/>
      <c r="T337" s="81"/>
      <c r="U337" s="81"/>
      <c r="V337" s="81"/>
      <c r="W337" s="81"/>
      <c r="X337" s="81"/>
      <c r="Y337" s="81"/>
      <c r="Z337" s="81"/>
      <c r="AA337" s="81"/>
      <c r="AB337" s="81"/>
      <c r="AC337" s="81"/>
      <c r="AD337" s="81"/>
      <c r="AE337" s="81"/>
      <c r="AF337" s="81"/>
      <c r="AG337" s="81"/>
      <c r="AH337" s="81"/>
      <c r="AI337" s="81"/>
      <c r="AJ337" s="81"/>
      <c r="AK337" s="81"/>
      <c r="AL337" s="81"/>
      <c r="AM337" s="110">
        <f>10000000+15000000+19000000</f>
        <v>44000000</v>
      </c>
      <c r="AN337" s="871"/>
      <c r="AO337" s="81"/>
      <c r="AP337" s="775"/>
      <c r="AQ337" s="775"/>
      <c r="AR337" s="27">
        <f t="shared" si="211"/>
        <v>44000000</v>
      </c>
    </row>
    <row r="338" spans="1:44" s="29" customFormat="1" ht="65.25" customHeight="1" x14ac:dyDescent="0.25">
      <c r="A338" s="21"/>
      <c r="B338" s="20"/>
      <c r="C338" s="767">
        <v>23</v>
      </c>
      <c r="D338" s="762" t="s">
        <v>434</v>
      </c>
      <c r="E338" s="80">
        <v>0.92</v>
      </c>
      <c r="F338" s="80">
        <v>0.85</v>
      </c>
      <c r="G338" s="32"/>
      <c r="H338" s="767">
        <v>125</v>
      </c>
      <c r="I338" s="762" t="s">
        <v>442</v>
      </c>
      <c r="J338" s="25">
        <v>1200</v>
      </c>
      <c r="K338" s="25">
        <v>750</v>
      </c>
      <c r="L338" s="666">
        <v>310</v>
      </c>
      <c r="M338" s="1040"/>
      <c r="N338" s="949"/>
      <c r="O338" s="926"/>
      <c r="P338" s="718" t="s">
        <v>42</v>
      </c>
      <c r="Q338" s="81"/>
      <c r="R338" s="81"/>
      <c r="S338" s="81"/>
      <c r="T338" s="81"/>
      <c r="U338" s="81"/>
      <c r="V338" s="81"/>
      <c r="W338" s="81"/>
      <c r="X338" s="81"/>
      <c r="Y338" s="81"/>
      <c r="Z338" s="81"/>
      <c r="AA338" s="81"/>
      <c r="AB338" s="81"/>
      <c r="AC338" s="81"/>
      <c r="AD338" s="81"/>
      <c r="AE338" s="81"/>
      <c r="AF338" s="81"/>
      <c r="AG338" s="81"/>
      <c r="AH338" s="81"/>
      <c r="AI338" s="81"/>
      <c r="AJ338" s="81"/>
      <c r="AK338" s="81"/>
      <c r="AL338" s="81"/>
      <c r="AM338" s="113">
        <f>20000000+20000000+15000000-15000000</f>
        <v>40000000</v>
      </c>
      <c r="AN338" s="82"/>
      <c r="AO338" s="81"/>
      <c r="AP338" s="775"/>
      <c r="AQ338" s="775"/>
      <c r="AR338" s="27">
        <f t="shared" si="211"/>
        <v>40000000</v>
      </c>
    </row>
    <row r="339" spans="1:44" s="165" customFormat="1" ht="15" x14ac:dyDescent="0.25">
      <c r="A339" s="21"/>
      <c r="B339" s="329"/>
      <c r="C339" s="718"/>
      <c r="D339" s="729"/>
      <c r="E339" s="718"/>
      <c r="F339" s="718"/>
      <c r="G339" s="225"/>
      <c r="H339" s="226"/>
      <c r="I339" s="225"/>
      <c r="J339" s="387"/>
      <c r="K339" s="387"/>
      <c r="L339" s="387"/>
      <c r="M339" s="387"/>
      <c r="N339" s="295"/>
      <c r="O339" s="225"/>
      <c r="P339" s="226"/>
      <c r="Q339" s="296">
        <f>SUM(Q334:Q338)</f>
        <v>0</v>
      </c>
      <c r="R339" s="296">
        <f t="shared" ref="R339:AL339" si="212">SUM(R334:R338)</f>
        <v>0</v>
      </c>
      <c r="S339" s="296">
        <f t="shared" si="212"/>
        <v>0</v>
      </c>
      <c r="T339" s="296">
        <f t="shared" si="212"/>
        <v>0</v>
      </c>
      <c r="U339" s="296">
        <f t="shared" si="212"/>
        <v>0</v>
      </c>
      <c r="V339" s="296">
        <f t="shared" si="212"/>
        <v>0</v>
      </c>
      <c r="W339" s="296">
        <f t="shared" si="212"/>
        <v>0</v>
      </c>
      <c r="X339" s="296">
        <f t="shared" si="212"/>
        <v>0</v>
      </c>
      <c r="Y339" s="296">
        <f t="shared" si="212"/>
        <v>0</v>
      </c>
      <c r="Z339" s="296">
        <f t="shared" si="212"/>
        <v>0</v>
      </c>
      <c r="AA339" s="296">
        <f t="shared" si="212"/>
        <v>0</v>
      </c>
      <c r="AB339" s="296">
        <f t="shared" si="212"/>
        <v>0</v>
      </c>
      <c r="AC339" s="296">
        <f t="shared" si="212"/>
        <v>0</v>
      </c>
      <c r="AD339" s="296">
        <f t="shared" si="212"/>
        <v>0</v>
      </c>
      <c r="AE339" s="296">
        <f t="shared" si="212"/>
        <v>0</v>
      </c>
      <c r="AF339" s="296">
        <f t="shared" si="212"/>
        <v>0</v>
      </c>
      <c r="AG339" s="296">
        <f t="shared" si="212"/>
        <v>0</v>
      </c>
      <c r="AH339" s="296">
        <f t="shared" si="212"/>
        <v>0</v>
      </c>
      <c r="AI339" s="296">
        <f t="shared" si="212"/>
        <v>0</v>
      </c>
      <c r="AJ339" s="296">
        <f t="shared" si="212"/>
        <v>0</v>
      </c>
      <c r="AK339" s="296">
        <f t="shared" si="212"/>
        <v>0</v>
      </c>
      <c r="AL339" s="296">
        <f t="shared" si="212"/>
        <v>0</v>
      </c>
      <c r="AM339" s="296">
        <f t="shared" ref="AM339:AP339" si="213">SUM(AM334:AM338)</f>
        <v>245000000</v>
      </c>
      <c r="AN339" s="296">
        <f t="shared" si="213"/>
        <v>0</v>
      </c>
      <c r="AO339" s="296">
        <f t="shared" si="213"/>
        <v>0</v>
      </c>
      <c r="AP339" s="296">
        <f t="shared" si="213"/>
        <v>0</v>
      </c>
      <c r="AQ339" s="296">
        <f t="shared" ref="AQ339" si="214">SUM(AQ334:AQ338)</f>
        <v>0</v>
      </c>
      <c r="AR339" s="296">
        <f t="shared" si="211"/>
        <v>245000000</v>
      </c>
    </row>
    <row r="340" spans="1:44" s="165" customFormat="1" ht="15" x14ac:dyDescent="0.25">
      <c r="A340" s="158"/>
      <c r="B340" s="824"/>
      <c r="C340" s="231"/>
      <c r="D340" s="230"/>
      <c r="E340" s="231"/>
      <c r="F340" s="231"/>
      <c r="G340" s="230"/>
      <c r="H340" s="231"/>
      <c r="I340" s="230"/>
      <c r="J340" s="388"/>
      <c r="K340" s="388"/>
      <c r="L340" s="388"/>
      <c r="M340" s="388"/>
      <c r="N340" s="389"/>
      <c r="O340" s="230"/>
      <c r="P340" s="231"/>
      <c r="Q340" s="390">
        <f t="shared" ref="Q340:AL341" si="215">Q339</f>
        <v>0</v>
      </c>
      <c r="R340" s="390">
        <f t="shared" si="215"/>
        <v>0</v>
      </c>
      <c r="S340" s="390">
        <f t="shared" si="215"/>
        <v>0</v>
      </c>
      <c r="T340" s="390">
        <f t="shared" si="215"/>
        <v>0</v>
      </c>
      <c r="U340" s="390">
        <f t="shared" si="215"/>
        <v>0</v>
      </c>
      <c r="V340" s="390">
        <f t="shared" si="215"/>
        <v>0</v>
      </c>
      <c r="W340" s="390">
        <f t="shared" si="215"/>
        <v>0</v>
      </c>
      <c r="X340" s="390">
        <f t="shared" si="215"/>
        <v>0</v>
      </c>
      <c r="Y340" s="390">
        <f t="shared" si="215"/>
        <v>0</v>
      </c>
      <c r="Z340" s="390">
        <f t="shared" si="215"/>
        <v>0</v>
      </c>
      <c r="AA340" s="390">
        <f t="shared" si="215"/>
        <v>0</v>
      </c>
      <c r="AB340" s="390">
        <f t="shared" si="215"/>
        <v>0</v>
      </c>
      <c r="AC340" s="390">
        <f t="shared" si="215"/>
        <v>0</v>
      </c>
      <c r="AD340" s="390">
        <f t="shared" si="215"/>
        <v>0</v>
      </c>
      <c r="AE340" s="390">
        <f t="shared" si="215"/>
        <v>0</v>
      </c>
      <c r="AF340" s="390">
        <f t="shared" si="215"/>
        <v>0</v>
      </c>
      <c r="AG340" s="390">
        <f t="shared" si="215"/>
        <v>0</v>
      </c>
      <c r="AH340" s="390">
        <f t="shared" si="215"/>
        <v>0</v>
      </c>
      <c r="AI340" s="390">
        <f t="shared" si="215"/>
        <v>0</v>
      </c>
      <c r="AJ340" s="390">
        <f t="shared" si="215"/>
        <v>0</v>
      </c>
      <c r="AK340" s="390">
        <f t="shared" si="215"/>
        <v>0</v>
      </c>
      <c r="AL340" s="390">
        <f t="shared" si="215"/>
        <v>0</v>
      </c>
      <c r="AM340" s="390">
        <f t="shared" ref="AM340:AP341" si="216">AM339</f>
        <v>245000000</v>
      </c>
      <c r="AN340" s="390">
        <f t="shared" si="216"/>
        <v>0</v>
      </c>
      <c r="AO340" s="390">
        <f t="shared" si="216"/>
        <v>0</v>
      </c>
      <c r="AP340" s="390">
        <f t="shared" si="216"/>
        <v>0</v>
      </c>
      <c r="AQ340" s="390">
        <f t="shared" ref="AQ340" si="217">AQ339</f>
        <v>0</v>
      </c>
      <c r="AR340" s="390">
        <f t="shared" si="211"/>
        <v>245000000</v>
      </c>
    </row>
    <row r="341" spans="1:44" s="165" customFormat="1" ht="15" x14ac:dyDescent="0.25">
      <c r="A341" s="291"/>
      <c r="B341" s="291"/>
      <c r="C341" s="292"/>
      <c r="D341" s="291"/>
      <c r="E341" s="292"/>
      <c r="F341" s="292"/>
      <c r="G341" s="291"/>
      <c r="H341" s="292"/>
      <c r="I341" s="291"/>
      <c r="J341" s="391"/>
      <c r="K341" s="391"/>
      <c r="L341" s="391"/>
      <c r="M341" s="391"/>
      <c r="N341" s="392"/>
      <c r="O341" s="291"/>
      <c r="P341" s="292"/>
      <c r="Q341" s="393">
        <f t="shared" si="215"/>
        <v>0</v>
      </c>
      <c r="R341" s="393">
        <f t="shared" si="215"/>
        <v>0</v>
      </c>
      <c r="S341" s="393">
        <f t="shared" si="215"/>
        <v>0</v>
      </c>
      <c r="T341" s="393">
        <f t="shared" si="215"/>
        <v>0</v>
      </c>
      <c r="U341" s="393">
        <f t="shared" si="215"/>
        <v>0</v>
      </c>
      <c r="V341" s="393">
        <f t="shared" si="215"/>
        <v>0</v>
      </c>
      <c r="W341" s="393">
        <f t="shared" si="215"/>
        <v>0</v>
      </c>
      <c r="X341" s="393">
        <f t="shared" si="215"/>
        <v>0</v>
      </c>
      <c r="Y341" s="393">
        <f t="shared" si="215"/>
        <v>0</v>
      </c>
      <c r="Z341" s="393">
        <f t="shared" si="215"/>
        <v>0</v>
      </c>
      <c r="AA341" s="393">
        <f t="shared" si="215"/>
        <v>0</v>
      </c>
      <c r="AB341" s="393">
        <f t="shared" si="215"/>
        <v>0</v>
      </c>
      <c r="AC341" s="393">
        <f t="shared" si="215"/>
        <v>0</v>
      </c>
      <c r="AD341" s="393">
        <f t="shared" si="215"/>
        <v>0</v>
      </c>
      <c r="AE341" s="393">
        <f t="shared" si="215"/>
        <v>0</v>
      </c>
      <c r="AF341" s="393">
        <f t="shared" si="215"/>
        <v>0</v>
      </c>
      <c r="AG341" s="393">
        <f t="shared" si="215"/>
        <v>0</v>
      </c>
      <c r="AH341" s="393">
        <f t="shared" si="215"/>
        <v>0</v>
      </c>
      <c r="AI341" s="393">
        <f t="shared" si="215"/>
        <v>0</v>
      </c>
      <c r="AJ341" s="393">
        <f t="shared" si="215"/>
        <v>0</v>
      </c>
      <c r="AK341" s="393">
        <f t="shared" si="215"/>
        <v>0</v>
      </c>
      <c r="AL341" s="393">
        <f t="shared" si="215"/>
        <v>0</v>
      </c>
      <c r="AM341" s="393">
        <f t="shared" si="216"/>
        <v>245000000</v>
      </c>
      <c r="AN341" s="393">
        <f t="shared" si="216"/>
        <v>0</v>
      </c>
      <c r="AO341" s="393">
        <f t="shared" si="216"/>
        <v>0</v>
      </c>
      <c r="AP341" s="393">
        <f t="shared" si="216"/>
        <v>0</v>
      </c>
      <c r="AQ341" s="393">
        <f t="shared" ref="AQ341" si="218">AQ340</f>
        <v>0</v>
      </c>
      <c r="AR341" s="393">
        <f t="shared" si="211"/>
        <v>245000000</v>
      </c>
    </row>
    <row r="342" spans="1:44" s="165" customFormat="1" ht="15" x14ac:dyDescent="0.25">
      <c r="A342" s="177"/>
      <c r="B342" s="177"/>
      <c r="C342" s="178"/>
      <c r="D342" s="177"/>
      <c r="E342" s="178"/>
      <c r="F342" s="178"/>
      <c r="G342" s="177"/>
      <c r="H342" s="178"/>
      <c r="I342" s="177"/>
      <c r="J342" s="179"/>
      <c r="K342" s="179"/>
      <c r="L342" s="179"/>
      <c r="M342" s="179"/>
      <c r="N342" s="180"/>
      <c r="O342" s="177"/>
      <c r="P342" s="178"/>
      <c r="Q342" s="181">
        <f>+Q341+Q329+Q296</f>
        <v>0</v>
      </c>
      <c r="R342" s="181">
        <f t="shared" ref="R342:AL342" si="219">+R341+R329+R296</f>
        <v>0</v>
      </c>
      <c r="S342" s="181">
        <f t="shared" si="219"/>
        <v>0</v>
      </c>
      <c r="T342" s="181">
        <f t="shared" si="219"/>
        <v>0</v>
      </c>
      <c r="U342" s="181">
        <f t="shared" si="219"/>
        <v>0</v>
      </c>
      <c r="V342" s="181">
        <f t="shared" si="219"/>
        <v>0</v>
      </c>
      <c r="W342" s="181">
        <f t="shared" si="219"/>
        <v>0</v>
      </c>
      <c r="X342" s="181">
        <f t="shared" si="219"/>
        <v>0</v>
      </c>
      <c r="Y342" s="181">
        <f t="shared" si="219"/>
        <v>0</v>
      </c>
      <c r="Z342" s="181">
        <f t="shared" si="219"/>
        <v>0</v>
      </c>
      <c r="AA342" s="181">
        <f t="shared" si="219"/>
        <v>0</v>
      </c>
      <c r="AB342" s="181">
        <f t="shared" si="219"/>
        <v>0</v>
      </c>
      <c r="AC342" s="181">
        <f t="shared" si="219"/>
        <v>0</v>
      </c>
      <c r="AD342" s="181">
        <f t="shared" si="219"/>
        <v>0</v>
      </c>
      <c r="AE342" s="181">
        <f t="shared" si="219"/>
        <v>0</v>
      </c>
      <c r="AF342" s="181">
        <f t="shared" si="219"/>
        <v>0</v>
      </c>
      <c r="AG342" s="181">
        <f t="shared" si="219"/>
        <v>0</v>
      </c>
      <c r="AH342" s="181">
        <f t="shared" si="219"/>
        <v>0</v>
      </c>
      <c r="AI342" s="181">
        <f t="shared" si="219"/>
        <v>0</v>
      </c>
      <c r="AJ342" s="181">
        <f t="shared" si="219"/>
        <v>0</v>
      </c>
      <c r="AK342" s="181">
        <f t="shared" si="219"/>
        <v>0</v>
      </c>
      <c r="AL342" s="181">
        <f t="shared" si="219"/>
        <v>0</v>
      </c>
      <c r="AM342" s="181">
        <f t="shared" ref="AM342:AP342" si="220">+AM341+AM329+AM296</f>
        <v>2868844405.6691999</v>
      </c>
      <c r="AN342" s="181">
        <f t="shared" si="220"/>
        <v>0</v>
      </c>
      <c r="AO342" s="181">
        <f t="shared" si="220"/>
        <v>0</v>
      </c>
      <c r="AP342" s="181">
        <f t="shared" si="220"/>
        <v>0</v>
      </c>
      <c r="AQ342" s="181">
        <f t="shared" ref="AQ342" si="221">+AQ341+AQ329+AQ296</f>
        <v>0</v>
      </c>
      <c r="AR342" s="181">
        <f t="shared" si="211"/>
        <v>2868844405.6691999</v>
      </c>
    </row>
    <row r="343" spans="1:44" s="29" customFormat="1" ht="15" x14ac:dyDescent="0.25">
      <c r="A343" s="182"/>
      <c r="B343" s="183"/>
      <c r="C343" s="760"/>
      <c r="D343" s="183"/>
      <c r="E343" s="760"/>
      <c r="F343" s="760"/>
      <c r="G343" s="183"/>
      <c r="H343" s="760"/>
      <c r="I343" s="183"/>
      <c r="J343" s="184"/>
      <c r="K343" s="184"/>
      <c r="L343" s="184"/>
      <c r="M343" s="184"/>
      <c r="N343" s="185"/>
      <c r="O343" s="183"/>
      <c r="P343" s="760"/>
      <c r="Q343" s="186"/>
      <c r="R343" s="186"/>
      <c r="S343" s="186"/>
      <c r="T343" s="186"/>
      <c r="U343" s="186"/>
      <c r="V343" s="186"/>
      <c r="W343" s="186"/>
      <c r="X343" s="186"/>
      <c r="Y343" s="186"/>
      <c r="Z343" s="186"/>
      <c r="AA343" s="186"/>
      <c r="AB343" s="186"/>
      <c r="AC343" s="186"/>
      <c r="AD343" s="186"/>
      <c r="AE343" s="186"/>
      <c r="AF343" s="186"/>
      <c r="AG343" s="186"/>
      <c r="AH343" s="186"/>
      <c r="AI343" s="186"/>
      <c r="AJ343" s="186"/>
      <c r="AK343" s="186"/>
      <c r="AL343" s="186"/>
      <c r="AM343" s="188"/>
      <c r="AN343" s="186"/>
      <c r="AO343" s="186"/>
      <c r="AP343" s="186"/>
      <c r="AQ343" s="186"/>
      <c r="AR343" s="205">
        <f t="shared" si="211"/>
        <v>0</v>
      </c>
    </row>
    <row r="344" spans="1:44" s="165" customFormat="1" ht="20.25" x14ac:dyDescent="0.25">
      <c r="A344" s="135" t="s">
        <v>443</v>
      </c>
      <c r="B344" s="136"/>
      <c r="C344" s="137"/>
      <c r="D344" s="136"/>
      <c r="E344" s="136"/>
      <c r="F344" s="136"/>
      <c r="G344" s="136"/>
      <c r="H344" s="137"/>
      <c r="I344" s="136"/>
      <c r="J344" s="136"/>
      <c r="K344" s="136"/>
      <c r="L344" s="136"/>
      <c r="M344" s="136"/>
      <c r="N344" s="138"/>
      <c r="O344" s="136"/>
      <c r="P344" s="137"/>
      <c r="Q344" s="136"/>
      <c r="R344" s="136"/>
      <c r="S344" s="136"/>
      <c r="T344" s="136"/>
      <c r="U344" s="136"/>
      <c r="V344" s="136"/>
      <c r="W344" s="136"/>
      <c r="X344" s="136"/>
      <c r="Y344" s="136"/>
      <c r="Z344" s="136"/>
      <c r="AA344" s="136"/>
      <c r="AB344" s="136"/>
      <c r="AC344" s="136"/>
      <c r="AD344" s="136"/>
      <c r="AE344" s="136"/>
      <c r="AF344" s="136"/>
      <c r="AG344" s="136"/>
      <c r="AH344" s="136"/>
      <c r="AI344" s="136"/>
      <c r="AJ344" s="136"/>
      <c r="AK344" s="136"/>
      <c r="AL344" s="136"/>
      <c r="AM344" s="139"/>
      <c r="AN344" s="140"/>
      <c r="AO344" s="136"/>
      <c r="AP344" s="136"/>
      <c r="AQ344" s="136"/>
      <c r="AR344" s="141"/>
    </row>
    <row r="345" spans="1:44" s="165" customFormat="1" x14ac:dyDescent="0.25">
      <c r="A345" s="826">
        <v>5</v>
      </c>
      <c r="B345" s="142" t="s">
        <v>33</v>
      </c>
      <c r="C345" s="143"/>
      <c r="D345" s="142"/>
      <c r="E345" s="142"/>
      <c r="F345" s="142"/>
      <c r="G345" s="142"/>
      <c r="H345" s="143"/>
      <c r="I345" s="142"/>
      <c r="J345" s="142"/>
      <c r="K345" s="142"/>
      <c r="L345" s="142"/>
      <c r="M345" s="142"/>
      <c r="N345" s="144"/>
      <c r="O345" s="142"/>
      <c r="P345" s="142"/>
      <c r="Q345" s="142"/>
      <c r="R345" s="142"/>
      <c r="S345" s="142"/>
      <c r="T345" s="142"/>
      <c r="U345" s="142"/>
      <c r="V345" s="142"/>
      <c r="W345" s="142"/>
      <c r="X345" s="142"/>
      <c r="Y345" s="142"/>
      <c r="Z345" s="142"/>
      <c r="AA345" s="142"/>
      <c r="AB345" s="142"/>
      <c r="AC345" s="142"/>
      <c r="AD345" s="142"/>
      <c r="AE345" s="142"/>
      <c r="AF345" s="142"/>
      <c r="AG345" s="142"/>
      <c r="AH345" s="142"/>
      <c r="AI345" s="142"/>
      <c r="AJ345" s="142"/>
      <c r="AK345" s="142"/>
      <c r="AL345" s="142"/>
      <c r="AM345" s="145"/>
      <c r="AN345" s="142"/>
      <c r="AO345" s="142"/>
      <c r="AP345" s="142"/>
      <c r="AQ345" s="142"/>
      <c r="AR345" s="146"/>
    </row>
    <row r="346" spans="1:44" s="49" customFormat="1" ht="20.25" x14ac:dyDescent="0.25">
      <c r="A346" s="190"/>
      <c r="B346" s="243">
        <v>26</v>
      </c>
      <c r="C346" s="150" t="s">
        <v>61</v>
      </c>
      <c r="D346" s="149"/>
      <c r="E346" s="149"/>
      <c r="F346" s="149"/>
      <c r="G346" s="149"/>
      <c r="H346" s="150"/>
      <c r="I346" s="149"/>
      <c r="J346" s="149"/>
      <c r="K346" s="149"/>
      <c r="L346" s="149"/>
      <c r="M346" s="149"/>
      <c r="N346" s="151"/>
      <c r="O346" s="149"/>
      <c r="P346" s="149"/>
      <c r="Q346" s="149"/>
      <c r="R346" s="149"/>
      <c r="S346" s="149"/>
      <c r="T346" s="149"/>
      <c r="U346" s="149"/>
      <c r="V346" s="149"/>
      <c r="W346" s="149"/>
      <c r="X346" s="149"/>
      <c r="Y346" s="149"/>
      <c r="Z346" s="149"/>
      <c r="AA346" s="149"/>
      <c r="AB346" s="149"/>
      <c r="AC346" s="149"/>
      <c r="AD346" s="149"/>
      <c r="AE346" s="149"/>
      <c r="AF346" s="149"/>
      <c r="AG346" s="149"/>
      <c r="AH346" s="149"/>
      <c r="AI346" s="149"/>
      <c r="AJ346" s="149"/>
      <c r="AK346" s="149"/>
      <c r="AL346" s="149"/>
      <c r="AM346" s="152"/>
      <c r="AN346" s="149"/>
      <c r="AO346" s="149"/>
      <c r="AP346" s="149"/>
      <c r="AQ346" s="149"/>
      <c r="AR346" s="153"/>
    </row>
    <row r="347" spans="1:44" s="49" customFormat="1" ht="20.25" x14ac:dyDescent="0.25">
      <c r="A347" s="21"/>
      <c r="B347" s="190"/>
      <c r="C347" s="760"/>
      <c r="D347" s="183"/>
      <c r="E347" s="760"/>
      <c r="F347" s="761"/>
      <c r="G347" s="337">
        <v>83</v>
      </c>
      <c r="H347" s="933" t="s">
        <v>62</v>
      </c>
      <c r="I347" s="933"/>
      <c r="J347" s="933"/>
      <c r="K347" s="933"/>
      <c r="L347" s="933"/>
      <c r="M347" s="933"/>
      <c r="N347" s="933"/>
      <c r="O347" s="933"/>
      <c r="P347" s="194"/>
      <c r="Q347" s="194"/>
      <c r="R347" s="194"/>
      <c r="S347" s="194"/>
      <c r="T347" s="194"/>
      <c r="U347" s="194"/>
      <c r="V347" s="194"/>
      <c r="W347" s="194"/>
      <c r="X347" s="194"/>
      <c r="Y347" s="194"/>
      <c r="Z347" s="194"/>
      <c r="AA347" s="194"/>
      <c r="AB347" s="194"/>
      <c r="AC347" s="194"/>
      <c r="AD347" s="194"/>
      <c r="AE347" s="194"/>
      <c r="AF347" s="194"/>
      <c r="AG347" s="194"/>
      <c r="AH347" s="194"/>
      <c r="AI347" s="194"/>
      <c r="AJ347" s="194"/>
      <c r="AK347" s="194"/>
      <c r="AL347" s="194"/>
      <c r="AM347" s="196"/>
      <c r="AN347" s="194"/>
      <c r="AO347" s="194"/>
      <c r="AP347" s="194"/>
      <c r="AQ347" s="194"/>
      <c r="AR347" s="197"/>
    </row>
    <row r="348" spans="1:44" s="29" customFormat="1" ht="78.75" customHeight="1" x14ac:dyDescent="0.25">
      <c r="A348" s="21"/>
      <c r="B348" s="21"/>
      <c r="C348" s="761">
        <v>37</v>
      </c>
      <c r="D348" s="762" t="s">
        <v>444</v>
      </c>
      <c r="E348" s="767" t="s">
        <v>64</v>
      </c>
      <c r="F348" s="767">
        <v>60</v>
      </c>
      <c r="G348" s="24"/>
      <c r="H348" s="767">
        <v>244</v>
      </c>
      <c r="I348" s="762" t="s">
        <v>445</v>
      </c>
      <c r="J348" s="25" t="s">
        <v>38</v>
      </c>
      <c r="K348" s="25">
        <v>12</v>
      </c>
      <c r="L348" s="25">
        <v>6</v>
      </c>
      <c r="M348" s="26" t="s">
        <v>446</v>
      </c>
      <c r="N348" s="39" t="s">
        <v>447</v>
      </c>
      <c r="O348" s="762" t="s">
        <v>448</v>
      </c>
      <c r="P348" s="767" t="s">
        <v>42</v>
      </c>
      <c r="Q348" s="27">
        <v>0</v>
      </c>
      <c r="R348" s="27">
        <v>0</v>
      </c>
      <c r="S348" s="27">
        <v>0</v>
      </c>
      <c r="T348" s="27">
        <v>0</v>
      </c>
      <c r="U348" s="27">
        <v>0</v>
      </c>
      <c r="V348" s="27">
        <v>0</v>
      </c>
      <c r="W348" s="27">
        <v>0</v>
      </c>
      <c r="X348" s="27"/>
      <c r="Y348" s="27"/>
      <c r="Z348" s="27"/>
      <c r="AA348" s="27">
        <v>0</v>
      </c>
      <c r="AB348" s="27"/>
      <c r="AC348" s="27">
        <v>0</v>
      </c>
      <c r="AD348" s="27">
        <v>0</v>
      </c>
      <c r="AE348" s="27"/>
      <c r="AF348" s="27"/>
      <c r="AG348" s="27"/>
      <c r="AH348" s="27"/>
      <c r="AI348" s="27"/>
      <c r="AJ348" s="27"/>
      <c r="AK348" s="27">
        <v>0</v>
      </c>
      <c r="AL348" s="27">
        <v>0</v>
      </c>
      <c r="AM348" s="110">
        <f>40000000+249534666+500000000+400000000-35000000</f>
        <v>1154534666</v>
      </c>
      <c r="AN348" s="11"/>
      <c r="AO348" s="27">
        <v>0</v>
      </c>
      <c r="AP348" s="28">
        <v>0</v>
      </c>
      <c r="AQ348" s="28"/>
      <c r="AR348" s="27">
        <f t="shared" si="211"/>
        <v>1154534666</v>
      </c>
    </row>
    <row r="349" spans="1:44" s="29" customFormat="1" ht="66" customHeight="1" x14ac:dyDescent="0.25">
      <c r="A349" s="21"/>
      <c r="B349" s="21"/>
      <c r="C349" s="761">
        <v>37</v>
      </c>
      <c r="D349" s="762" t="s">
        <v>449</v>
      </c>
      <c r="E349" s="767" t="s">
        <v>64</v>
      </c>
      <c r="F349" s="767">
        <v>60</v>
      </c>
      <c r="G349" s="32"/>
      <c r="H349" s="767">
        <v>245</v>
      </c>
      <c r="I349" s="762" t="s">
        <v>450</v>
      </c>
      <c r="J349" s="25" t="s">
        <v>38</v>
      </c>
      <c r="K349" s="25">
        <v>1</v>
      </c>
      <c r="L349" s="25">
        <v>0</v>
      </c>
      <c r="M349" s="26" t="s">
        <v>446</v>
      </c>
      <c r="N349" s="39" t="s">
        <v>451</v>
      </c>
      <c r="O349" s="762" t="s">
        <v>452</v>
      </c>
      <c r="P349" s="767" t="s">
        <v>47</v>
      </c>
      <c r="Q349" s="27">
        <v>0</v>
      </c>
      <c r="R349" s="27">
        <v>0</v>
      </c>
      <c r="S349" s="27">
        <v>0</v>
      </c>
      <c r="T349" s="27">
        <v>0</v>
      </c>
      <c r="U349" s="27">
        <v>0</v>
      </c>
      <c r="V349" s="27">
        <v>0</v>
      </c>
      <c r="W349" s="27">
        <v>0</v>
      </c>
      <c r="X349" s="27"/>
      <c r="Y349" s="27"/>
      <c r="Z349" s="27"/>
      <c r="AA349" s="27">
        <v>0</v>
      </c>
      <c r="AB349" s="27"/>
      <c r="AC349" s="27">
        <v>0</v>
      </c>
      <c r="AD349" s="27">
        <v>0</v>
      </c>
      <c r="AE349" s="27"/>
      <c r="AF349" s="27"/>
      <c r="AG349" s="27"/>
      <c r="AH349" s="27"/>
      <c r="AI349" s="27"/>
      <c r="AJ349" s="27"/>
      <c r="AK349" s="27">
        <v>0</v>
      </c>
      <c r="AL349" s="27">
        <v>0</v>
      </c>
      <c r="AM349" s="110">
        <f>180000000+35000000</f>
        <v>215000000</v>
      </c>
      <c r="AN349" s="11"/>
      <c r="AO349" s="27">
        <v>0</v>
      </c>
      <c r="AP349" s="28">
        <v>0</v>
      </c>
      <c r="AQ349" s="28"/>
      <c r="AR349" s="27">
        <f t="shared" si="211"/>
        <v>215000000</v>
      </c>
    </row>
    <row r="350" spans="1:44" s="165" customFormat="1" ht="15" x14ac:dyDescent="0.25">
      <c r="A350" s="21"/>
      <c r="B350" s="158"/>
      <c r="C350" s="761"/>
      <c r="D350" s="159"/>
      <c r="E350" s="604"/>
      <c r="F350" s="604"/>
      <c r="G350" s="160"/>
      <c r="H350" s="161"/>
      <c r="I350" s="160"/>
      <c r="J350" s="162"/>
      <c r="K350" s="162"/>
      <c r="L350" s="162"/>
      <c r="M350" s="162"/>
      <c r="N350" s="163"/>
      <c r="O350" s="160"/>
      <c r="P350" s="161"/>
      <c r="Q350" s="164">
        <f t="shared" ref="Q350:W350" si="222">SUM(Q348:Q349)</f>
        <v>0</v>
      </c>
      <c r="R350" s="164">
        <f t="shared" si="222"/>
        <v>0</v>
      </c>
      <c r="S350" s="164">
        <f t="shared" si="222"/>
        <v>0</v>
      </c>
      <c r="T350" s="164">
        <f t="shared" si="222"/>
        <v>0</v>
      </c>
      <c r="U350" s="164">
        <f t="shared" si="222"/>
        <v>0</v>
      </c>
      <c r="V350" s="164">
        <f t="shared" si="222"/>
        <v>0</v>
      </c>
      <c r="W350" s="164">
        <f t="shared" si="222"/>
        <v>0</v>
      </c>
      <c r="X350" s="164"/>
      <c r="Y350" s="164"/>
      <c r="Z350" s="164"/>
      <c r="AA350" s="164">
        <f>SUM(AA348:AA349)</f>
        <v>0</v>
      </c>
      <c r="AB350" s="164"/>
      <c r="AC350" s="164">
        <f>SUM(AC348:AC349)</f>
        <v>0</v>
      </c>
      <c r="AD350" s="164">
        <f>SUM(AD348:AD349)</f>
        <v>0</v>
      </c>
      <c r="AE350" s="164">
        <f>SUM(AE348:AE349)</f>
        <v>0</v>
      </c>
      <c r="AF350" s="164">
        <f>SUM(AF348:AF349)</f>
        <v>0</v>
      </c>
      <c r="AG350" s="164"/>
      <c r="AH350" s="164">
        <f t="shared" ref="AH350:AM350" si="223">SUM(AH348:AH349)</f>
        <v>0</v>
      </c>
      <c r="AI350" s="164">
        <f t="shared" si="223"/>
        <v>0</v>
      </c>
      <c r="AJ350" s="164">
        <f t="shared" si="223"/>
        <v>0</v>
      </c>
      <c r="AK350" s="164">
        <f t="shared" si="223"/>
        <v>0</v>
      </c>
      <c r="AL350" s="164">
        <f t="shared" si="223"/>
        <v>0</v>
      </c>
      <c r="AM350" s="248">
        <f t="shared" si="223"/>
        <v>1369534666</v>
      </c>
      <c r="AN350" s="249"/>
      <c r="AO350" s="164">
        <f>SUM(AO348:AO349)</f>
        <v>0</v>
      </c>
      <c r="AP350" s="164">
        <f>SUM(AP348:AP349)</f>
        <v>0</v>
      </c>
      <c r="AQ350" s="164">
        <f>SUM(AQ348:AQ349)</f>
        <v>0</v>
      </c>
      <c r="AR350" s="394">
        <f t="shared" si="211"/>
        <v>1369534666</v>
      </c>
    </row>
    <row r="351" spans="1:44" s="165" customFormat="1" ht="15" x14ac:dyDescent="0.25">
      <c r="A351" s="21"/>
      <c r="B351" s="227"/>
      <c r="C351" s="168"/>
      <c r="D351" s="167"/>
      <c r="E351" s="168"/>
      <c r="F351" s="168"/>
      <c r="G351" s="167"/>
      <c r="H351" s="168"/>
      <c r="I351" s="167"/>
      <c r="J351" s="169"/>
      <c r="K351" s="169"/>
      <c r="L351" s="169"/>
      <c r="M351" s="169"/>
      <c r="N351" s="170"/>
      <c r="O351" s="167"/>
      <c r="P351" s="168"/>
      <c r="Q351" s="171">
        <f t="shared" ref="Q351:W351" si="224">Q350</f>
        <v>0</v>
      </c>
      <c r="R351" s="171">
        <f t="shared" si="224"/>
        <v>0</v>
      </c>
      <c r="S351" s="171">
        <f t="shared" si="224"/>
        <v>0</v>
      </c>
      <c r="T351" s="171">
        <f t="shared" si="224"/>
        <v>0</v>
      </c>
      <c r="U351" s="171">
        <f t="shared" si="224"/>
        <v>0</v>
      </c>
      <c r="V351" s="171">
        <f t="shared" si="224"/>
        <v>0</v>
      </c>
      <c r="W351" s="171">
        <f t="shared" si="224"/>
        <v>0</v>
      </c>
      <c r="X351" s="171"/>
      <c r="Y351" s="171"/>
      <c r="Z351" s="171"/>
      <c r="AA351" s="171">
        <f>AA350</f>
        <v>0</v>
      </c>
      <c r="AB351" s="171"/>
      <c r="AC351" s="171">
        <f>AC350</f>
        <v>0</v>
      </c>
      <c r="AD351" s="171">
        <f>AD350</f>
        <v>0</v>
      </c>
      <c r="AE351" s="171">
        <f>AE350</f>
        <v>0</v>
      </c>
      <c r="AF351" s="171">
        <f>AF350</f>
        <v>0</v>
      </c>
      <c r="AG351" s="171"/>
      <c r="AH351" s="171">
        <f t="shared" ref="AH351:AM351" si="225">AH350</f>
        <v>0</v>
      </c>
      <c r="AI351" s="171">
        <f t="shared" si="225"/>
        <v>0</v>
      </c>
      <c r="AJ351" s="171">
        <f t="shared" si="225"/>
        <v>0</v>
      </c>
      <c r="AK351" s="171">
        <f t="shared" si="225"/>
        <v>0</v>
      </c>
      <c r="AL351" s="171">
        <f t="shared" si="225"/>
        <v>0</v>
      </c>
      <c r="AM351" s="250">
        <f t="shared" si="225"/>
        <v>1369534666</v>
      </c>
      <c r="AN351" s="171"/>
      <c r="AO351" s="171">
        <f>AO350</f>
        <v>0</v>
      </c>
      <c r="AP351" s="171">
        <f>AP350</f>
        <v>0</v>
      </c>
      <c r="AQ351" s="171">
        <f>AQ350</f>
        <v>0</v>
      </c>
      <c r="AR351" s="395">
        <f t="shared" si="211"/>
        <v>1369534666</v>
      </c>
    </row>
    <row r="352" spans="1:44" s="29" customFormat="1" ht="15" x14ac:dyDescent="0.25">
      <c r="A352" s="21"/>
      <c r="B352" s="183"/>
      <c r="C352" s="760"/>
      <c r="D352" s="183"/>
      <c r="E352" s="760"/>
      <c r="F352" s="760"/>
      <c r="G352" s="183"/>
      <c r="H352" s="760"/>
      <c r="I352" s="183"/>
      <c r="J352" s="184"/>
      <c r="K352" s="184"/>
      <c r="L352" s="184"/>
      <c r="M352" s="184"/>
      <c r="N352" s="185"/>
      <c r="O352" s="183"/>
      <c r="P352" s="760"/>
      <c r="Q352" s="186"/>
      <c r="R352" s="186"/>
      <c r="S352" s="186"/>
      <c r="T352" s="186"/>
      <c r="U352" s="186"/>
      <c r="V352" s="186"/>
      <c r="W352" s="186"/>
      <c r="X352" s="186"/>
      <c r="Y352" s="186"/>
      <c r="Z352" s="186"/>
      <c r="AA352" s="186"/>
      <c r="AB352" s="186"/>
      <c r="AC352" s="186"/>
      <c r="AD352" s="186"/>
      <c r="AE352" s="186"/>
      <c r="AF352" s="186"/>
      <c r="AG352" s="186"/>
      <c r="AH352" s="186"/>
      <c r="AI352" s="186"/>
      <c r="AJ352" s="186"/>
      <c r="AK352" s="186"/>
      <c r="AL352" s="186"/>
      <c r="AM352" s="188"/>
      <c r="AN352" s="189"/>
      <c r="AO352" s="186"/>
      <c r="AP352" s="186"/>
      <c r="AQ352" s="186"/>
      <c r="AR352" s="205">
        <f t="shared" si="211"/>
        <v>0</v>
      </c>
    </row>
    <row r="353" spans="1:44" s="29" customFormat="1" x14ac:dyDescent="0.25">
      <c r="A353" s="21"/>
      <c r="B353" s="243">
        <v>28</v>
      </c>
      <c r="C353" s="150" t="s">
        <v>34</v>
      </c>
      <c r="D353" s="149"/>
      <c r="E353" s="149"/>
      <c r="F353" s="149"/>
      <c r="G353" s="149"/>
      <c r="H353" s="150"/>
      <c r="I353" s="149"/>
      <c r="J353" s="149"/>
      <c r="K353" s="149"/>
      <c r="L353" s="149"/>
      <c r="M353" s="149"/>
      <c r="N353" s="151"/>
      <c r="O353" s="149"/>
      <c r="P353" s="149"/>
      <c r="Q353" s="149"/>
      <c r="R353" s="149"/>
      <c r="S353" s="149"/>
      <c r="T353" s="149"/>
      <c r="U353" s="149"/>
      <c r="V353" s="149"/>
      <c r="W353" s="149"/>
      <c r="X353" s="149"/>
      <c r="Y353" s="149"/>
      <c r="Z353" s="149"/>
      <c r="AA353" s="149"/>
      <c r="AB353" s="149"/>
      <c r="AC353" s="149"/>
      <c r="AD353" s="149"/>
      <c r="AE353" s="149"/>
      <c r="AF353" s="149"/>
      <c r="AG353" s="149"/>
      <c r="AH353" s="149"/>
      <c r="AI353" s="149"/>
      <c r="AJ353" s="149"/>
      <c r="AK353" s="149"/>
      <c r="AL353" s="149"/>
      <c r="AM353" s="152"/>
      <c r="AN353" s="149"/>
      <c r="AO353" s="149"/>
      <c r="AP353" s="149"/>
      <c r="AQ353" s="149"/>
      <c r="AR353" s="153"/>
    </row>
    <row r="354" spans="1:44" s="29" customFormat="1" ht="15" x14ac:dyDescent="0.25">
      <c r="A354" s="21"/>
      <c r="B354" s="190"/>
      <c r="C354" s="760"/>
      <c r="D354" s="183"/>
      <c r="E354" s="760"/>
      <c r="F354" s="761"/>
      <c r="G354" s="337">
        <v>89</v>
      </c>
      <c r="H354" s="933" t="s">
        <v>35</v>
      </c>
      <c r="I354" s="933"/>
      <c r="J354" s="933"/>
      <c r="K354" s="933"/>
      <c r="L354" s="933"/>
      <c r="M354" s="933"/>
      <c r="N354" s="933"/>
      <c r="O354" s="933"/>
      <c r="P354" s="194"/>
      <c r="Q354" s="194"/>
      <c r="R354" s="194"/>
      <c r="S354" s="194"/>
      <c r="T354" s="194"/>
      <c r="U354" s="194"/>
      <c r="V354" s="194"/>
      <c r="W354" s="194"/>
      <c r="X354" s="194"/>
      <c r="Y354" s="194"/>
      <c r="Z354" s="194"/>
      <c r="AA354" s="194"/>
      <c r="AB354" s="194"/>
      <c r="AC354" s="194"/>
      <c r="AD354" s="194"/>
      <c r="AE354" s="194"/>
      <c r="AF354" s="194"/>
      <c r="AG354" s="194"/>
      <c r="AH354" s="194"/>
      <c r="AI354" s="194"/>
      <c r="AJ354" s="194"/>
      <c r="AK354" s="194"/>
      <c r="AL354" s="194"/>
      <c r="AM354" s="196"/>
      <c r="AN354" s="194"/>
      <c r="AO354" s="194"/>
      <c r="AP354" s="194"/>
      <c r="AQ354" s="194"/>
      <c r="AR354" s="197"/>
    </row>
    <row r="355" spans="1:44" s="29" customFormat="1" ht="117" customHeight="1" x14ac:dyDescent="0.25">
      <c r="A355" s="21"/>
      <c r="B355" s="21"/>
      <c r="C355" s="761">
        <v>37</v>
      </c>
      <c r="D355" s="762" t="s">
        <v>444</v>
      </c>
      <c r="E355" s="767" t="s">
        <v>64</v>
      </c>
      <c r="F355" s="767">
        <v>60</v>
      </c>
      <c r="G355" s="762"/>
      <c r="H355" s="767">
        <v>288</v>
      </c>
      <c r="I355" s="762" t="s">
        <v>453</v>
      </c>
      <c r="J355" s="25">
        <v>1</v>
      </c>
      <c r="K355" s="25">
        <v>1</v>
      </c>
      <c r="L355" s="25">
        <v>0.45</v>
      </c>
      <c r="M355" s="26" t="s">
        <v>446</v>
      </c>
      <c r="N355" s="39" t="s">
        <v>454</v>
      </c>
      <c r="O355" s="762" t="s">
        <v>455</v>
      </c>
      <c r="P355" s="767" t="s">
        <v>47</v>
      </c>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125">
        <f>219504873+400000000+100000000+150000000</f>
        <v>869504873</v>
      </c>
      <c r="AN355" s="15"/>
      <c r="AO355" s="27"/>
      <c r="AP355" s="28"/>
      <c r="AQ355" s="28"/>
      <c r="AR355" s="27">
        <f t="shared" si="211"/>
        <v>869504873</v>
      </c>
    </row>
    <row r="356" spans="1:44" s="29" customFormat="1" ht="15" x14ac:dyDescent="0.25">
      <c r="A356" s="21"/>
      <c r="B356" s="158"/>
      <c r="C356" s="761"/>
      <c r="D356" s="159"/>
      <c r="E356" s="604"/>
      <c r="F356" s="604"/>
      <c r="G356" s="160"/>
      <c r="H356" s="161"/>
      <c r="I356" s="160"/>
      <c r="J356" s="162"/>
      <c r="K356" s="162"/>
      <c r="L356" s="162"/>
      <c r="M356" s="162"/>
      <c r="N356" s="163"/>
      <c r="O356" s="160"/>
      <c r="P356" s="161"/>
      <c r="Q356" s="164">
        <f t="shared" ref="Q356:W356" si="226">SUM(Q355)</f>
        <v>0</v>
      </c>
      <c r="R356" s="164">
        <f t="shared" si="226"/>
        <v>0</v>
      </c>
      <c r="S356" s="164">
        <f t="shared" si="226"/>
        <v>0</v>
      </c>
      <c r="T356" s="164">
        <f t="shared" si="226"/>
        <v>0</v>
      </c>
      <c r="U356" s="164">
        <f t="shared" si="226"/>
        <v>0</v>
      </c>
      <c r="V356" s="164">
        <f t="shared" si="226"/>
        <v>0</v>
      </c>
      <c r="W356" s="164">
        <f t="shared" si="226"/>
        <v>0</v>
      </c>
      <c r="X356" s="164"/>
      <c r="Y356" s="164"/>
      <c r="Z356" s="164"/>
      <c r="AA356" s="164">
        <f>SUM(AA355)</f>
        <v>0</v>
      </c>
      <c r="AB356" s="164"/>
      <c r="AC356" s="164">
        <f>SUM(AC355)</f>
        <v>0</v>
      </c>
      <c r="AD356" s="164">
        <f>SUM(AD355)</f>
        <v>0</v>
      </c>
      <c r="AE356" s="164">
        <f>SUM(AE355)</f>
        <v>0</v>
      </c>
      <c r="AF356" s="164">
        <f>SUM(AF355)</f>
        <v>0</v>
      </c>
      <c r="AG356" s="164"/>
      <c r="AH356" s="164">
        <f t="shared" ref="AH356:AM356" si="227">SUM(AH355)</f>
        <v>0</v>
      </c>
      <c r="AI356" s="164">
        <f t="shared" si="227"/>
        <v>0</v>
      </c>
      <c r="AJ356" s="164">
        <f t="shared" si="227"/>
        <v>0</v>
      </c>
      <c r="AK356" s="164">
        <f t="shared" si="227"/>
        <v>0</v>
      </c>
      <c r="AL356" s="164">
        <f t="shared" si="227"/>
        <v>0</v>
      </c>
      <c r="AM356" s="248">
        <f t="shared" si="227"/>
        <v>869504873</v>
      </c>
      <c r="AN356" s="248">
        <f t="shared" ref="AN356:AP356" si="228">SUM(AN355)</f>
        <v>0</v>
      </c>
      <c r="AO356" s="248">
        <f t="shared" si="228"/>
        <v>0</v>
      </c>
      <c r="AP356" s="248">
        <f t="shared" si="228"/>
        <v>0</v>
      </c>
      <c r="AQ356" s="248">
        <f t="shared" ref="AQ356" si="229">SUM(AQ355)</f>
        <v>0</v>
      </c>
      <c r="AR356" s="396">
        <f t="shared" si="211"/>
        <v>869504873</v>
      </c>
    </row>
    <row r="357" spans="1:44" s="29" customFormat="1" ht="15" x14ac:dyDescent="0.25">
      <c r="A357" s="158"/>
      <c r="B357" s="227"/>
      <c r="C357" s="168"/>
      <c r="D357" s="167"/>
      <c r="E357" s="168"/>
      <c r="F357" s="168"/>
      <c r="G357" s="167"/>
      <c r="H357" s="168"/>
      <c r="I357" s="167"/>
      <c r="J357" s="169"/>
      <c r="K357" s="169"/>
      <c r="L357" s="169"/>
      <c r="M357" s="169"/>
      <c r="N357" s="170"/>
      <c r="O357" s="167"/>
      <c r="P357" s="168"/>
      <c r="Q357" s="171">
        <f t="shared" ref="Q357:AA357" si="230">Q356</f>
        <v>0</v>
      </c>
      <c r="R357" s="171">
        <f t="shared" si="230"/>
        <v>0</v>
      </c>
      <c r="S357" s="171">
        <f t="shared" si="230"/>
        <v>0</v>
      </c>
      <c r="T357" s="171">
        <f t="shared" si="230"/>
        <v>0</v>
      </c>
      <c r="U357" s="171">
        <f t="shared" si="230"/>
        <v>0</v>
      </c>
      <c r="V357" s="171">
        <f t="shared" si="230"/>
        <v>0</v>
      </c>
      <c r="W357" s="171">
        <f t="shared" si="230"/>
        <v>0</v>
      </c>
      <c r="X357" s="171">
        <f t="shared" si="230"/>
        <v>0</v>
      </c>
      <c r="Y357" s="171">
        <f t="shared" si="230"/>
        <v>0</v>
      </c>
      <c r="Z357" s="171">
        <f t="shared" si="230"/>
        <v>0</v>
      </c>
      <c r="AA357" s="171">
        <f t="shared" si="230"/>
        <v>0</v>
      </c>
      <c r="AB357" s="171"/>
      <c r="AC357" s="171">
        <f>AC356</f>
        <v>0</v>
      </c>
      <c r="AD357" s="171">
        <f>AD356</f>
        <v>0</v>
      </c>
      <c r="AE357" s="171">
        <f>AE356</f>
        <v>0</v>
      </c>
      <c r="AF357" s="171">
        <f>AF356</f>
        <v>0</v>
      </c>
      <c r="AG357" s="171"/>
      <c r="AH357" s="171">
        <f t="shared" ref="AH357:AM357" si="231">AH356</f>
        <v>0</v>
      </c>
      <c r="AI357" s="171">
        <f t="shared" si="231"/>
        <v>0</v>
      </c>
      <c r="AJ357" s="171">
        <f t="shared" si="231"/>
        <v>0</v>
      </c>
      <c r="AK357" s="171">
        <f t="shared" si="231"/>
        <v>0</v>
      </c>
      <c r="AL357" s="171">
        <f t="shared" si="231"/>
        <v>0</v>
      </c>
      <c r="AM357" s="250">
        <f t="shared" si="231"/>
        <v>869504873</v>
      </c>
      <c r="AN357" s="250">
        <f t="shared" ref="AN357:AP357" si="232">AN356</f>
        <v>0</v>
      </c>
      <c r="AO357" s="250">
        <f t="shared" si="232"/>
        <v>0</v>
      </c>
      <c r="AP357" s="250">
        <f t="shared" si="232"/>
        <v>0</v>
      </c>
      <c r="AQ357" s="250">
        <f t="shared" ref="AQ357" si="233">AQ356</f>
        <v>0</v>
      </c>
      <c r="AR357" s="397">
        <f t="shared" si="211"/>
        <v>869504873</v>
      </c>
    </row>
    <row r="358" spans="1:44" s="165" customFormat="1" ht="15" x14ac:dyDescent="0.25">
      <c r="A358" s="172"/>
      <c r="B358" s="172"/>
      <c r="C358" s="173"/>
      <c r="D358" s="172"/>
      <c r="E358" s="173"/>
      <c r="F358" s="173"/>
      <c r="G358" s="172"/>
      <c r="H358" s="173"/>
      <c r="I358" s="172"/>
      <c r="J358" s="174"/>
      <c r="K358" s="174"/>
      <c r="L358" s="174"/>
      <c r="M358" s="174"/>
      <c r="N358" s="175"/>
      <c r="O358" s="172"/>
      <c r="P358" s="173"/>
      <c r="Q358" s="176">
        <f t="shared" ref="Q358:AA358" si="234">Q357+Q351</f>
        <v>0</v>
      </c>
      <c r="R358" s="176">
        <f t="shared" si="234"/>
        <v>0</v>
      </c>
      <c r="S358" s="176">
        <f t="shared" si="234"/>
        <v>0</v>
      </c>
      <c r="T358" s="176">
        <f t="shared" si="234"/>
        <v>0</v>
      </c>
      <c r="U358" s="176">
        <f t="shared" si="234"/>
        <v>0</v>
      </c>
      <c r="V358" s="176">
        <f t="shared" si="234"/>
        <v>0</v>
      </c>
      <c r="W358" s="176">
        <f t="shared" si="234"/>
        <v>0</v>
      </c>
      <c r="X358" s="176">
        <f t="shared" si="234"/>
        <v>0</v>
      </c>
      <c r="Y358" s="176">
        <f t="shared" si="234"/>
        <v>0</v>
      </c>
      <c r="Z358" s="176">
        <f t="shared" si="234"/>
        <v>0</v>
      </c>
      <c r="AA358" s="176">
        <f t="shared" si="234"/>
        <v>0</v>
      </c>
      <c r="AB358" s="176"/>
      <c r="AC358" s="176">
        <f>AC357+AC351</f>
        <v>0</v>
      </c>
      <c r="AD358" s="176">
        <f>AD357+AD351</f>
        <v>0</v>
      </c>
      <c r="AE358" s="176">
        <f>AE357+AE351</f>
        <v>0</v>
      </c>
      <c r="AF358" s="176">
        <f>AF357+AF351</f>
        <v>0</v>
      </c>
      <c r="AG358" s="176"/>
      <c r="AH358" s="176">
        <f t="shared" ref="AH358:AM358" si="235">AH357+AH351</f>
        <v>0</v>
      </c>
      <c r="AI358" s="176">
        <f t="shared" si="235"/>
        <v>0</v>
      </c>
      <c r="AJ358" s="176">
        <f t="shared" si="235"/>
        <v>0</v>
      </c>
      <c r="AK358" s="176">
        <f t="shared" si="235"/>
        <v>0</v>
      </c>
      <c r="AL358" s="176">
        <f t="shared" si="235"/>
        <v>0</v>
      </c>
      <c r="AM358" s="252">
        <f t="shared" si="235"/>
        <v>2239039539</v>
      </c>
      <c r="AN358" s="252">
        <f t="shared" ref="AN358:AP358" si="236">AN357+AN351</f>
        <v>0</v>
      </c>
      <c r="AO358" s="252">
        <f t="shared" si="236"/>
        <v>0</v>
      </c>
      <c r="AP358" s="252">
        <f t="shared" si="236"/>
        <v>0</v>
      </c>
      <c r="AQ358" s="252">
        <f t="shared" ref="AQ358" si="237">AQ357+AQ351</f>
        <v>0</v>
      </c>
      <c r="AR358" s="398">
        <f t="shared" si="211"/>
        <v>2239039539</v>
      </c>
    </row>
    <row r="359" spans="1:44" s="165" customFormat="1" ht="15" x14ac:dyDescent="0.25">
      <c r="A359" s="177"/>
      <c r="B359" s="177"/>
      <c r="C359" s="178"/>
      <c r="D359" s="177"/>
      <c r="E359" s="178"/>
      <c r="F359" s="178"/>
      <c r="G359" s="177"/>
      <c r="H359" s="178"/>
      <c r="I359" s="177"/>
      <c r="J359" s="179"/>
      <c r="K359" s="179"/>
      <c r="L359" s="179"/>
      <c r="M359" s="179"/>
      <c r="N359" s="180"/>
      <c r="O359" s="177"/>
      <c r="P359" s="178"/>
      <c r="Q359" s="181">
        <f t="shared" ref="Q359:AA359" si="238">Q358</f>
        <v>0</v>
      </c>
      <c r="R359" s="181">
        <f t="shared" si="238"/>
        <v>0</v>
      </c>
      <c r="S359" s="181">
        <f t="shared" si="238"/>
        <v>0</v>
      </c>
      <c r="T359" s="181">
        <f t="shared" si="238"/>
        <v>0</v>
      </c>
      <c r="U359" s="181">
        <f t="shared" si="238"/>
        <v>0</v>
      </c>
      <c r="V359" s="181">
        <f t="shared" si="238"/>
        <v>0</v>
      </c>
      <c r="W359" s="181">
        <f t="shared" si="238"/>
        <v>0</v>
      </c>
      <c r="X359" s="181">
        <f t="shared" si="238"/>
        <v>0</v>
      </c>
      <c r="Y359" s="181">
        <f t="shared" si="238"/>
        <v>0</v>
      </c>
      <c r="Z359" s="181">
        <f t="shared" si="238"/>
        <v>0</v>
      </c>
      <c r="AA359" s="181">
        <f t="shared" si="238"/>
        <v>0</v>
      </c>
      <c r="AB359" s="181"/>
      <c r="AC359" s="181">
        <f>AC358</f>
        <v>0</v>
      </c>
      <c r="AD359" s="181">
        <f>AD358</f>
        <v>0</v>
      </c>
      <c r="AE359" s="181">
        <f>AE358</f>
        <v>0</v>
      </c>
      <c r="AF359" s="181">
        <f>AF358</f>
        <v>0</v>
      </c>
      <c r="AG359" s="181"/>
      <c r="AH359" s="181">
        <f t="shared" ref="AH359:AM359" si="239">AH358</f>
        <v>0</v>
      </c>
      <c r="AI359" s="181">
        <f t="shared" si="239"/>
        <v>0</v>
      </c>
      <c r="AJ359" s="181">
        <f t="shared" si="239"/>
        <v>0</v>
      </c>
      <c r="AK359" s="181">
        <f t="shared" si="239"/>
        <v>0</v>
      </c>
      <c r="AL359" s="181">
        <f t="shared" si="239"/>
        <v>0</v>
      </c>
      <c r="AM359" s="254">
        <f t="shared" si="239"/>
        <v>2239039539</v>
      </c>
      <c r="AN359" s="254">
        <f t="shared" ref="AN359:AP359" si="240">AN358</f>
        <v>0</v>
      </c>
      <c r="AO359" s="254">
        <f t="shared" si="240"/>
        <v>0</v>
      </c>
      <c r="AP359" s="254">
        <f t="shared" si="240"/>
        <v>0</v>
      </c>
      <c r="AQ359" s="254">
        <f t="shared" ref="AQ359" si="241">AQ358</f>
        <v>0</v>
      </c>
      <c r="AR359" s="399">
        <f t="shared" si="211"/>
        <v>2239039539</v>
      </c>
    </row>
    <row r="360" spans="1:44" s="29" customFormat="1" ht="15" x14ac:dyDescent="0.25">
      <c r="A360" s="182"/>
      <c r="B360" s="183"/>
      <c r="C360" s="760"/>
      <c r="D360" s="183"/>
      <c r="E360" s="760"/>
      <c r="F360" s="760"/>
      <c r="G360" s="183"/>
      <c r="H360" s="760"/>
      <c r="I360" s="183"/>
      <c r="J360" s="184"/>
      <c r="K360" s="184"/>
      <c r="L360" s="184"/>
      <c r="M360" s="184"/>
      <c r="N360" s="185"/>
      <c r="O360" s="183"/>
      <c r="P360" s="760"/>
      <c r="Q360" s="186"/>
      <c r="R360" s="186"/>
      <c r="S360" s="186"/>
      <c r="T360" s="186"/>
      <c r="U360" s="186"/>
      <c r="V360" s="186"/>
      <c r="W360" s="186"/>
      <c r="X360" s="186"/>
      <c r="Y360" s="186"/>
      <c r="Z360" s="186"/>
      <c r="AA360" s="186"/>
      <c r="AB360" s="186"/>
      <c r="AC360" s="186"/>
      <c r="AD360" s="186"/>
      <c r="AE360" s="187"/>
      <c r="AF360" s="187"/>
      <c r="AG360" s="187"/>
      <c r="AH360" s="187"/>
      <c r="AI360" s="187"/>
      <c r="AJ360" s="187"/>
      <c r="AK360" s="186"/>
      <c r="AL360" s="186"/>
      <c r="AM360" s="188"/>
      <c r="AN360" s="189"/>
      <c r="AO360" s="186"/>
      <c r="AP360" s="186"/>
      <c r="AQ360" s="186"/>
      <c r="AR360" s="498">
        <f t="shared" si="211"/>
        <v>0</v>
      </c>
    </row>
    <row r="361" spans="1:44" s="165" customFormat="1" ht="20.25" x14ac:dyDescent="0.25">
      <c r="A361" s="135" t="s">
        <v>456</v>
      </c>
      <c r="B361" s="136"/>
      <c r="C361" s="137"/>
      <c r="D361" s="136"/>
      <c r="E361" s="136"/>
      <c r="F361" s="136"/>
      <c r="G361" s="136"/>
      <c r="H361" s="137"/>
      <c r="I361" s="136"/>
      <c r="J361" s="136"/>
      <c r="K361" s="136"/>
      <c r="L361" s="136"/>
      <c r="M361" s="136"/>
      <c r="N361" s="138"/>
      <c r="O361" s="136"/>
      <c r="P361" s="137"/>
      <c r="Q361" s="136"/>
      <c r="R361" s="136"/>
      <c r="S361" s="136"/>
      <c r="T361" s="136"/>
      <c r="U361" s="136"/>
      <c r="V361" s="136"/>
      <c r="W361" s="136"/>
      <c r="X361" s="136"/>
      <c r="Y361" s="136"/>
      <c r="Z361" s="136"/>
      <c r="AA361" s="136"/>
      <c r="AB361" s="136"/>
      <c r="AC361" s="136"/>
      <c r="AD361" s="136"/>
      <c r="AE361" s="136"/>
      <c r="AF361" s="136"/>
      <c r="AG361" s="136"/>
      <c r="AH361" s="136"/>
      <c r="AI361" s="136"/>
      <c r="AJ361" s="136"/>
      <c r="AK361" s="136"/>
      <c r="AL361" s="136"/>
      <c r="AM361" s="139"/>
      <c r="AN361" s="140"/>
      <c r="AO361" s="136"/>
      <c r="AP361" s="136"/>
      <c r="AQ361" s="136"/>
      <c r="AR361" s="141"/>
    </row>
    <row r="362" spans="1:44" s="165" customFormat="1" x14ac:dyDescent="0.25">
      <c r="A362" s="826">
        <v>3</v>
      </c>
      <c r="B362" s="142" t="s">
        <v>248</v>
      </c>
      <c r="C362" s="143"/>
      <c r="D362" s="142"/>
      <c r="E362" s="142"/>
      <c r="F362" s="142"/>
      <c r="G362" s="142"/>
      <c r="H362" s="143"/>
      <c r="I362" s="142"/>
      <c r="J362" s="142"/>
      <c r="K362" s="142"/>
      <c r="L362" s="142"/>
      <c r="M362" s="142"/>
      <c r="N362" s="144"/>
      <c r="O362" s="142"/>
      <c r="P362" s="142"/>
      <c r="Q362" s="142"/>
      <c r="R362" s="142"/>
      <c r="S362" s="142"/>
      <c r="T362" s="142"/>
      <c r="U362" s="142"/>
      <c r="V362" s="142"/>
      <c r="W362" s="142"/>
      <c r="X362" s="142"/>
      <c r="Y362" s="142"/>
      <c r="Z362" s="142"/>
      <c r="AA362" s="142"/>
      <c r="AB362" s="142"/>
      <c r="AC362" s="142"/>
      <c r="AD362" s="142"/>
      <c r="AE362" s="142"/>
      <c r="AF362" s="142"/>
      <c r="AG362" s="142"/>
      <c r="AH362" s="142"/>
      <c r="AI362" s="142"/>
      <c r="AJ362" s="142"/>
      <c r="AK362" s="142"/>
      <c r="AL362" s="142"/>
      <c r="AM362" s="145"/>
      <c r="AN362" s="142"/>
      <c r="AO362" s="142"/>
      <c r="AP362" s="142"/>
      <c r="AQ362" s="142"/>
      <c r="AR362" s="146"/>
    </row>
    <row r="363" spans="1:44" s="165" customFormat="1" x14ac:dyDescent="0.25">
      <c r="A363" s="190"/>
      <c r="B363" s="243">
        <v>5</v>
      </c>
      <c r="C363" s="148" t="s">
        <v>457</v>
      </c>
      <c r="D363" s="149"/>
      <c r="E363" s="149"/>
      <c r="F363" s="149"/>
      <c r="G363" s="149"/>
      <c r="H363" s="150"/>
      <c r="I363" s="149"/>
      <c r="J363" s="149"/>
      <c r="K363" s="149"/>
      <c r="L363" s="149"/>
      <c r="M363" s="149"/>
      <c r="N363" s="151"/>
      <c r="O363" s="149"/>
      <c r="P363" s="149"/>
      <c r="Q363" s="149"/>
      <c r="R363" s="149"/>
      <c r="S363" s="149"/>
      <c r="T363" s="149"/>
      <c r="U363" s="149"/>
      <c r="V363" s="149"/>
      <c r="W363" s="149"/>
      <c r="X363" s="149"/>
      <c r="Y363" s="149"/>
      <c r="Z363" s="149"/>
      <c r="AA363" s="149"/>
      <c r="AB363" s="149"/>
      <c r="AC363" s="149"/>
      <c r="AD363" s="149"/>
      <c r="AE363" s="149"/>
      <c r="AF363" s="149"/>
      <c r="AG363" s="149"/>
      <c r="AH363" s="149"/>
      <c r="AI363" s="149"/>
      <c r="AJ363" s="149"/>
      <c r="AK363" s="149"/>
      <c r="AL363" s="149"/>
      <c r="AM363" s="152"/>
      <c r="AN363" s="149"/>
      <c r="AO363" s="149"/>
      <c r="AP363" s="149"/>
      <c r="AQ363" s="149"/>
      <c r="AR363" s="711"/>
    </row>
    <row r="364" spans="1:44" s="165" customFormat="1" ht="15" x14ac:dyDescent="0.25">
      <c r="A364" s="21"/>
      <c r="B364" s="190"/>
      <c r="C364" s="760"/>
      <c r="D364" s="183"/>
      <c r="E364" s="760"/>
      <c r="F364" s="761"/>
      <c r="G364" s="337">
        <v>16</v>
      </c>
      <c r="H364" s="933" t="s">
        <v>458</v>
      </c>
      <c r="I364" s="933"/>
      <c r="J364" s="933"/>
      <c r="K364" s="933"/>
      <c r="L364" s="933"/>
      <c r="M364" s="933"/>
      <c r="N364" s="933"/>
      <c r="O364" s="933"/>
      <c r="P364" s="933"/>
      <c r="Q364" s="194"/>
      <c r="R364" s="194"/>
      <c r="S364" s="194"/>
      <c r="T364" s="194"/>
      <c r="U364" s="194"/>
      <c r="V364" s="194"/>
      <c r="W364" s="194"/>
      <c r="X364" s="194"/>
      <c r="Y364" s="194"/>
      <c r="Z364" s="194"/>
      <c r="AA364" s="194"/>
      <c r="AB364" s="194"/>
      <c r="AC364" s="194"/>
      <c r="AD364" s="194"/>
      <c r="AE364" s="194"/>
      <c r="AF364" s="194"/>
      <c r="AG364" s="194"/>
      <c r="AH364" s="194"/>
      <c r="AI364" s="194"/>
      <c r="AJ364" s="194"/>
      <c r="AK364" s="194"/>
      <c r="AL364" s="194"/>
      <c r="AM364" s="196"/>
      <c r="AN364" s="194"/>
      <c r="AO364" s="194"/>
      <c r="AP364" s="194"/>
      <c r="AQ364" s="194"/>
      <c r="AR364" s="400"/>
    </row>
    <row r="365" spans="1:44" s="29" customFormat="1" ht="75" customHeight="1" x14ac:dyDescent="0.25">
      <c r="A365" s="21"/>
      <c r="B365" s="21"/>
      <c r="C365" s="761">
        <v>15</v>
      </c>
      <c r="D365" s="762" t="s">
        <v>459</v>
      </c>
      <c r="E365" s="83">
        <v>0.73229999999999995</v>
      </c>
      <c r="F365" s="83">
        <v>0.78</v>
      </c>
      <c r="G365" s="24"/>
      <c r="H365" s="767">
        <v>65</v>
      </c>
      <c r="I365" s="762" t="s">
        <v>460</v>
      </c>
      <c r="J365" s="58">
        <v>1</v>
      </c>
      <c r="K365" s="58">
        <v>1</v>
      </c>
      <c r="L365" s="126">
        <v>0.6</v>
      </c>
      <c r="M365" s="1032" t="s">
        <v>461</v>
      </c>
      <c r="N365" s="948" t="s">
        <v>462</v>
      </c>
      <c r="O365" s="941" t="s">
        <v>463</v>
      </c>
      <c r="P365" s="767" t="s">
        <v>47</v>
      </c>
      <c r="Q365" s="27">
        <v>0</v>
      </c>
      <c r="R365" s="27">
        <v>0</v>
      </c>
      <c r="S365" s="27">
        <v>0</v>
      </c>
      <c r="T365" s="27">
        <v>0</v>
      </c>
      <c r="U365" s="27">
        <v>0</v>
      </c>
      <c r="V365" s="27">
        <v>0</v>
      </c>
      <c r="W365" s="11">
        <f>1722287375+176718207</f>
        <v>1899005582</v>
      </c>
      <c r="X365" s="27"/>
      <c r="Y365" s="27"/>
      <c r="Z365" s="27"/>
      <c r="AA365" s="27">
        <v>0</v>
      </c>
      <c r="AB365" s="27"/>
      <c r="AC365" s="27">
        <v>0</v>
      </c>
      <c r="AD365" s="27">
        <v>0</v>
      </c>
      <c r="AE365" s="27"/>
      <c r="AF365" s="27"/>
      <c r="AG365" s="27"/>
      <c r="AH365" s="27">
        <f>2000000+4091354+340000</f>
        <v>6431354</v>
      </c>
      <c r="AI365" s="27"/>
      <c r="AJ365" s="27"/>
      <c r="AK365" s="27">
        <v>0</v>
      </c>
      <c r="AL365" s="27">
        <v>0</v>
      </c>
      <c r="AM365" s="110">
        <v>3655700205</v>
      </c>
      <c r="AN365" s="11"/>
      <c r="AO365" s="27"/>
      <c r="AP365" s="84">
        <v>0</v>
      </c>
      <c r="AQ365" s="84"/>
      <c r="AR365" s="27">
        <f t="shared" si="211"/>
        <v>5561137141</v>
      </c>
    </row>
    <row r="366" spans="1:44" s="29" customFormat="1" ht="66.75" customHeight="1" x14ac:dyDescent="0.25">
      <c r="A366" s="21"/>
      <c r="B366" s="21"/>
      <c r="C366" s="761">
        <v>19</v>
      </c>
      <c r="D366" s="762" t="s">
        <v>464</v>
      </c>
      <c r="E366" s="83" t="s">
        <v>465</v>
      </c>
      <c r="F366" s="83" t="s">
        <v>466</v>
      </c>
      <c r="G366" s="30"/>
      <c r="H366" s="767">
        <v>66</v>
      </c>
      <c r="I366" s="762" t="s">
        <v>467</v>
      </c>
      <c r="J366" s="58">
        <v>1</v>
      </c>
      <c r="K366" s="58">
        <v>1</v>
      </c>
      <c r="L366" s="126">
        <v>0.6</v>
      </c>
      <c r="M366" s="1033"/>
      <c r="N366" s="959"/>
      <c r="O366" s="942"/>
      <c r="P366" s="767" t="s">
        <v>47</v>
      </c>
      <c r="Q366" s="27"/>
      <c r="R366" s="27"/>
      <c r="S366" s="27"/>
      <c r="T366" s="27"/>
      <c r="U366" s="27"/>
      <c r="V366" s="27"/>
      <c r="W366" s="11">
        <v>2441444659</v>
      </c>
      <c r="X366" s="27"/>
      <c r="Y366" s="27"/>
      <c r="Z366" s="27"/>
      <c r="AA366" s="27"/>
      <c r="AB366" s="27"/>
      <c r="AC366" s="27"/>
      <c r="AD366" s="27"/>
      <c r="AE366" s="27"/>
      <c r="AF366" s="127">
        <v>171253920</v>
      </c>
      <c r="AG366" s="85"/>
      <c r="AH366" s="27"/>
      <c r="AI366" s="27"/>
      <c r="AJ366" s="27"/>
      <c r="AK366" s="792">
        <f>6739972766+365096505</f>
        <v>7105069271</v>
      </c>
      <c r="AL366" s="27"/>
      <c r="AM366" s="110">
        <v>400000000</v>
      </c>
      <c r="AN366" s="11"/>
      <c r="AO366" s="27"/>
      <c r="AP366" s="28"/>
      <c r="AQ366" s="28"/>
      <c r="AR366" s="27">
        <f t="shared" si="211"/>
        <v>10117767850</v>
      </c>
    </row>
    <row r="367" spans="1:44" s="29" customFormat="1" ht="70.5" customHeight="1" x14ac:dyDescent="0.25">
      <c r="A367" s="21"/>
      <c r="B367" s="21"/>
      <c r="C367" s="761">
        <v>14</v>
      </c>
      <c r="D367" s="86" t="s">
        <v>468</v>
      </c>
      <c r="E367" s="83">
        <v>6.2E-2</v>
      </c>
      <c r="F367" s="83">
        <v>0.03</v>
      </c>
      <c r="G367" s="30"/>
      <c r="H367" s="767">
        <v>67</v>
      </c>
      <c r="I367" s="762" t="s">
        <v>469</v>
      </c>
      <c r="J367" s="58">
        <v>1</v>
      </c>
      <c r="K367" s="58">
        <v>1</v>
      </c>
      <c r="L367" s="126">
        <v>0.6</v>
      </c>
      <c r="M367" s="1034"/>
      <c r="N367" s="949"/>
      <c r="O367" s="943"/>
      <c r="P367" s="767" t="s">
        <v>47</v>
      </c>
      <c r="Q367" s="27"/>
      <c r="R367" s="27"/>
      <c r="S367" s="27"/>
      <c r="T367" s="27"/>
      <c r="U367" s="27"/>
      <c r="V367" s="27"/>
      <c r="W367" s="11">
        <v>1050600000</v>
      </c>
      <c r="X367" s="27"/>
      <c r="Y367" s="27"/>
      <c r="Z367" s="27"/>
      <c r="AA367" s="27"/>
      <c r="AB367" s="27"/>
      <c r="AC367" s="27"/>
      <c r="AD367" s="27"/>
      <c r="AE367" s="27"/>
      <c r="AF367" s="27"/>
      <c r="AG367" s="27"/>
      <c r="AH367" s="27"/>
      <c r="AI367" s="27"/>
      <c r="AJ367" s="27"/>
      <c r="AK367" s="27"/>
      <c r="AL367" s="27"/>
      <c r="AM367" s="110"/>
      <c r="AN367" s="11"/>
      <c r="AO367" s="27"/>
      <c r="AP367" s="28"/>
      <c r="AQ367" s="28"/>
      <c r="AR367" s="27">
        <f t="shared" si="211"/>
        <v>1050600000</v>
      </c>
    </row>
    <row r="368" spans="1:44" s="165" customFormat="1" ht="15" x14ac:dyDescent="0.25">
      <c r="A368" s="21"/>
      <c r="B368" s="21"/>
      <c r="C368" s="761"/>
      <c r="D368" s="159"/>
      <c r="E368" s="83"/>
      <c r="F368" s="83"/>
      <c r="G368" s="160"/>
      <c r="H368" s="161"/>
      <c r="I368" s="160"/>
      <c r="J368" s="401"/>
      <c r="K368" s="401"/>
      <c r="L368" s="402"/>
      <c r="M368" s="401"/>
      <c r="N368" s="163"/>
      <c r="O368" s="160"/>
      <c r="P368" s="161"/>
      <c r="Q368" s="164">
        <f t="shared" ref="Q368:AA368" si="242">SUM(Q365:Q367)</f>
        <v>0</v>
      </c>
      <c r="R368" s="164">
        <f t="shared" si="242"/>
        <v>0</v>
      </c>
      <c r="S368" s="164">
        <f t="shared" si="242"/>
        <v>0</v>
      </c>
      <c r="T368" s="164">
        <f t="shared" si="242"/>
        <v>0</v>
      </c>
      <c r="U368" s="164">
        <f t="shared" si="242"/>
        <v>0</v>
      </c>
      <c r="V368" s="164">
        <f t="shared" si="242"/>
        <v>0</v>
      </c>
      <c r="W368" s="164">
        <f t="shared" si="242"/>
        <v>5391050241</v>
      </c>
      <c r="X368" s="164">
        <f t="shared" si="242"/>
        <v>0</v>
      </c>
      <c r="Y368" s="164">
        <f t="shared" si="242"/>
        <v>0</v>
      </c>
      <c r="Z368" s="164">
        <f t="shared" si="242"/>
        <v>0</v>
      </c>
      <c r="AA368" s="164">
        <f t="shared" si="242"/>
        <v>0</v>
      </c>
      <c r="AB368" s="164"/>
      <c r="AC368" s="164">
        <f>SUM(AC365:AC367)</f>
        <v>0</v>
      </c>
      <c r="AD368" s="164">
        <f>SUM(AD365:AD367)</f>
        <v>0</v>
      </c>
      <c r="AE368" s="164">
        <f>SUM(AE365:AE367)</f>
        <v>0</v>
      </c>
      <c r="AF368" s="164">
        <f>SUM(AF365:AF367)</f>
        <v>171253920</v>
      </c>
      <c r="AG368" s="164"/>
      <c r="AH368" s="164">
        <f t="shared" ref="AH368:AM368" si="243">SUM(AH365:AH367)</f>
        <v>6431354</v>
      </c>
      <c r="AI368" s="164">
        <f t="shared" si="243"/>
        <v>0</v>
      </c>
      <c r="AJ368" s="164">
        <f t="shared" si="243"/>
        <v>0</v>
      </c>
      <c r="AK368" s="164">
        <f t="shared" si="243"/>
        <v>7105069271</v>
      </c>
      <c r="AL368" s="164">
        <f t="shared" si="243"/>
        <v>0</v>
      </c>
      <c r="AM368" s="248">
        <f t="shared" si="243"/>
        <v>4055700205</v>
      </c>
      <c r="AN368" s="164"/>
      <c r="AO368" s="164">
        <f>SUM(AO365:AO367)</f>
        <v>0</v>
      </c>
      <c r="AP368" s="164">
        <f>SUM(AP365:AP367)</f>
        <v>0</v>
      </c>
      <c r="AQ368" s="164">
        <f>SUM(AQ365:AQ367)</f>
        <v>0</v>
      </c>
      <c r="AR368" s="164">
        <f t="shared" si="211"/>
        <v>16729504991</v>
      </c>
    </row>
    <row r="369" spans="1:44" s="29" customFormat="1" ht="15" x14ac:dyDescent="0.25">
      <c r="A369" s="21"/>
      <c r="B369" s="21"/>
      <c r="C369" s="760"/>
      <c r="D369" s="183"/>
      <c r="E369" s="403"/>
      <c r="F369" s="403"/>
      <c r="G369" s="183"/>
      <c r="H369" s="760"/>
      <c r="I369" s="183"/>
      <c r="J369" s="404"/>
      <c r="K369" s="404"/>
      <c r="L369" s="872"/>
      <c r="M369" s="873"/>
      <c r="N369" s="833"/>
      <c r="O369" s="829"/>
      <c r="P369" s="760"/>
      <c r="Q369" s="186"/>
      <c r="R369" s="186"/>
      <c r="S369" s="186"/>
      <c r="T369" s="186"/>
      <c r="U369" s="186"/>
      <c r="V369" s="186"/>
      <c r="W369" s="186"/>
      <c r="X369" s="186"/>
      <c r="Y369" s="186"/>
      <c r="Z369" s="186"/>
      <c r="AA369" s="186"/>
      <c r="AB369" s="186"/>
      <c r="AC369" s="186"/>
      <c r="AD369" s="186"/>
      <c r="AE369" s="187"/>
      <c r="AF369" s="187"/>
      <c r="AG369" s="187"/>
      <c r="AH369" s="187"/>
      <c r="AI369" s="187"/>
      <c r="AJ369" s="187"/>
      <c r="AK369" s="186"/>
      <c r="AL369" s="186"/>
      <c r="AM369" s="188"/>
      <c r="AN369" s="189"/>
      <c r="AO369" s="186"/>
      <c r="AP369" s="186"/>
      <c r="AQ369" s="186"/>
      <c r="AR369" s="205">
        <f t="shared" si="211"/>
        <v>0</v>
      </c>
    </row>
    <row r="370" spans="1:44" s="165" customFormat="1" ht="15" x14ac:dyDescent="0.25">
      <c r="A370" s="21"/>
      <c r="B370" s="21"/>
      <c r="C370" s="761"/>
      <c r="D370" s="159"/>
      <c r="E370" s="83"/>
      <c r="F370" s="83"/>
      <c r="G370" s="337">
        <v>17</v>
      </c>
      <c r="H370" s="950" t="s">
        <v>470</v>
      </c>
      <c r="I370" s="950"/>
      <c r="J370" s="950"/>
      <c r="K370" s="950"/>
      <c r="L370" s="950"/>
      <c r="M370" s="950"/>
      <c r="N370" s="950"/>
      <c r="O370" s="950"/>
      <c r="P370" s="950"/>
      <c r="Q370" s="194"/>
      <c r="R370" s="194"/>
      <c r="S370" s="194"/>
      <c r="T370" s="194"/>
      <c r="U370" s="194"/>
      <c r="V370" s="194"/>
      <c r="W370" s="194"/>
      <c r="X370" s="194"/>
      <c r="Y370" s="194"/>
      <c r="Z370" s="194"/>
      <c r="AA370" s="194"/>
      <c r="AB370" s="194"/>
      <c r="AC370" s="194"/>
      <c r="AD370" s="194"/>
      <c r="AE370" s="405"/>
      <c r="AF370" s="405"/>
      <c r="AG370" s="405"/>
      <c r="AH370" s="405"/>
      <c r="AI370" s="405"/>
      <c r="AJ370" s="405"/>
      <c r="AK370" s="405"/>
      <c r="AL370" s="405"/>
      <c r="AM370" s="196"/>
      <c r="AN370" s="405"/>
      <c r="AO370" s="194"/>
      <c r="AP370" s="194"/>
      <c r="AQ370" s="194"/>
      <c r="AR370" s="197"/>
    </row>
    <row r="371" spans="1:44" s="29" customFormat="1" ht="81" customHeight="1" x14ac:dyDescent="0.25">
      <c r="A371" s="21"/>
      <c r="B371" s="21"/>
      <c r="C371" s="761">
        <v>14</v>
      </c>
      <c r="D371" s="86" t="s">
        <v>468</v>
      </c>
      <c r="E371" s="83">
        <v>6.2E-2</v>
      </c>
      <c r="F371" s="83">
        <v>0.03</v>
      </c>
      <c r="G371" s="24"/>
      <c r="H371" s="767">
        <v>68</v>
      </c>
      <c r="I371" s="762" t="s">
        <v>471</v>
      </c>
      <c r="J371" s="58">
        <v>4357</v>
      </c>
      <c r="K371" s="87">
        <v>4500</v>
      </c>
      <c r="L371" s="667">
        <v>3980</v>
      </c>
      <c r="M371" s="1035" t="s">
        <v>461</v>
      </c>
      <c r="N371" s="948" t="s">
        <v>472</v>
      </c>
      <c r="O371" s="941" t="s">
        <v>473</v>
      </c>
      <c r="P371" s="767" t="s">
        <v>47</v>
      </c>
      <c r="Q371" s="27">
        <v>0</v>
      </c>
      <c r="R371" s="27">
        <v>0</v>
      </c>
      <c r="S371" s="27">
        <v>0</v>
      </c>
      <c r="T371" s="27">
        <v>0</v>
      </c>
      <c r="U371" s="27">
        <v>0</v>
      </c>
      <c r="V371" s="27">
        <v>0</v>
      </c>
      <c r="W371" s="27">
        <v>0</v>
      </c>
      <c r="X371" s="27"/>
      <c r="Y371" s="27"/>
      <c r="Z371" s="27"/>
      <c r="AA371" s="27">
        <v>0</v>
      </c>
      <c r="AB371" s="27"/>
      <c r="AC371" s="27">
        <v>0</v>
      </c>
      <c r="AD371" s="27">
        <v>0</v>
      </c>
      <c r="AE371" s="709"/>
      <c r="AF371" s="78"/>
      <c r="AG371" s="78"/>
      <c r="AH371" s="78"/>
      <c r="AI371" s="78"/>
      <c r="AJ371" s="78"/>
      <c r="AK371" s="27">
        <v>0</v>
      </c>
      <c r="AL371" s="27">
        <v>0</v>
      </c>
      <c r="AM371" s="111">
        <v>10000000</v>
      </c>
      <c r="AN371" s="43"/>
      <c r="AO371" s="27">
        <v>0</v>
      </c>
      <c r="AP371" s="28">
        <v>0</v>
      </c>
      <c r="AQ371" s="28"/>
      <c r="AR371" s="27">
        <f t="shared" si="211"/>
        <v>10000000</v>
      </c>
    </row>
    <row r="372" spans="1:44" s="29" customFormat="1" ht="78.75" customHeight="1" x14ac:dyDescent="0.25">
      <c r="A372" s="21"/>
      <c r="B372" s="21"/>
      <c r="C372" s="761">
        <v>15</v>
      </c>
      <c r="D372" s="762" t="s">
        <v>459</v>
      </c>
      <c r="E372" s="83">
        <v>0.73229999999999995</v>
      </c>
      <c r="F372" s="83">
        <v>0.78</v>
      </c>
      <c r="G372" s="30"/>
      <c r="H372" s="767">
        <v>69</v>
      </c>
      <c r="I372" s="762" t="s">
        <v>474</v>
      </c>
      <c r="J372" s="83" t="s">
        <v>38</v>
      </c>
      <c r="K372" s="87">
        <v>1</v>
      </c>
      <c r="L372" s="667">
        <v>0.8</v>
      </c>
      <c r="M372" s="1036"/>
      <c r="N372" s="959"/>
      <c r="O372" s="942"/>
      <c r="P372" s="767" t="s">
        <v>47</v>
      </c>
      <c r="Q372" s="27">
        <v>0</v>
      </c>
      <c r="R372" s="27">
        <v>0</v>
      </c>
      <c r="S372" s="27">
        <v>0</v>
      </c>
      <c r="T372" s="27">
        <v>0</v>
      </c>
      <c r="U372" s="27">
        <v>0</v>
      </c>
      <c r="V372" s="27">
        <v>0</v>
      </c>
      <c r="W372" s="27">
        <v>0</v>
      </c>
      <c r="X372" s="27"/>
      <c r="Y372" s="27"/>
      <c r="Z372" s="27"/>
      <c r="AA372" s="27">
        <v>0</v>
      </c>
      <c r="AB372" s="27"/>
      <c r="AC372" s="27">
        <v>0</v>
      </c>
      <c r="AD372" s="27">
        <v>0</v>
      </c>
      <c r="AE372" s="78"/>
      <c r="AF372" s="78"/>
      <c r="AG372" s="78"/>
      <c r="AH372" s="78"/>
      <c r="AI372" s="78"/>
      <c r="AJ372" s="78"/>
      <c r="AK372" s="27">
        <v>0</v>
      </c>
      <c r="AL372" s="27">
        <v>0</v>
      </c>
      <c r="AM372" s="111">
        <v>10000000</v>
      </c>
      <c r="AN372" s="43"/>
      <c r="AO372" s="27">
        <v>0</v>
      </c>
      <c r="AP372" s="28">
        <v>0</v>
      </c>
      <c r="AQ372" s="28"/>
      <c r="AR372" s="27">
        <f t="shared" si="211"/>
        <v>10000000</v>
      </c>
    </row>
    <row r="373" spans="1:44" s="29" customFormat="1" ht="75" customHeight="1" x14ac:dyDescent="0.25">
      <c r="A373" s="21"/>
      <c r="B373" s="21"/>
      <c r="C373" s="761">
        <v>19</v>
      </c>
      <c r="D373" s="762" t="s">
        <v>464</v>
      </c>
      <c r="E373" s="83" t="s">
        <v>475</v>
      </c>
      <c r="F373" s="83" t="s">
        <v>476</v>
      </c>
      <c r="G373" s="30"/>
      <c r="H373" s="767">
        <v>70</v>
      </c>
      <c r="I373" s="762" t="s">
        <v>477</v>
      </c>
      <c r="J373" s="58">
        <v>322</v>
      </c>
      <c r="K373" s="87">
        <v>406</v>
      </c>
      <c r="L373" s="667">
        <v>523</v>
      </c>
      <c r="M373" s="1036"/>
      <c r="N373" s="959"/>
      <c r="O373" s="942"/>
      <c r="P373" s="767" t="s">
        <v>42</v>
      </c>
      <c r="Q373" s="27">
        <v>0</v>
      </c>
      <c r="R373" s="27">
        <v>0</v>
      </c>
      <c r="S373" s="27">
        <v>0</v>
      </c>
      <c r="T373" s="27">
        <v>0</v>
      </c>
      <c r="U373" s="27">
        <v>0</v>
      </c>
      <c r="V373" s="27">
        <v>0</v>
      </c>
      <c r="W373" s="27">
        <v>0</v>
      </c>
      <c r="X373" s="27"/>
      <c r="Y373" s="27"/>
      <c r="Z373" s="27"/>
      <c r="AA373" s="27">
        <v>0</v>
      </c>
      <c r="AB373" s="27"/>
      <c r="AC373" s="27">
        <v>0</v>
      </c>
      <c r="AD373" s="27">
        <v>0</v>
      </c>
      <c r="AE373" s="27"/>
      <c r="AF373" s="27"/>
      <c r="AG373" s="27"/>
      <c r="AH373" s="27"/>
      <c r="AI373" s="27"/>
      <c r="AJ373" s="27"/>
      <c r="AK373" s="27">
        <v>0</v>
      </c>
      <c r="AL373" s="27">
        <v>0</v>
      </c>
      <c r="AM373" s="111">
        <v>20000000</v>
      </c>
      <c r="AN373" s="43"/>
      <c r="AO373" s="27">
        <v>0</v>
      </c>
      <c r="AP373" s="28">
        <v>0</v>
      </c>
      <c r="AQ373" s="28"/>
      <c r="AR373" s="27">
        <f t="shared" si="211"/>
        <v>20000000</v>
      </c>
    </row>
    <row r="374" spans="1:44" s="29" customFormat="1" ht="71.25" x14ac:dyDescent="0.25">
      <c r="A374" s="21"/>
      <c r="B374" s="21"/>
      <c r="C374" s="761">
        <v>35</v>
      </c>
      <c r="D374" s="86" t="s">
        <v>478</v>
      </c>
      <c r="E374" s="58">
        <v>23000</v>
      </c>
      <c r="F374" s="58">
        <v>24000</v>
      </c>
      <c r="G374" s="30"/>
      <c r="H374" s="767">
        <v>71</v>
      </c>
      <c r="I374" s="762" t="s">
        <v>479</v>
      </c>
      <c r="J374" s="58">
        <v>1762</v>
      </c>
      <c r="K374" s="87">
        <v>2166</v>
      </c>
      <c r="L374" s="667">
        <v>2739</v>
      </c>
      <c r="M374" s="1036"/>
      <c r="N374" s="959"/>
      <c r="O374" s="942"/>
      <c r="P374" s="767" t="s">
        <v>42</v>
      </c>
      <c r="Q374" s="27">
        <v>0</v>
      </c>
      <c r="R374" s="27">
        <v>0</v>
      </c>
      <c r="S374" s="27">
        <v>0</v>
      </c>
      <c r="T374" s="27">
        <v>0</v>
      </c>
      <c r="U374" s="27">
        <v>0</v>
      </c>
      <c r="V374" s="27">
        <v>0</v>
      </c>
      <c r="W374" s="27">
        <v>0</v>
      </c>
      <c r="X374" s="27"/>
      <c r="Y374" s="27"/>
      <c r="Z374" s="27"/>
      <c r="AA374" s="27">
        <v>0</v>
      </c>
      <c r="AB374" s="27"/>
      <c r="AC374" s="27">
        <v>0</v>
      </c>
      <c r="AD374" s="27">
        <v>0</v>
      </c>
      <c r="AE374" s="27"/>
      <c r="AF374" s="27"/>
      <c r="AG374" s="27"/>
      <c r="AH374" s="27"/>
      <c r="AI374" s="27"/>
      <c r="AJ374" s="27"/>
      <c r="AK374" s="27">
        <v>0</v>
      </c>
      <c r="AL374" s="27">
        <v>0</v>
      </c>
      <c r="AM374" s="114"/>
      <c r="AN374" s="88"/>
      <c r="AO374" s="27">
        <v>0</v>
      </c>
      <c r="AP374" s="28">
        <v>0</v>
      </c>
      <c r="AQ374" s="28"/>
      <c r="AR374" s="27">
        <f t="shared" si="211"/>
        <v>0</v>
      </c>
    </row>
    <row r="375" spans="1:44" s="29" customFormat="1" ht="130.5" customHeight="1" x14ac:dyDescent="0.25">
      <c r="A375" s="21"/>
      <c r="B375" s="21"/>
      <c r="C375" s="761"/>
      <c r="D375" s="86"/>
      <c r="E375" s="89"/>
      <c r="F375" s="89"/>
      <c r="G375" s="30"/>
      <c r="H375" s="767">
        <v>72</v>
      </c>
      <c r="I375" s="762" t="s">
        <v>480</v>
      </c>
      <c r="J375" s="58">
        <v>455</v>
      </c>
      <c r="K375" s="87">
        <v>455</v>
      </c>
      <c r="L375" s="667">
        <v>252</v>
      </c>
      <c r="M375" s="1036"/>
      <c r="N375" s="959"/>
      <c r="O375" s="942"/>
      <c r="P375" s="767" t="s">
        <v>47</v>
      </c>
      <c r="Q375" s="27">
        <v>0</v>
      </c>
      <c r="R375" s="27">
        <v>0</v>
      </c>
      <c r="S375" s="27">
        <v>0</v>
      </c>
      <c r="T375" s="27">
        <v>0</v>
      </c>
      <c r="U375" s="27">
        <v>0</v>
      </c>
      <c r="V375" s="27">
        <v>0</v>
      </c>
      <c r="W375" s="27">
        <v>0</v>
      </c>
      <c r="X375" s="27"/>
      <c r="Y375" s="27"/>
      <c r="Z375" s="27"/>
      <c r="AA375" s="27">
        <v>0</v>
      </c>
      <c r="AB375" s="27"/>
      <c r="AC375" s="27">
        <v>0</v>
      </c>
      <c r="AD375" s="27">
        <v>0</v>
      </c>
      <c r="AE375" s="27"/>
      <c r="AF375" s="27"/>
      <c r="AG375" s="27"/>
      <c r="AH375" s="27"/>
      <c r="AI375" s="27"/>
      <c r="AJ375" s="27"/>
      <c r="AK375" s="27">
        <v>0</v>
      </c>
      <c r="AL375" s="27">
        <v>0</v>
      </c>
      <c r="AM375" s="111">
        <v>10000000</v>
      </c>
      <c r="AN375" s="43"/>
      <c r="AO375" s="27">
        <v>0</v>
      </c>
      <c r="AP375" s="28">
        <v>0</v>
      </c>
      <c r="AQ375" s="28"/>
      <c r="AR375" s="27">
        <f t="shared" si="211"/>
        <v>10000000</v>
      </c>
    </row>
    <row r="376" spans="1:44" s="29" customFormat="1" ht="84.75" customHeight="1" x14ac:dyDescent="0.25">
      <c r="A376" s="21"/>
      <c r="B376" s="21"/>
      <c r="C376" s="761"/>
      <c r="D376" s="86"/>
      <c r="E376" s="89"/>
      <c r="F376" s="83" t="s">
        <v>0</v>
      </c>
      <c r="G376" s="32"/>
      <c r="H376" s="767">
        <v>73</v>
      </c>
      <c r="I376" s="762" t="s">
        <v>481</v>
      </c>
      <c r="J376" s="58" t="s">
        <v>38</v>
      </c>
      <c r="K376" s="33">
        <v>1</v>
      </c>
      <c r="L376" s="668">
        <v>0.82</v>
      </c>
      <c r="M376" s="1037"/>
      <c r="N376" s="949"/>
      <c r="O376" s="943"/>
      <c r="P376" s="767" t="s">
        <v>47</v>
      </c>
      <c r="Q376" s="27">
        <v>0</v>
      </c>
      <c r="R376" s="27">
        <v>0</v>
      </c>
      <c r="S376" s="27">
        <v>0</v>
      </c>
      <c r="T376" s="27">
        <v>0</v>
      </c>
      <c r="U376" s="27">
        <v>0</v>
      </c>
      <c r="V376" s="27">
        <v>0</v>
      </c>
      <c r="W376" s="27">
        <v>0</v>
      </c>
      <c r="X376" s="27"/>
      <c r="Y376" s="27"/>
      <c r="Z376" s="27"/>
      <c r="AA376" s="27">
        <v>0</v>
      </c>
      <c r="AB376" s="27"/>
      <c r="AC376" s="27">
        <v>0</v>
      </c>
      <c r="AD376" s="27">
        <v>0</v>
      </c>
      <c r="AE376" s="27"/>
      <c r="AF376" s="78"/>
      <c r="AG376" s="78"/>
      <c r="AH376" s="27"/>
      <c r="AI376" s="127">
        <f>1186000000+134503506</f>
        <v>1320503506</v>
      </c>
      <c r="AJ376" s="27"/>
      <c r="AK376" s="27">
        <v>0</v>
      </c>
      <c r="AL376" s="27">
        <v>0</v>
      </c>
      <c r="AM376" s="108">
        <v>0</v>
      </c>
      <c r="AN376" s="40"/>
      <c r="AO376" s="27">
        <v>0</v>
      </c>
      <c r="AP376" s="28">
        <v>0</v>
      </c>
      <c r="AQ376" s="28"/>
      <c r="AR376" s="27">
        <f t="shared" si="211"/>
        <v>1320503506</v>
      </c>
    </row>
    <row r="377" spans="1:44" s="165" customFormat="1" ht="15" x14ac:dyDescent="0.25">
      <c r="A377" s="21"/>
      <c r="B377" s="21"/>
      <c r="C377" s="761"/>
      <c r="D377" s="159"/>
      <c r="E377" s="83"/>
      <c r="F377" s="83"/>
      <c r="G377" s="160"/>
      <c r="H377" s="161"/>
      <c r="I377" s="160"/>
      <c r="J377" s="401"/>
      <c r="K377" s="401"/>
      <c r="L377" s="401"/>
      <c r="M377" s="401"/>
      <c r="N377" s="163"/>
      <c r="O377" s="160"/>
      <c r="P377" s="161"/>
      <c r="Q377" s="164">
        <f t="shared" ref="Q377:AA377" si="244">SUM(Q371:Q376)</f>
        <v>0</v>
      </c>
      <c r="R377" s="164">
        <f t="shared" si="244"/>
        <v>0</v>
      </c>
      <c r="S377" s="164">
        <f t="shared" si="244"/>
        <v>0</v>
      </c>
      <c r="T377" s="164">
        <f t="shared" si="244"/>
        <v>0</v>
      </c>
      <c r="U377" s="164">
        <f t="shared" si="244"/>
        <v>0</v>
      </c>
      <c r="V377" s="164">
        <f t="shared" si="244"/>
        <v>0</v>
      </c>
      <c r="W377" s="164">
        <f t="shared" si="244"/>
        <v>0</v>
      </c>
      <c r="X377" s="164">
        <f t="shared" si="244"/>
        <v>0</v>
      </c>
      <c r="Y377" s="164">
        <f t="shared" si="244"/>
        <v>0</v>
      </c>
      <c r="Z377" s="164">
        <f t="shared" si="244"/>
        <v>0</v>
      </c>
      <c r="AA377" s="164">
        <f t="shared" si="244"/>
        <v>0</v>
      </c>
      <c r="AB377" s="164"/>
      <c r="AC377" s="164">
        <f>SUM(AC371:AC376)</f>
        <v>0</v>
      </c>
      <c r="AD377" s="164">
        <f>SUM(AD371:AD376)</f>
        <v>0</v>
      </c>
      <c r="AE377" s="164">
        <f>SUM(AE371:AE376)</f>
        <v>0</v>
      </c>
      <c r="AF377" s="164">
        <f>SUM(AF371:AF376)</f>
        <v>0</v>
      </c>
      <c r="AG377" s="164"/>
      <c r="AH377" s="164">
        <f t="shared" ref="AH377:AM377" si="245">SUM(AH371:AH376)</f>
        <v>0</v>
      </c>
      <c r="AI377" s="164">
        <f t="shared" si="245"/>
        <v>1320503506</v>
      </c>
      <c r="AJ377" s="164">
        <f t="shared" si="245"/>
        <v>0</v>
      </c>
      <c r="AK377" s="164">
        <f t="shared" si="245"/>
        <v>0</v>
      </c>
      <c r="AL377" s="164">
        <f t="shared" si="245"/>
        <v>0</v>
      </c>
      <c r="AM377" s="248">
        <f t="shared" si="245"/>
        <v>50000000</v>
      </c>
      <c r="AN377" s="164"/>
      <c r="AO377" s="164">
        <f>SUM(AO371:AO376)</f>
        <v>0</v>
      </c>
      <c r="AP377" s="164">
        <f>SUM(AP371:AP376)</f>
        <v>0</v>
      </c>
      <c r="AQ377" s="164">
        <f>SUM(AQ371:AQ376)</f>
        <v>0</v>
      </c>
      <c r="AR377" s="164">
        <f t="shared" si="211"/>
        <v>1370503506</v>
      </c>
    </row>
    <row r="378" spans="1:44" s="29" customFormat="1" ht="15" x14ac:dyDescent="0.25">
      <c r="A378" s="21"/>
      <c r="B378" s="21"/>
      <c r="C378" s="760"/>
      <c r="D378" s="183"/>
      <c r="E378" s="403"/>
      <c r="F378" s="403"/>
      <c r="G378" s="183"/>
      <c r="H378" s="760"/>
      <c r="I378" s="183"/>
      <c r="J378" s="404"/>
      <c r="K378" s="404"/>
      <c r="L378" s="404"/>
      <c r="M378" s="404"/>
      <c r="N378" s="185"/>
      <c r="O378" s="183"/>
      <c r="P378" s="760"/>
      <c r="Q378" s="186"/>
      <c r="R378" s="186"/>
      <c r="S378" s="186"/>
      <c r="T378" s="186"/>
      <c r="U378" s="186"/>
      <c r="V378" s="186"/>
      <c r="W378" s="186"/>
      <c r="X378" s="186"/>
      <c r="Y378" s="186"/>
      <c r="Z378" s="186"/>
      <c r="AA378" s="186"/>
      <c r="AB378" s="186"/>
      <c r="AC378" s="186"/>
      <c r="AD378" s="186"/>
      <c r="AE378" s="187"/>
      <c r="AF378" s="187"/>
      <c r="AG378" s="187"/>
      <c r="AH378" s="187"/>
      <c r="AI378" s="187"/>
      <c r="AJ378" s="187"/>
      <c r="AK378" s="186"/>
      <c r="AL378" s="186"/>
      <c r="AM378" s="188"/>
      <c r="AN378" s="186"/>
      <c r="AO378" s="186"/>
      <c r="AP378" s="186"/>
      <c r="AQ378" s="186"/>
      <c r="AR378" s="205">
        <f t="shared" si="211"/>
        <v>0</v>
      </c>
    </row>
    <row r="379" spans="1:44" s="165" customFormat="1" ht="15" x14ac:dyDescent="0.25">
      <c r="A379" s="21"/>
      <c r="B379" s="21"/>
      <c r="C379" s="761"/>
      <c r="D379" s="159"/>
      <c r="E379" s="83"/>
      <c r="F379" s="83"/>
      <c r="G379" s="261">
        <v>18</v>
      </c>
      <c r="H379" s="1031" t="s">
        <v>901</v>
      </c>
      <c r="I379" s="933"/>
      <c r="J379" s="933"/>
      <c r="K379" s="933"/>
      <c r="L379" s="933"/>
      <c r="M379" s="933"/>
      <c r="N379" s="933"/>
      <c r="O379" s="933"/>
      <c r="P379" s="933"/>
      <c r="Q379" s="933"/>
      <c r="R379" s="194"/>
      <c r="S379" s="194"/>
      <c r="T379" s="194"/>
      <c r="U379" s="194"/>
      <c r="V379" s="194"/>
      <c r="W379" s="194"/>
      <c r="X379" s="194"/>
      <c r="Y379" s="194"/>
      <c r="Z379" s="194"/>
      <c r="AA379" s="194"/>
      <c r="AB379" s="194"/>
      <c r="AC379" s="194"/>
      <c r="AD379" s="194"/>
      <c r="AE379" s="194"/>
      <c r="AF379" s="194"/>
      <c r="AG379" s="194"/>
      <c r="AH379" s="194"/>
      <c r="AI379" s="194"/>
      <c r="AJ379" s="194"/>
      <c r="AK379" s="194"/>
      <c r="AL379" s="194"/>
      <c r="AM379" s="196"/>
      <c r="AN379" s="194"/>
      <c r="AO379" s="194"/>
      <c r="AP379" s="194"/>
      <c r="AQ379" s="194"/>
      <c r="AR379" s="406"/>
    </row>
    <row r="380" spans="1:44" s="29" customFormat="1" ht="115.5" customHeight="1" x14ac:dyDescent="0.25">
      <c r="A380" s="21"/>
      <c r="B380" s="21"/>
      <c r="C380" s="761" t="s">
        <v>482</v>
      </c>
      <c r="D380" s="762" t="s">
        <v>483</v>
      </c>
      <c r="E380" s="83" t="s">
        <v>484</v>
      </c>
      <c r="F380" s="83" t="s">
        <v>485</v>
      </c>
      <c r="G380" s="24"/>
      <c r="H380" s="767">
        <v>74</v>
      </c>
      <c r="I380" s="762" t="s">
        <v>486</v>
      </c>
      <c r="J380" s="58">
        <v>2232</v>
      </c>
      <c r="K380" s="58">
        <v>2232</v>
      </c>
      <c r="L380" s="126">
        <v>2232</v>
      </c>
      <c r="M380" s="407" t="s">
        <v>461</v>
      </c>
      <c r="N380" s="39" t="s">
        <v>487</v>
      </c>
      <c r="O380" s="762" t="s">
        <v>488</v>
      </c>
      <c r="P380" s="767" t="s">
        <v>47</v>
      </c>
      <c r="Q380" s="27">
        <v>0</v>
      </c>
      <c r="R380" s="27">
        <v>0</v>
      </c>
      <c r="S380" s="27">
        <v>0</v>
      </c>
      <c r="T380" s="27">
        <v>0</v>
      </c>
      <c r="U380" s="27">
        <v>0</v>
      </c>
      <c r="V380" s="27">
        <v>0</v>
      </c>
      <c r="W380" s="27">
        <v>0</v>
      </c>
      <c r="X380" s="27"/>
      <c r="Y380" s="27"/>
      <c r="Z380" s="27"/>
      <c r="AA380" s="27">
        <v>0</v>
      </c>
      <c r="AB380" s="27"/>
      <c r="AC380" s="27">
        <v>0</v>
      </c>
      <c r="AD380" s="27">
        <v>0</v>
      </c>
      <c r="AE380" s="560">
        <v>87094464000</v>
      </c>
      <c r="AF380" s="793">
        <f>17415000000+1812116996</f>
        <v>19227116996</v>
      </c>
      <c r="AG380" s="408">
        <f>250000000+564114495</f>
        <v>814114495</v>
      </c>
      <c r="AH380" s="408"/>
      <c r="AI380" s="408"/>
      <c r="AJ380" s="408"/>
      <c r="AK380" s="27">
        <v>0</v>
      </c>
      <c r="AL380" s="27">
        <v>0</v>
      </c>
      <c r="AM380" s="108">
        <v>0</v>
      </c>
      <c r="AN380" s="40"/>
      <c r="AO380" s="27">
        <v>0</v>
      </c>
      <c r="AP380" s="28">
        <v>0</v>
      </c>
      <c r="AQ380" s="28"/>
      <c r="AR380" s="27">
        <f t="shared" si="211"/>
        <v>107135695491</v>
      </c>
    </row>
    <row r="381" spans="1:44" s="165" customFormat="1" ht="15" x14ac:dyDescent="0.25">
      <c r="A381" s="21"/>
      <c r="B381" s="158"/>
      <c r="C381" s="761"/>
      <c r="D381" s="159"/>
      <c r="E381" s="83"/>
      <c r="F381" s="83"/>
      <c r="G381" s="160"/>
      <c r="H381" s="161"/>
      <c r="I381" s="160"/>
      <c r="J381" s="401"/>
      <c r="K381" s="401"/>
      <c r="L381" s="401"/>
      <c r="M381" s="401"/>
      <c r="N381" s="163"/>
      <c r="O381" s="161"/>
      <c r="P381" s="161"/>
      <c r="Q381" s="164">
        <f t="shared" ref="Q381:AL381" si="246">SUM(Q380:Q380)</f>
        <v>0</v>
      </c>
      <c r="R381" s="164">
        <f t="shared" si="246"/>
        <v>0</v>
      </c>
      <c r="S381" s="164">
        <f t="shared" si="246"/>
        <v>0</v>
      </c>
      <c r="T381" s="164">
        <f t="shared" si="246"/>
        <v>0</v>
      </c>
      <c r="U381" s="164">
        <f t="shared" si="246"/>
        <v>0</v>
      </c>
      <c r="V381" s="164">
        <f t="shared" si="246"/>
        <v>0</v>
      </c>
      <c r="W381" s="164">
        <f t="shared" si="246"/>
        <v>0</v>
      </c>
      <c r="X381" s="164">
        <f t="shared" si="246"/>
        <v>0</v>
      </c>
      <c r="Y381" s="164">
        <f t="shared" si="246"/>
        <v>0</v>
      </c>
      <c r="Z381" s="164">
        <f t="shared" si="246"/>
        <v>0</v>
      </c>
      <c r="AA381" s="164">
        <f t="shared" si="246"/>
        <v>0</v>
      </c>
      <c r="AB381" s="164"/>
      <c r="AC381" s="164">
        <f t="shared" si="246"/>
        <v>0</v>
      </c>
      <c r="AD381" s="164">
        <f t="shared" si="246"/>
        <v>0</v>
      </c>
      <c r="AE381" s="164">
        <f t="shared" si="246"/>
        <v>87094464000</v>
      </c>
      <c r="AF381" s="164">
        <f t="shared" si="246"/>
        <v>19227116996</v>
      </c>
      <c r="AG381" s="164">
        <f t="shared" si="246"/>
        <v>814114495</v>
      </c>
      <c r="AH381" s="164">
        <f t="shared" si="246"/>
        <v>0</v>
      </c>
      <c r="AI381" s="164">
        <f t="shared" si="246"/>
        <v>0</v>
      </c>
      <c r="AJ381" s="164">
        <f t="shared" si="246"/>
        <v>0</v>
      </c>
      <c r="AK381" s="164">
        <f t="shared" si="246"/>
        <v>0</v>
      </c>
      <c r="AL381" s="164">
        <f t="shared" si="246"/>
        <v>0</v>
      </c>
      <c r="AM381" s="164">
        <f t="shared" ref="AM381:AP381" si="247">SUM(AM380:AM380)</f>
        <v>0</v>
      </c>
      <c r="AN381" s="164">
        <f t="shared" si="247"/>
        <v>0</v>
      </c>
      <c r="AO381" s="164">
        <f t="shared" si="247"/>
        <v>0</v>
      </c>
      <c r="AP381" s="164">
        <f t="shared" si="247"/>
        <v>0</v>
      </c>
      <c r="AQ381" s="164">
        <f t="shared" ref="AQ381" si="248">SUM(AQ380:AQ380)</f>
        <v>0</v>
      </c>
      <c r="AR381" s="164">
        <f t="shared" si="211"/>
        <v>107135695491</v>
      </c>
    </row>
    <row r="382" spans="1:44" s="165" customFormat="1" ht="15" x14ac:dyDescent="0.25">
      <c r="A382" s="21"/>
      <c r="B382" s="227"/>
      <c r="C382" s="168"/>
      <c r="D382" s="167"/>
      <c r="E382" s="409"/>
      <c r="F382" s="409"/>
      <c r="G382" s="167"/>
      <c r="H382" s="168"/>
      <c r="I382" s="167"/>
      <c r="J382" s="410"/>
      <c r="K382" s="410"/>
      <c r="L382" s="410"/>
      <c r="M382" s="410"/>
      <c r="N382" s="170"/>
      <c r="O382" s="167"/>
      <c r="P382" s="168"/>
      <c r="Q382" s="171">
        <f t="shared" ref="Q382:AL382" si="249">Q381+Q377+Q368</f>
        <v>0</v>
      </c>
      <c r="R382" s="171">
        <f t="shared" si="249"/>
        <v>0</v>
      </c>
      <c r="S382" s="171">
        <f t="shared" si="249"/>
        <v>0</v>
      </c>
      <c r="T382" s="171">
        <f t="shared" si="249"/>
        <v>0</v>
      </c>
      <c r="U382" s="171">
        <f t="shared" si="249"/>
        <v>0</v>
      </c>
      <c r="V382" s="171">
        <f t="shared" si="249"/>
        <v>0</v>
      </c>
      <c r="W382" s="171">
        <f t="shared" si="249"/>
        <v>5391050241</v>
      </c>
      <c r="X382" s="171">
        <f t="shared" si="249"/>
        <v>0</v>
      </c>
      <c r="Y382" s="171">
        <f t="shared" si="249"/>
        <v>0</v>
      </c>
      <c r="Z382" s="171">
        <f t="shared" si="249"/>
        <v>0</v>
      </c>
      <c r="AA382" s="171">
        <f t="shared" si="249"/>
        <v>0</v>
      </c>
      <c r="AB382" s="171"/>
      <c r="AC382" s="171">
        <f t="shared" si="249"/>
        <v>0</v>
      </c>
      <c r="AD382" s="171">
        <f t="shared" si="249"/>
        <v>0</v>
      </c>
      <c r="AE382" s="171">
        <f t="shared" si="249"/>
        <v>87094464000</v>
      </c>
      <c r="AF382" s="171">
        <f t="shared" si="249"/>
        <v>19398370916</v>
      </c>
      <c r="AG382" s="171">
        <f t="shared" si="249"/>
        <v>814114495</v>
      </c>
      <c r="AH382" s="171">
        <f t="shared" si="249"/>
        <v>6431354</v>
      </c>
      <c r="AI382" s="171">
        <f t="shared" si="249"/>
        <v>1320503506</v>
      </c>
      <c r="AJ382" s="171">
        <f t="shared" si="249"/>
        <v>0</v>
      </c>
      <c r="AK382" s="171">
        <f t="shared" si="249"/>
        <v>7105069271</v>
      </c>
      <c r="AL382" s="171">
        <f t="shared" si="249"/>
        <v>0</v>
      </c>
      <c r="AM382" s="171">
        <f t="shared" ref="AM382:AP382" si="250">AM381+AM377+AM368</f>
        <v>4105700205</v>
      </c>
      <c r="AN382" s="171">
        <f t="shared" si="250"/>
        <v>0</v>
      </c>
      <c r="AO382" s="171">
        <f t="shared" si="250"/>
        <v>0</v>
      </c>
      <c r="AP382" s="171">
        <f t="shared" si="250"/>
        <v>0</v>
      </c>
      <c r="AQ382" s="171">
        <f t="shared" ref="AQ382" si="251">AQ381+AQ377+AQ368</f>
        <v>0</v>
      </c>
      <c r="AR382" s="171">
        <f t="shared" si="211"/>
        <v>125235703988</v>
      </c>
    </row>
    <row r="383" spans="1:44" s="29" customFormat="1" ht="15" x14ac:dyDescent="0.25">
      <c r="A383" s="21"/>
      <c r="B383" s="183"/>
      <c r="C383" s="760"/>
      <c r="D383" s="183"/>
      <c r="E383" s="403"/>
      <c r="F383" s="403"/>
      <c r="G383" s="183"/>
      <c r="H383" s="760"/>
      <c r="I383" s="183"/>
      <c r="J383" s="404"/>
      <c r="K383" s="404"/>
      <c r="L383" s="873"/>
      <c r="M383" s="873"/>
      <c r="N383" s="833"/>
      <c r="O383" s="829"/>
      <c r="P383" s="760"/>
      <c r="Q383" s="186"/>
      <c r="R383" s="186"/>
      <c r="S383" s="186"/>
      <c r="T383" s="186"/>
      <c r="U383" s="186"/>
      <c r="V383" s="186"/>
      <c r="W383" s="103"/>
      <c r="X383" s="186"/>
      <c r="Y383" s="186"/>
      <c r="Z383" s="186"/>
      <c r="AA383" s="186"/>
      <c r="AB383" s="186"/>
      <c r="AC383" s="186"/>
      <c r="AD383" s="186"/>
      <c r="AE383" s="187"/>
      <c r="AF383" s="187"/>
      <c r="AG383" s="187"/>
      <c r="AH383" s="187"/>
      <c r="AI383" s="187"/>
      <c r="AJ383" s="187"/>
      <c r="AK383" s="186"/>
      <c r="AL383" s="186"/>
      <c r="AM383" s="287"/>
      <c r="AN383" s="103"/>
      <c r="AO383" s="186"/>
      <c r="AP383" s="186"/>
      <c r="AQ383" s="186"/>
      <c r="AR383" s="205"/>
    </row>
    <row r="384" spans="1:44" s="29" customFormat="1" x14ac:dyDescent="0.25">
      <c r="A384" s="21"/>
      <c r="B384" s="243">
        <v>6</v>
      </c>
      <c r="C384" s="148" t="s">
        <v>489</v>
      </c>
      <c r="D384" s="149"/>
      <c r="E384" s="149"/>
      <c r="F384" s="149"/>
      <c r="G384" s="149"/>
      <c r="H384" s="150"/>
      <c r="I384" s="149"/>
      <c r="J384" s="149"/>
      <c r="K384" s="149"/>
      <c r="L384" s="149"/>
      <c r="M384" s="149"/>
      <c r="N384" s="151"/>
      <c r="O384" s="149"/>
      <c r="P384" s="149"/>
      <c r="Q384" s="149"/>
      <c r="R384" s="149"/>
      <c r="S384" s="149"/>
      <c r="T384" s="149"/>
      <c r="U384" s="149"/>
      <c r="V384" s="149"/>
      <c r="W384" s="149"/>
      <c r="X384" s="149"/>
      <c r="Y384" s="149"/>
      <c r="Z384" s="149"/>
      <c r="AA384" s="149"/>
      <c r="AB384" s="149"/>
      <c r="AC384" s="149"/>
      <c r="AD384" s="149"/>
      <c r="AE384" s="149"/>
      <c r="AF384" s="149"/>
      <c r="AG384" s="149"/>
      <c r="AH384" s="149"/>
      <c r="AI384" s="149"/>
      <c r="AJ384" s="149"/>
      <c r="AK384" s="149"/>
      <c r="AL384" s="149"/>
      <c r="AM384" s="152"/>
      <c r="AN384" s="149"/>
      <c r="AO384" s="149"/>
      <c r="AP384" s="149"/>
      <c r="AQ384" s="149"/>
      <c r="AR384" s="153"/>
    </row>
    <row r="385" spans="1:45" s="29" customFormat="1" ht="15" x14ac:dyDescent="0.25">
      <c r="A385" s="21"/>
      <c r="B385" s="190"/>
      <c r="C385" s="830"/>
      <c r="D385" s="829"/>
      <c r="E385" s="830"/>
      <c r="F385" s="774"/>
      <c r="G385" s="874">
        <v>19</v>
      </c>
      <c r="H385" s="933" t="s">
        <v>490</v>
      </c>
      <c r="I385" s="933"/>
      <c r="J385" s="933"/>
      <c r="K385" s="933"/>
      <c r="L385" s="933"/>
      <c r="M385" s="933"/>
      <c r="N385" s="933"/>
      <c r="O385" s="933"/>
      <c r="P385" s="933"/>
      <c r="Q385" s="194"/>
      <c r="R385" s="194"/>
      <c r="S385" s="194"/>
      <c r="T385" s="194"/>
      <c r="U385" s="194"/>
      <c r="V385" s="194"/>
      <c r="W385" s="194"/>
      <c r="X385" s="194"/>
      <c r="Y385" s="194"/>
      <c r="Z385" s="194"/>
      <c r="AA385" s="194"/>
      <c r="AB385" s="194"/>
      <c r="AC385" s="194"/>
      <c r="AD385" s="194"/>
      <c r="AE385" s="194"/>
      <c r="AF385" s="194"/>
      <c r="AG385" s="194"/>
      <c r="AH385" s="194"/>
      <c r="AI385" s="194"/>
      <c r="AJ385" s="194"/>
      <c r="AK385" s="194"/>
      <c r="AL385" s="194"/>
      <c r="AM385" s="196"/>
      <c r="AN385" s="194"/>
      <c r="AO385" s="194"/>
      <c r="AP385" s="194"/>
      <c r="AQ385" s="194"/>
      <c r="AR385" s="197"/>
    </row>
    <row r="386" spans="1:45" s="29" customFormat="1" ht="102" customHeight="1" x14ac:dyDescent="0.25">
      <c r="A386" s="21"/>
      <c r="B386" s="20"/>
      <c r="C386" s="718"/>
      <c r="D386" s="875"/>
      <c r="E386" s="876"/>
      <c r="F386" s="757"/>
      <c r="G386" s="24"/>
      <c r="H386" s="767">
        <v>75</v>
      </c>
      <c r="I386" s="762" t="s">
        <v>491</v>
      </c>
      <c r="J386" s="58">
        <v>18</v>
      </c>
      <c r="K386" s="90">
        <v>20</v>
      </c>
      <c r="L386" s="657">
        <v>13</v>
      </c>
      <c r="M386" s="1023" t="s">
        <v>461</v>
      </c>
      <c r="N386" s="948" t="s">
        <v>492</v>
      </c>
      <c r="O386" s="941" t="s">
        <v>493</v>
      </c>
      <c r="P386" s="767" t="s">
        <v>42</v>
      </c>
      <c r="Q386" s="27">
        <v>0</v>
      </c>
      <c r="R386" s="27">
        <v>0</v>
      </c>
      <c r="S386" s="27">
        <v>0</v>
      </c>
      <c r="T386" s="27">
        <v>0</v>
      </c>
      <c r="U386" s="27">
        <v>0</v>
      </c>
      <c r="V386" s="27">
        <v>0</v>
      </c>
      <c r="X386" s="27"/>
      <c r="Y386" s="27"/>
      <c r="Z386" s="27"/>
      <c r="AA386" s="27">
        <v>0</v>
      </c>
      <c r="AB386" s="27"/>
      <c r="AC386" s="27">
        <v>0</v>
      </c>
      <c r="AD386" s="27">
        <v>0</v>
      </c>
      <c r="AE386" s="27"/>
      <c r="AF386" s="27"/>
      <c r="AG386" s="27"/>
      <c r="AH386" s="27"/>
      <c r="AI386" s="27"/>
      <c r="AJ386" s="27"/>
      <c r="AK386" s="27">
        <v>0</v>
      </c>
      <c r="AL386" s="27">
        <v>0</v>
      </c>
      <c r="AM386" s="115">
        <v>0</v>
      </c>
      <c r="AN386" s="91"/>
      <c r="AO386" s="27">
        <v>0</v>
      </c>
      <c r="AP386" s="28">
        <v>0</v>
      </c>
      <c r="AQ386" s="28"/>
      <c r="AR386" s="27">
        <f t="shared" si="211"/>
        <v>0</v>
      </c>
    </row>
    <row r="387" spans="1:45" s="29" customFormat="1" ht="57" x14ac:dyDescent="0.25">
      <c r="A387" s="21"/>
      <c r="B387" s="20"/>
      <c r="C387" s="719"/>
      <c r="D387" s="92"/>
      <c r="E387" s="93"/>
      <c r="F387" s="769"/>
      <c r="G387" s="30"/>
      <c r="H387" s="767">
        <v>76</v>
      </c>
      <c r="I387" s="762" t="s">
        <v>494</v>
      </c>
      <c r="J387" s="58">
        <v>0</v>
      </c>
      <c r="K387" s="90">
        <v>600</v>
      </c>
      <c r="L387" s="657">
        <v>500</v>
      </c>
      <c r="M387" s="1027"/>
      <c r="N387" s="959"/>
      <c r="O387" s="942"/>
      <c r="P387" s="767" t="s">
        <v>42</v>
      </c>
      <c r="Q387" s="27">
        <v>0</v>
      </c>
      <c r="R387" s="27">
        <v>0</v>
      </c>
      <c r="S387" s="27">
        <v>0</v>
      </c>
      <c r="T387" s="27">
        <v>0</v>
      </c>
      <c r="U387" s="27">
        <v>0</v>
      </c>
      <c r="V387" s="27">
        <v>0</v>
      </c>
      <c r="W387" s="27">
        <v>183000000</v>
      </c>
      <c r="X387" s="27"/>
      <c r="Y387" s="27"/>
      <c r="Z387" s="27"/>
      <c r="AA387" s="27">
        <v>0</v>
      </c>
      <c r="AB387" s="27"/>
      <c r="AC387" s="27">
        <v>0</v>
      </c>
      <c r="AD387" s="27">
        <v>0</v>
      </c>
      <c r="AE387" s="27"/>
      <c r="AF387" s="27"/>
      <c r="AG387" s="27"/>
      <c r="AH387" s="27"/>
      <c r="AI387" s="27"/>
      <c r="AJ387" s="27"/>
      <c r="AK387" s="27">
        <v>0</v>
      </c>
      <c r="AL387" s="27">
        <v>0</v>
      </c>
      <c r="AM387" s="108">
        <v>0</v>
      </c>
      <c r="AN387" s="40"/>
      <c r="AO387" s="27">
        <v>0</v>
      </c>
      <c r="AP387" s="28">
        <v>0</v>
      </c>
      <c r="AQ387" s="28"/>
      <c r="AR387" s="27">
        <f t="shared" si="211"/>
        <v>183000000</v>
      </c>
      <c r="AS387" s="810"/>
    </row>
    <row r="388" spans="1:45" s="29" customFormat="1" ht="45.75" customHeight="1" x14ac:dyDescent="0.25">
      <c r="A388" s="21"/>
      <c r="B388" s="20"/>
      <c r="C388" s="719">
        <v>16</v>
      </c>
      <c r="D388" s="92" t="s">
        <v>495</v>
      </c>
      <c r="E388" s="94">
        <v>45</v>
      </c>
      <c r="F388" s="758">
        <v>90</v>
      </c>
      <c r="G388" s="30"/>
      <c r="H388" s="767">
        <v>77</v>
      </c>
      <c r="I388" s="762" t="s">
        <v>496</v>
      </c>
      <c r="J388" s="58">
        <v>20</v>
      </c>
      <c r="K388" s="90">
        <v>50</v>
      </c>
      <c r="L388" s="657">
        <v>0</v>
      </c>
      <c r="M388" s="1027"/>
      <c r="N388" s="959"/>
      <c r="O388" s="942"/>
      <c r="P388" s="767" t="s">
        <v>42</v>
      </c>
      <c r="Q388" s="27">
        <v>0</v>
      </c>
      <c r="R388" s="27">
        <v>0</v>
      </c>
      <c r="S388" s="27">
        <v>0</v>
      </c>
      <c r="T388" s="27">
        <v>0</v>
      </c>
      <c r="U388" s="27">
        <v>0</v>
      </c>
      <c r="V388" s="27">
        <v>0</v>
      </c>
      <c r="W388" s="27">
        <v>0</v>
      </c>
      <c r="X388" s="27"/>
      <c r="Y388" s="27"/>
      <c r="Z388" s="27"/>
      <c r="AA388" s="27">
        <v>0</v>
      </c>
      <c r="AB388" s="27"/>
      <c r="AC388" s="27">
        <v>0</v>
      </c>
      <c r="AD388" s="27">
        <v>0</v>
      </c>
      <c r="AE388" s="27"/>
      <c r="AF388" s="27"/>
      <c r="AG388" s="27"/>
      <c r="AH388" s="27"/>
      <c r="AI388" s="27"/>
      <c r="AJ388" s="27"/>
      <c r="AK388" s="27">
        <v>0</v>
      </c>
      <c r="AL388" s="27">
        <v>0</v>
      </c>
      <c r="AM388" s="108">
        <v>0</v>
      </c>
      <c r="AN388" s="40"/>
      <c r="AO388" s="27">
        <v>0</v>
      </c>
      <c r="AP388" s="28">
        <v>0</v>
      </c>
      <c r="AQ388" s="28"/>
      <c r="AR388" s="27">
        <f t="shared" si="211"/>
        <v>0</v>
      </c>
    </row>
    <row r="389" spans="1:45" s="29" customFormat="1" ht="42.75" x14ac:dyDescent="0.25">
      <c r="A389" s="21"/>
      <c r="B389" s="20"/>
      <c r="C389" s="719"/>
      <c r="D389" s="92"/>
      <c r="E389" s="93"/>
      <c r="F389" s="769"/>
      <c r="G389" s="30"/>
      <c r="H389" s="767">
        <v>78</v>
      </c>
      <c r="I389" s="762" t="s">
        <v>497</v>
      </c>
      <c r="J389" s="58">
        <v>7</v>
      </c>
      <c r="K389" s="90">
        <v>11</v>
      </c>
      <c r="L389" s="657">
        <v>9</v>
      </c>
      <c r="M389" s="1027"/>
      <c r="N389" s="959"/>
      <c r="O389" s="942"/>
      <c r="P389" s="767" t="s">
        <v>42</v>
      </c>
      <c r="Q389" s="27">
        <v>0</v>
      </c>
      <c r="R389" s="27">
        <v>0</v>
      </c>
      <c r="S389" s="27">
        <v>0</v>
      </c>
      <c r="T389" s="27">
        <v>0</v>
      </c>
      <c r="U389" s="27">
        <v>0</v>
      </c>
      <c r="V389" s="27">
        <v>0</v>
      </c>
      <c r="W389" s="27">
        <v>0</v>
      </c>
      <c r="X389" s="27"/>
      <c r="Y389" s="27"/>
      <c r="Z389" s="27"/>
      <c r="AA389" s="27">
        <v>0</v>
      </c>
      <c r="AB389" s="27"/>
      <c r="AC389" s="27">
        <v>0</v>
      </c>
      <c r="AD389" s="27">
        <v>0</v>
      </c>
      <c r="AE389" s="27"/>
      <c r="AF389" s="27"/>
      <c r="AG389" s="27"/>
      <c r="AH389" s="27"/>
      <c r="AI389" s="27"/>
      <c r="AJ389" s="27"/>
      <c r="AK389" s="27">
        <v>0</v>
      </c>
      <c r="AL389" s="27">
        <v>0</v>
      </c>
      <c r="AM389" s="108">
        <v>0</v>
      </c>
      <c r="AN389" s="40"/>
      <c r="AO389" s="27">
        <v>0</v>
      </c>
      <c r="AP389" s="28">
        <v>0</v>
      </c>
      <c r="AQ389" s="28"/>
      <c r="AR389" s="27">
        <f t="shared" si="211"/>
        <v>0</v>
      </c>
    </row>
    <row r="390" spans="1:45" s="29" customFormat="1" ht="63" customHeight="1" x14ac:dyDescent="0.25">
      <c r="A390" s="21"/>
      <c r="B390" s="20"/>
      <c r="C390" s="719">
        <v>17</v>
      </c>
      <c r="D390" s="92" t="s">
        <v>498</v>
      </c>
      <c r="E390" s="93">
        <v>0.63270000000000004</v>
      </c>
      <c r="F390" s="769">
        <v>0.5</v>
      </c>
      <c r="G390" s="30"/>
      <c r="H390" s="767">
        <v>79</v>
      </c>
      <c r="I390" s="762" t="s">
        <v>499</v>
      </c>
      <c r="J390" s="58">
        <v>96</v>
      </c>
      <c r="K390" s="90">
        <v>163</v>
      </c>
      <c r="L390" s="657">
        <v>123</v>
      </c>
      <c r="M390" s="1027"/>
      <c r="N390" s="959"/>
      <c r="O390" s="942"/>
      <c r="P390" s="767" t="s">
        <v>42</v>
      </c>
      <c r="Q390" s="27">
        <v>0</v>
      </c>
      <c r="R390" s="27">
        <v>0</v>
      </c>
      <c r="S390" s="27">
        <v>0</v>
      </c>
      <c r="T390" s="27">
        <v>0</v>
      </c>
      <c r="U390" s="27">
        <v>0</v>
      </c>
      <c r="V390" s="27">
        <v>0</v>
      </c>
      <c r="W390" s="27">
        <v>0</v>
      </c>
      <c r="X390" s="27"/>
      <c r="Y390" s="27"/>
      <c r="Z390" s="27"/>
      <c r="AA390" s="27">
        <v>0</v>
      </c>
      <c r="AB390" s="27"/>
      <c r="AC390" s="27">
        <v>0</v>
      </c>
      <c r="AD390" s="27">
        <v>0</v>
      </c>
      <c r="AE390" s="27"/>
      <c r="AF390" s="27"/>
      <c r="AG390" s="27"/>
      <c r="AH390" s="27"/>
      <c r="AI390" s="27"/>
      <c r="AJ390" s="27"/>
      <c r="AK390" s="27">
        <v>0</v>
      </c>
      <c r="AL390" s="27">
        <v>0</v>
      </c>
      <c r="AM390" s="108">
        <v>0</v>
      </c>
      <c r="AN390" s="40"/>
      <c r="AO390" s="27">
        <v>0</v>
      </c>
      <c r="AP390" s="28">
        <v>0</v>
      </c>
      <c r="AQ390" s="28"/>
      <c r="AR390" s="27">
        <f t="shared" si="211"/>
        <v>0</v>
      </c>
    </row>
    <row r="391" spans="1:45" s="29" customFormat="1" ht="42.75" x14ac:dyDescent="0.25">
      <c r="A391" s="21"/>
      <c r="B391" s="20"/>
      <c r="C391" s="719"/>
      <c r="D391" s="92"/>
      <c r="E391" s="93"/>
      <c r="F391" s="769"/>
      <c r="G391" s="30"/>
      <c r="H391" s="767">
        <v>80</v>
      </c>
      <c r="I391" s="762" t="s">
        <v>500</v>
      </c>
      <c r="J391" s="58">
        <v>2906</v>
      </c>
      <c r="K391" s="90">
        <v>3803</v>
      </c>
      <c r="L391" s="657">
        <v>3184</v>
      </c>
      <c r="M391" s="1027"/>
      <c r="N391" s="959"/>
      <c r="O391" s="942"/>
      <c r="P391" s="767" t="s">
        <v>42</v>
      </c>
      <c r="Q391" s="27">
        <v>0</v>
      </c>
      <c r="R391" s="27">
        <v>0</v>
      </c>
      <c r="S391" s="27">
        <v>0</v>
      </c>
      <c r="T391" s="27">
        <v>0</v>
      </c>
      <c r="U391" s="27">
        <v>0</v>
      </c>
      <c r="V391" s="27">
        <v>0</v>
      </c>
      <c r="W391" s="27">
        <v>0</v>
      </c>
      <c r="X391" s="27"/>
      <c r="Y391" s="27"/>
      <c r="Z391" s="27"/>
      <c r="AA391" s="27">
        <v>0</v>
      </c>
      <c r="AB391" s="27"/>
      <c r="AC391" s="27">
        <v>0</v>
      </c>
      <c r="AD391" s="27">
        <v>0</v>
      </c>
      <c r="AE391" s="27"/>
      <c r="AF391" s="27"/>
      <c r="AG391" s="27"/>
      <c r="AH391" s="27"/>
      <c r="AI391" s="27"/>
      <c r="AJ391" s="27"/>
      <c r="AK391" s="27">
        <v>0</v>
      </c>
      <c r="AL391" s="27">
        <v>0</v>
      </c>
      <c r="AM391" s="108">
        <v>0</v>
      </c>
      <c r="AN391" s="40"/>
      <c r="AO391" s="27">
        <v>0</v>
      </c>
      <c r="AP391" s="28">
        <v>0</v>
      </c>
      <c r="AQ391" s="28"/>
      <c r="AR391" s="27">
        <f t="shared" si="211"/>
        <v>0</v>
      </c>
    </row>
    <row r="392" spans="1:45" s="29" customFormat="1" ht="85.5" x14ac:dyDescent="0.25">
      <c r="A392" s="21"/>
      <c r="B392" s="20"/>
      <c r="C392" s="719"/>
      <c r="D392" s="730" t="s">
        <v>0</v>
      </c>
      <c r="E392" s="93"/>
      <c r="F392" s="769"/>
      <c r="G392" s="30"/>
      <c r="H392" s="767">
        <v>81</v>
      </c>
      <c r="I392" s="762" t="s">
        <v>501</v>
      </c>
      <c r="J392" s="33">
        <v>13</v>
      </c>
      <c r="K392" s="90">
        <v>25</v>
      </c>
      <c r="L392" s="657">
        <v>20</v>
      </c>
      <c r="M392" s="1027"/>
      <c r="N392" s="959"/>
      <c r="O392" s="942"/>
      <c r="P392" s="767" t="s">
        <v>42</v>
      </c>
      <c r="Q392" s="27">
        <v>0</v>
      </c>
      <c r="R392" s="27">
        <v>0</v>
      </c>
      <c r="S392" s="27">
        <v>0</v>
      </c>
      <c r="T392" s="27">
        <v>0</v>
      </c>
      <c r="U392" s="27">
        <v>0</v>
      </c>
      <c r="V392" s="27">
        <v>0</v>
      </c>
      <c r="W392" s="27">
        <v>0</v>
      </c>
      <c r="X392" s="27"/>
      <c r="Y392" s="27"/>
      <c r="Z392" s="27"/>
      <c r="AA392" s="27">
        <v>0</v>
      </c>
      <c r="AB392" s="27"/>
      <c r="AC392" s="27">
        <v>0</v>
      </c>
      <c r="AD392" s="27">
        <v>0</v>
      </c>
      <c r="AE392" s="27"/>
      <c r="AF392" s="27"/>
      <c r="AG392" s="27"/>
      <c r="AH392" s="27"/>
      <c r="AI392" s="27"/>
      <c r="AJ392" s="27"/>
      <c r="AK392" s="27">
        <v>0</v>
      </c>
      <c r="AL392" s="27">
        <v>0</v>
      </c>
      <c r="AM392" s="108">
        <v>0</v>
      </c>
      <c r="AN392" s="40"/>
      <c r="AO392" s="27">
        <v>0</v>
      </c>
      <c r="AP392" s="28">
        <v>0</v>
      </c>
      <c r="AQ392" s="28"/>
      <c r="AR392" s="27">
        <f t="shared" si="211"/>
        <v>0</v>
      </c>
    </row>
    <row r="393" spans="1:45" s="29" customFormat="1" ht="85.5" x14ac:dyDescent="0.25">
      <c r="A393" s="21"/>
      <c r="B393" s="20"/>
      <c r="C393" s="719"/>
      <c r="D393" s="730" t="s">
        <v>0</v>
      </c>
      <c r="E393" s="93"/>
      <c r="F393" s="769"/>
      <c r="G393" s="32"/>
      <c r="H393" s="767">
        <v>82</v>
      </c>
      <c r="I393" s="762" t="s">
        <v>502</v>
      </c>
      <c r="J393" s="33">
        <v>14</v>
      </c>
      <c r="K393" s="90">
        <v>25</v>
      </c>
      <c r="L393" s="657">
        <v>16</v>
      </c>
      <c r="M393" s="1024"/>
      <c r="N393" s="949"/>
      <c r="O393" s="943"/>
      <c r="P393" s="767" t="s">
        <v>42</v>
      </c>
      <c r="Q393" s="27">
        <v>0</v>
      </c>
      <c r="R393" s="27">
        <v>0</v>
      </c>
      <c r="S393" s="27">
        <v>0</v>
      </c>
      <c r="T393" s="27">
        <v>0</v>
      </c>
      <c r="U393" s="27">
        <v>0</v>
      </c>
      <c r="V393" s="27">
        <v>0</v>
      </c>
      <c r="W393" s="27">
        <v>0</v>
      </c>
      <c r="X393" s="27"/>
      <c r="Y393" s="27"/>
      <c r="Z393" s="27"/>
      <c r="AA393" s="27">
        <v>0</v>
      </c>
      <c r="AB393" s="27"/>
      <c r="AC393" s="27">
        <v>0</v>
      </c>
      <c r="AD393" s="27">
        <v>0</v>
      </c>
      <c r="AE393" s="27"/>
      <c r="AF393" s="27"/>
      <c r="AG393" s="27"/>
      <c r="AH393" s="27"/>
      <c r="AI393" s="27"/>
      <c r="AJ393" s="27"/>
      <c r="AK393" s="27">
        <v>0</v>
      </c>
      <c r="AL393" s="27">
        <v>0</v>
      </c>
      <c r="AM393" s="108">
        <v>0</v>
      </c>
      <c r="AN393" s="40"/>
      <c r="AO393" s="27">
        <v>0</v>
      </c>
      <c r="AP393" s="28">
        <v>0</v>
      </c>
      <c r="AQ393" s="28"/>
      <c r="AR393" s="27">
        <f t="shared" si="211"/>
        <v>0</v>
      </c>
    </row>
    <row r="394" spans="1:45" s="165" customFormat="1" ht="15" x14ac:dyDescent="0.25">
      <c r="A394" s="21"/>
      <c r="B394" s="20"/>
      <c r="C394" s="719"/>
      <c r="D394" s="733"/>
      <c r="E394" s="411"/>
      <c r="F394" s="754"/>
      <c r="G394" s="412"/>
      <c r="H394" s="161"/>
      <c r="I394" s="160"/>
      <c r="J394" s="311"/>
      <c r="K394" s="311"/>
      <c r="L394" s="311"/>
      <c r="M394" s="311"/>
      <c r="N394" s="163"/>
      <c r="O394" s="160"/>
      <c r="P394" s="161"/>
      <c r="Q394" s="164">
        <f t="shared" ref="Q394:AA394" si="252">SUM(Q386:Q393)</f>
        <v>0</v>
      </c>
      <c r="R394" s="164">
        <f t="shared" si="252"/>
        <v>0</v>
      </c>
      <c r="S394" s="164">
        <f t="shared" si="252"/>
        <v>0</v>
      </c>
      <c r="T394" s="164">
        <f t="shared" si="252"/>
        <v>0</v>
      </c>
      <c r="U394" s="164">
        <f t="shared" si="252"/>
        <v>0</v>
      </c>
      <c r="V394" s="164">
        <f t="shared" si="252"/>
        <v>0</v>
      </c>
      <c r="W394" s="164">
        <f t="shared" si="252"/>
        <v>183000000</v>
      </c>
      <c r="X394" s="164">
        <f t="shared" si="252"/>
        <v>0</v>
      </c>
      <c r="Y394" s="164">
        <f t="shared" si="252"/>
        <v>0</v>
      </c>
      <c r="Z394" s="164">
        <f t="shared" si="252"/>
        <v>0</v>
      </c>
      <c r="AA394" s="164">
        <f t="shared" si="252"/>
        <v>0</v>
      </c>
      <c r="AB394" s="164"/>
      <c r="AC394" s="164">
        <f>SUM(AC386:AC393)</f>
        <v>0</v>
      </c>
      <c r="AD394" s="164">
        <f>SUM(AD386:AD393)</f>
        <v>0</v>
      </c>
      <c r="AE394" s="164">
        <f>SUM(AE386:AE393)</f>
        <v>0</v>
      </c>
      <c r="AF394" s="164">
        <f>SUM(AF386:AF393)</f>
        <v>0</v>
      </c>
      <c r="AG394" s="164"/>
      <c r="AH394" s="164">
        <f t="shared" ref="AH394:AM394" si="253">SUM(AH386:AH393)</f>
        <v>0</v>
      </c>
      <c r="AI394" s="164">
        <f t="shared" si="253"/>
        <v>0</v>
      </c>
      <c r="AJ394" s="164">
        <f t="shared" si="253"/>
        <v>0</v>
      </c>
      <c r="AK394" s="164">
        <f t="shared" si="253"/>
        <v>0</v>
      </c>
      <c r="AL394" s="164">
        <f t="shared" si="253"/>
        <v>0</v>
      </c>
      <c r="AM394" s="248">
        <f t="shared" si="253"/>
        <v>0</v>
      </c>
      <c r="AN394" s="164"/>
      <c r="AO394" s="164">
        <f>SUM(AO386:AO393)</f>
        <v>0</v>
      </c>
      <c r="AP394" s="164">
        <f>SUM(AP386:AP393)</f>
        <v>0</v>
      </c>
      <c r="AQ394" s="164">
        <f>SUM(AQ386:AQ393)</f>
        <v>0</v>
      </c>
      <c r="AR394" s="164">
        <f t="shared" si="211"/>
        <v>183000000</v>
      </c>
    </row>
    <row r="395" spans="1:45" s="29" customFormat="1" ht="15" x14ac:dyDescent="0.25">
      <c r="A395" s="21"/>
      <c r="B395" s="21"/>
      <c r="C395" s="768"/>
      <c r="D395" s="183"/>
      <c r="E395" s="403"/>
      <c r="F395" s="403"/>
      <c r="G395" s="183"/>
      <c r="H395" s="760"/>
      <c r="I395" s="183"/>
      <c r="J395" s="314"/>
      <c r="K395" s="314"/>
      <c r="L395" s="864"/>
      <c r="M395" s="864"/>
      <c r="N395" s="833"/>
      <c r="O395" s="829"/>
      <c r="P395" s="760"/>
      <c r="Q395" s="186"/>
      <c r="R395" s="186"/>
      <c r="S395" s="186"/>
      <c r="T395" s="186"/>
      <c r="U395" s="186"/>
      <c r="V395" s="186"/>
      <c r="W395" s="186"/>
      <c r="X395" s="186"/>
      <c r="Y395" s="186"/>
      <c r="Z395" s="186"/>
      <c r="AA395" s="186"/>
      <c r="AB395" s="186"/>
      <c r="AC395" s="186"/>
      <c r="AD395" s="186"/>
      <c r="AE395" s="186"/>
      <c r="AF395" s="186"/>
      <c r="AG395" s="186"/>
      <c r="AH395" s="186"/>
      <c r="AI395" s="186"/>
      <c r="AJ395" s="186"/>
      <c r="AK395" s="186"/>
      <c r="AL395" s="186"/>
      <c r="AM395" s="188"/>
      <c r="AN395" s="186"/>
      <c r="AO395" s="186"/>
      <c r="AP395" s="186"/>
      <c r="AQ395" s="186"/>
      <c r="AR395" s="205">
        <f t="shared" si="211"/>
        <v>0</v>
      </c>
    </row>
    <row r="396" spans="1:45" s="165" customFormat="1" ht="15" x14ac:dyDescent="0.25">
      <c r="A396" s="21"/>
      <c r="B396" s="21"/>
      <c r="C396" s="774"/>
      <c r="D396" s="732"/>
      <c r="E396" s="753"/>
      <c r="F396" s="753"/>
      <c r="G396" s="413">
        <v>20</v>
      </c>
      <c r="H396" s="1031" t="s">
        <v>503</v>
      </c>
      <c r="I396" s="933"/>
      <c r="J396" s="933"/>
      <c r="K396" s="933"/>
      <c r="L396" s="933"/>
      <c r="M396" s="933"/>
      <c r="N396" s="933"/>
      <c r="O396" s="933"/>
      <c r="P396" s="933"/>
      <c r="Q396" s="933"/>
      <c r="R396" s="194"/>
      <c r="S396" s="194"/>
      <c r="T396" s="194"/>
      <c r="U396" s="194"/>
      <c r="V396" s="194"/>
      <c r="W396" s="194"/>
      <c r="X396" s="194"/>
      <c r="Y396" s="194"/>
      <c r="Z396" s="194"/>
      <c r="AA396" s="194"/>
      <c r="AB396" s="194"/>
      <c r="AC396" s="194"/>
      <c r="AD396" s="194"/>
      <c r="AE396" s="194"/>
      <c r="AF396" s="194"/>
      <c r="AG396" s="194"/>
      <c r="AH396" s="194"/>
      <c r="AI396" s="194"/>
      <c r="AJ396" s="194"/>
      <c r="AK396" s="194"/>
      <c r="AL396" s="194"/>
      <c r="AM396" s="196"/>
      <c r="AN396" s="194"/>
      <c r="AO396" s="194"/>
      <c r="AP396" s="194"/>
      <c r="AQ396" s="194"/>
      <c r="AR396" s="197"/>
    </row>
    <row r="397" spans="1:45" s="29" customFormat="1" ht="63" customHeight="1" x14ac:dyDescent="0.25">
      <c r="A397" s="21"/>
      <c r="B397" s="20"/>
      <c r="C397" s="95"/>
      <c r="D397" s="96"/>
      <c r="E397" s="96"/>
      <c r="F397" s="96"/>
      <c r="G397" s="867"/>
      <c r="H397" s="767">
        <v>83</v>
      </c>
      <c r="I397" s="762" t="s">
        <v>504</v>
      </c>
      <c r="J397" s="58">
        <v>0</v>
      </c>
      <c r="K397" s="90">
        <v>27</v>
      </c>
      <c r="L397" s="657">
        <v>30</v>
      </c>
      <c r="M397" s="1028" t="s">
        <v>461</v>
      </c>
      <c r="N397" s="948" t="s">
        <v>505</v>
      </c>
      <c r="O397" s="941" t="s">
        <v>506</v>
      </c>
      <c r="P397" s="767" t="s">
        <v>42</v>
      </c>
      <c r="Q397" s="27">
        <v>0</v>
      </c>
      <c r="R397" s="27">
        <v>0</v>
      </c>
      <c r="S397" s="27">
        <v>0</v>
      </c>
      <c r="T397" s="27">
        <v>0</v>
      </c>
      <c r="U397" s="27">
        <v>0</v>
      </c>
      <c r="V397" s="27">
        <v>0</v>
      </c>
      <c r="W397" s="27">
        <v>0</v>
      </c>
      <c r="X397" s="27"/>
      <c r="Y397" s="27"/>
      <c r="Z397" s="27"/>
      <c r="AA397" s="27">
        <v>0</v>
      </c>
      <c r="AB397" s="27"/>
      <c r="AC397" s="27">
        <v>0</v>
      </c>
      <c r="AD397" s="27">
        <v>0</v>
      </c>
      <c r="AE397" s="27"/>
      <c r="AF397" s="27"/>
      <c r="AG397" s="27"/>
      <c r="AH397" s="27"/>
      <c r="AI397" s="27"/>
      <c r="AJ397" s="27"/>
      <c r="AK397" s="27">
        <v>0</v>
      </c>
      <c r="AL397" s="27">
        <v>0</v>
      </c>
      <c r="AM397" s="108"/>
      <c r="AN397" s="40"/>
      <c r="AO397" s="27">
        <v>0</v>
      </c>
      <c r="AP397" s="28">
        <v>0</v>
      </c>
      <c r="AQ397" s="28"/>
      <c r="AR397" s="27">
        <f t="shared" ref="AR397:AR458" si="254">Q397+R397+S397+T397+U397+V397+W397+X397+Y397+Z397+AA397+AB397+AC397+AD397+AE397+AF397+AG397+AH397+AI397+AJ397+AK397+AL397+AM397+AN397+AO397+AP397+AQ397</f>
        <v>0</v>
      </c>
    </row>
    <row r="398" spans="1:45" s="29" customFormat="1" ht="86.25" customHeight="1" x14ac:dyDescent="0.25">
      <c r="A398" s="21"/>
      <c r="B398" s="20"/>
      <c r="C398" s="95"/>
      <c r="D398" s="96"/>
      <c r="E398" s="96"/>
      <c r="F398" s="96"/>
      <c r="G398" s="97"/>
      <c r="H398" s="767">
        <v>84</v>
      </c>
      <c r="I398" s="762" t="s">
        <v>507</v>
      </c>
      <c r="J398" s="58">
        <v>0</v>
      </c>
      <c r="K398" s="90">
        <v>15</v>
      </c>
      <c r="L398" s="657">
        <v>14</v>
      </c>
      <c r="M398" s="1029"/>
      <c r="N398" s="959"/>
      <c r="O398" s="942"/>
      <c r="P398" s="767" t="s">
        <v>42</v>
      </c>
      <c r="Q398" s="27">
        <v>0</v>
      </c>
      <c r="R398" s="27">
        <v>0</v>
      </c>
      <c r="S398" s="27">
        <v>0</v>
      </c>
      <c r="T398" s="27">
        <v>0</v>
      </c>
      <c r="U398" s="27">
        <v>0</v>
      </c>
      <c r="V398" s="27">
        <v>0</v>
      </c>
      <c r="W398" s="27">
        <v>0</v>
      </c>
      <c r="X398" s="27"/>
      <c r="Y398" s="27"/>
      <c r="Z398" s="27"/>
      <c r="AA398" s="27">
        <v>0</v>
      </c>
      <c r="AB398" s="27"/>
      <c r="AC398" s="27">
        <v>0</v>
      </c>
      <c r="AD398" s="27">
        <v>0</v>
      </c>
      <c r="AE398" s="27"/>
      <c r="AF398" s="27"/>
      <c r="AG398" s="27"/>
      <c r="AH398" s="27"/>
      <c r="AI398" s="27"/>
      <c r="AJ398" s="27"/>
      <c r="AK398" s="27">
        <v>0</v>
      </c>
      <c r="AL398" s="27">
        <v>0</v>
      </c>
      <c r="AM398" s="108"/>
      <c r="AN398" s="40"/>
      <c r="AO398" s="27">
        <v>0</v>
      </c>
      <c r="AP398" s="28">
        <v>0</v>
      </c>
      <c r="AQ398" s="28"/>
      <c r="AR398" s="27">
        <f t="shared" si="254"/>
        <v>0</v>
      </c>
    </row>
    <row r="399" spans="1:45" s="29" customFormat="1" ht="80.25" customHeight="1" x14ac:dyDescent="0.25">
      <c r="A399" s="21"/>
      <c r="B399" s="20"/>
      <c r="C399" s="95"/>
      <c r="D399" s="96"/>
      <c r="E399" s="96"/>
      <c r="F399" s="96"/>
      <c r="G399" s="97"/>
      <c r="H399" s="767">
        <v>85</v>
      </c>
      <c r="I399" s="762" t="s">
        <v>508</v>
      </c>
      <c r="J399" s="58">
        <v>0</v>
      </c>
      <c r="K399" s="90">
        <v>15</v>
      </c>
      <c r="L399" s="657">
        <v>25</v>
      </c>
      <c r="M399" s="1029"/>
      <c r="N399" s="959"/>
      <c r="O399" s="942"/>
      <c r="P399" s="767" t="s">
        <v>42</v>
      </c>
      <c r="Q399" s="27">
        <v>0</v>
      </c>
      <c r="R399" s="27">
        <v>0</v>
      </c>
      <c r="S399" s="27">
        <v>0</v>
      </c>
      <c r="T399" s="27">
        <v>0</v>
      </c>
      <c r="U399" s="27">
        <v>0</v>
      </c>
      <c r="V399" s="27">
        <v>0</v>
      </c>
      <c r="W399" s="27">
        <v>20000000</v>
      </c>
      <c r="X399" s="27"/>
      <c r="Y399" s="27"/>
      <c r="Z399" s="27"/>
      <c r="AA399" s="27">
        <v>0</v>
      </c>
      <c r="AB399" s="27"/>
      <c r="AC399" s="27">
        <v>0</v>
      </c>
      <c r="AD399" s="27">
        <v>0</v>
      </c>
      <c r="AE399" s="27"/>
      <c r="AF399" s="27"/>
      <c r="AG399" s="27"/>
      <c r="AH399" s="27"/>
      <c r="AI399" s="27"/>
      <c r="AJ399" s="27"/>
      <c r="AK399" s="27">
        <v>0</v>
      </c>
      <c r="AL399" s="27">
        <v>0</v>
      </c>
      <c r="AM399" s="108"/>
      <c r="AN399" s="40"/>
      <c r="AO399" s="27">
        <v>0</v>
      </c>
      <c r="AP399" s="28">
        <v>0</v>
      </c>
      <c r="AQ399" s="28"/>
      <c r="AR399" s="27">
        <f t="shared" si="254"/>
        <v>20000000</v>
      </c>
    </row>
    <row r="400" spans="1:45" s="29" customFormat="1" ht="188.25" customHeight="1" x14ac:dyDescent="0.25">
      <c r="A400" s="21"/>
      <c r="B400" s="20"/>
      <c r="C400" s="719">
        <v>14</v>
      </c>
      <c r="D400" s="30" t="s">
        <v>468</v>
      </c>
      <c r="E400" s="769">
        <v>6.2E-2</v>
      </c>
      <c r="F400" s="769">
        <v>0.03</v>
      </c>
      <c r="G400" s="97"/>
      <c r="H400" s="767">
        <v>87</v>
      </c>
      <c r="I400" s="762" t="s">
        <v>509</v>
      </c>
      <c r="J400" s="58">
        <v>0</v>
      </c>
      <c r="K400" s="90">
        <v>30</v>
      </c>
      <c r="L400" s="657">
        <v>11</v>
      </c>
      <c r="M400" s="1029"/>
      <c r="N400" s="959"/>
      <c r="O400" s="942"/>
      <c r="P400" s="767" t="s">
        <v>47</v>
      </c>
      <c r="Q400" s="27">
        <v>0</v>
      </c>
      <c r="R400" s="27">
        <v>0</v>
      </c>
      <c r="S400" s="27">
        <v>0</v>
      </c>
      <c r="T400" s="27">
        <v>0</v>
      </c>
      <c r="U400" s="27">
        <v>0</v>
      </c>
      <c r="V400" s="27">
        <v>0</v>
      </c>
      <c r="W400" s="27">
        <v>0</v>
      </c>
      <c r="X400" s="27"/>
      <c r="Y400" s="27"/>
      <c r="Z400" s="27"/>
      <c r="AA400" s="27">
        <v>0</v>
      </c>
      <c r="AB400" s="27"/>
      <c r="AC400" s="27">
        <v>0</v>
      </c>
      <c r="AD400" s="27">
        <v>0</v>
      </c>
      <c r="AE400" s="811">
        <f>136316152+100000000</f>
        <v>236316152</v>
      </c>
      <c r="AF400" s="27"/>
      <c r="AG400" s="27"/>
      <c r="AH400" s="27"/>
      <c r="AI400" s="27"/>
      <c r="AJ400" s="27"/>
      <c r="AK400" s="27">
        <v>0</v>
      </c>
      <c r="AL400" s="27">
        <v>0</v>
      </c>
      <c r="AM400" s="108">
        <v>10000000</v>
      </c>
      <c r="AN400" s="40"/>
      <c r="AO400" s="27">
        <v>0</v>
      </c>
      <c r="AP400" s="28">
        <v>0</v>
      </c>
      <c r="AQ400" s="28"/>
      <c r="AR400" s="27">
        <f t="shared" si="254"/>
        <v>246316152</v>
      </c>
    </row>
    <row r="401" spans="1:44" s="29" customFormat="1" ht="77.25" customHeight="1" x14ac:dyDescent="0.25">
      <c r="A401" s="21"/>
      <c r="B401" s="20"/>
      <c r="C401" s="719">
        <v>15</v>
      </c>
      <c r="D401" s="730" t="s">
        <v>459</v>
      </c>
      <c r="E401" s="769">
        <v>0.73229999999999995</v>
      </c>
      <c r="F401" s="769">
        <v>0.78</v>
      </c>
      <c r="G401" s="97"/>
      <c r="H401" s="767">
        <v>88</v>
      </c>
      <c r="I401" s="762" t="s">
        <v>510</v>
      </c>
      <c r="J401" s="58">
        <v>21</v>
      </c>
      <c r="K401" s="90">
        <v>29</v>
      </c>
      <c r="L401" s="657">
        <v>32</v>
      </c>
      <c r="M401" s="1029"/>
      <c r="N401" s="959"/>
      <c r="O401" s="942"/>
      <c r="P401" s="767" t="s">
        <v>42</v>
      </c>
      <c r="Q401" s="27">
        <v>0</v>
      </c>
      <c r="R401" s="27">
        <v>0</v>
      </c>
      <c r="S401" s="27">
        <v>0</v>
      </c>
      <c r="T401" s="27">
        <v>0</v>
      </c>
      <c r="U401" s="27">
        <v>0</v>
      </c>
      <c r="V401" s="27">
        <v>0</v>
      </c>
      <c r="W401" s="27">
        <v>50000000</v>
      </c>
      <c r="X401" s="27"/>
      <c r="Y401" s="27"/>
      <c r="Z401" s="27"/>
      <c r="AA401" s="27">
        <v>0</v>
      </c>
      <c r="AB401" s="27"/>
      <c r="AC401" s="27">
        <v>0</v>
      </c>
      <c r="AD401" s="27">
        <v>0</v>
      </c>
      <c r="AE401" s="27"/>
      <c r="AF401" s="27"/>
      <c r="AG401" s="27"/>
      <c r="AH401" s="27"/>
      <c r="AI401" s="27"/>
      <c r="AJ401" s="27"/>
      <c r="AK401" s="27">
        <v>0</v>
      </c>
      <c r="AL401" s="27">
        <v>0</v>
      </c>
      <c r="AM401" s="108"/>
      <c r="AN401" s="40"/>
      <c r="AO401" s="27">
        <v>0</v>
      </c>
      <c r="AP401" s="28">
        <v>0</v>
      </c>
      <c r="AQ401" s="28"/>
      <c r="AR401" s="27">
        <f t="shared" si="254"/>
        <v>50000000</v>
      </c>
    </row>
    <row r="402" spans="1:44" s="29" customFormat="1" ht="69" customHeight="1" x14ac:dyDescent="0.25">
      <c r="A402" s="21"/>
      <c r="B402" s="20"/>
      <c r="C402" s="719">
        <v>19</v>
      </c>
      <c r="D402" s="730" t="s">
        <v>464</v>
      </c>
      <c r="E402" s="769" t="s">
        <v>511</v>
      </c>
      <c r="F402" s="769" t="s">
        <v>512</v>
      </c>
      <c r="G402" s="97"/>
      <c r="H402" s="767">
        <v>86</v>
      </c>
      <c r="I402" s="762" t="s">
        <v>513</v>
      </c>
      <c r="J402" s="58">
        <v>0</v>
      </c>
      <c r="K402" s="90">
        <v>3</v>
      </c>
      <c r="L402" s="657">
        <v>0</v>
      </c>
      <c r="M402" s="1029"/>
      <c r="N402" s="959"/>
      <c r="O402" s="942"/>
      <c r="P402" s="767" t="s">
        <v>42</v>
      </c>
      <c r="Q402" s="27"/>
      <c r="R402" s="27"/>
      <c r="S402" s="27"/>
      <c r="T402" s="27"/>
      <c r="U402" s="27"/>
      <c r="V402" s="27"/>
      <c r="W402" s="812">
        <f>96673401-50000000</f>
        <v>46673401</v>
      </c>
      <c r="X402" s="27"/>
      <c r="Y402" s="27"/>
      <c r="Z402" s="27"/>
      <c r="AA402" s="27"/>
      <c r="AB402" s="27"/>
      <c r="AC402" s="27"/>
      <c r="AD402" s="27"/>
      <c r="AE402" s="27"/>
      <c r="AF402" s="27"/>
      <c r="AG402" s="27"/>
      <c r="AH402" s="27"/>
      <c r="AI402" s="27"/>
      <c r="AJ402" s="27"/>
      <c r="AK402" s="27"/>
      <c r="AL402" s="27"/>
      <c r="AM402" s="108"/>
      <c r="AN402" s="40"/>
      <c r="AO402" s="27"/>
      <c r="AP402" s="28"/>
      <c r="AQ402" s="28"/>
      <c r="AR402" s="27">
        <f t="shared" si="254"/>
        <v>46673401</v>
      </c>
    </row>
    <row r="403" spans="1:44" s="29" customFormat="1" ht="57" x14ac:dyDescent="0.25">
      <c r="A403" s="21"/>
      <c r="B403" s="20"/>
      <c r="C403" s="719"/>
      <c r="D403" s="30"/>
      <c r="E403" s="98"/>
      <c r="F403" s="98"/>
      <c r="G403" s="97"/>
      <c r="H403" s="767">
        <v>89</v>
      </c>
      <c r="I403" s="762" t="s">
        <v>514</v>
      </c>
      <c r="J403" s="58" t="s">
        <v>38</v>
      </c>
      <c r="K403" s="90">
        <v>13000</v>
      </c>
      <c r="L403" s="657">
        <v>15146</v>
      </c>
      <c r="M403" s="1029"/>
      <c r="N403" s="959"/>
      <c r="O403" s="942"/>
      <c r="P403" s="767" t="s">
        <v>42</v>
      </c>
      <c r="Q403" s="27">
        <v>0</v>
      </c>
      <c r="R403" s="27">
        <v>0</v>
      </c>
      <c r="S403" s="27">
        <v>0</v>
      </c>
      <c r="T403" s="27">
        <v>0</v>
      </c>
      <c r="U403" s="27">
        <v>0</v>
      </c>
      <c r="V403" s="27">
        <v>0</v>
      </c>
      <c r="W403" s="27">
        <v>0</v>
      </c>
      <c r="X403" s="27"/>
      <c r="Y403" s="27"/>
      <c r="Z403" s="27"/>
      <c r="AA403" s="27">
        <v>0</v>
      </c>
      <c r="AB403" s="27"/>
      <c r="AC403" s="27">
        <v>0</v>
      </c>
      <c r="AD403" s="27">
        <v>0</v>
      </c>
      <c r="AE403" s="27"/>
      <c r="AF403" s="27"/>
      <c r="AG403" s="27"/>
      <c r="AH403" s="27"/>
      <c r="AI403" s="27"/>
      <c r="AJ403" s="27"/>
      <c r="AK403" s="27">
        <v>0</v>
      </c>
      <c r="AL403" s="27">
        <v>0</v>
      </c>
      <c r="AM403" s="108"/>
      <c r="AN403" s="40"/>
      <c r="AO403" s="27">
        <v>0</v>
      </c>
      <c r="AP403" s="28">
        <v>0</v>
      </c>
      <c r="AQ403" s="28"/>
      <c r="AR403" s="27">
        <f t="shared" si="254"/>
        <v>0</v>
      </c>
    </row>
    <row r="404" spans="1:44" s="29" customFormat="1" ht="57" x14ac:dyDescent="0.25">
      <c r="A404" s="21"/>
      <c r="B404" s="20"/>
      <c r="C404" s="719"/>
      <c r="D404" s="30"/>
      <c r="E404" s="98"/>
      <c r="F404" s="98"/>
      <c r="G404" s="97"/>
      <c r="H404" s="767">
        <v>90</v>
      </c>
      <c r="I404" s="762" t="s">
        <v>515</v>
      </c>
      <c r="J404" s="58">
        <v>100</v>
      </c>
      <c r="K404" s="90">
        <v>115</v>
      </c>
      <c r="L404" s="657">
        <v>0</v>
      </c>
      <c r="M404" s="1029"/>
      <c r="N404" s="959"/>
      <c r="O404" s="942"/>
      <c r="P404" s="767" t="s">
        <v>42</v>
      </c>
      <c r="Q404" s="27">
        <v>0</v>
      </c>
      <c r="R404" s="27">
        <v>0</v>
      </c>
      <c r="S404" s="27">
        <v>0</v>
      </c>
      <c r="T404" s="27">
        <v>0</v>
      </c>
      <c r="U404" s="27">
        <v>0</v>
      </c>
      <c r="V404" s="27">
        <v>0</v>
      </c>
      <c r="W404" s="27">
        <v>10000000</v>
      </c>
      <c r="X404" s="27"/>
      <c r="Y404" s="27"/>
      <c r="Z404" s="27"/>
      <c r="AA404" s="27">
        <v>0</v>
      </c>
      <c r="AB404" s="27"/>
      <c r="AC404" s="27">
        <v>0</v>
      </c>
      <c r="AD404" s="27">
        <v>0</v>
      </c>
      <c r="AE404" s="27"/>
      <c r="AF404" s="27"/>
      <c r="AG404" s="27"/>
      <c r="AH404" s="27"/>
      <c r="AI404" s="27"/>
      <c r="AJ404" s="27"/>
      <c r="AK404" s="27">
        <v>0</v>
      </c>
      <c r="AL404" s="27">
        <v>0</v>
      </c>
      <c r="AM404" s="108">
        <v>40000000</v>
      </c>
      <c r="AN404" s="40"/>
      <c r="AO404" s="27">
        <v>0</v>
      </c>
      <c r="AP404" s="28">
        <v>0</v>
      </c>
      <c r="AQ404" s="28"/>
      <c r="AR404" s="27">
        <f>Q404+R404+S404+T404+U404+V404+W404+X404+Y404+Z404+AA404+AB404+AC404+AD404+AE404+AF404+AG404+AH404+AI404+AJ404+AK404+AL404+AM404+AN404+AO404+AP404+AQ404</f>
        <v>50000000</v>
      </c>
    </row>
    <row r="405" spans="1:44" s="29" customFormat="1" ht="71.25" x14ac:dyDescent="0.25">
      <c r="A405" s="21"/>
      <c r="B405" s="20"/>
      <c r="C405" s="719"/>
      <c r="D405" s="30"/>
      <c r="E405" s="98"/>
      <c r="F405" s="98"/>
      <c r="G405" s="97"/>
      <c r="H405" s="767">
        <v>91</v>
      </c>
      <c r="I405" s="762" t="s">
        <v>516</v>
      </c>
      <c r="J405" s="58">
        <v>0</v>
      </c>
      <c r="K405" s="90">
        <v>54</v>
      </c>
      <c r="L405" s="657">
        <v>0</v>
      </c>
      <c r="M405" s="1029"/>
      <c r="N405" s="959"/>
      <c r="O405" s="942"/>
      <c r="P405" s="767" t="s">
        <v>47</v>
      </c>
      <c r="Q405" s="27">
        <v>0</v>
      </c>
      <c r="R405" s="27">
        <v>0</v>
      </c>
      <c r="S405" s="27">
        <v>0</v>
      </c>
      <c r="T405" s="27">
        <v>0</v>
      </c>
      <c r="U405" s="27">
        <v>0</v>
      </c>
      <c r="V405" s="27">
        <v>0</v>
      </c>
      <c r="W405" s="27">
        <f>150000000+50000000-10000000</f>
        <v>190000000</v>
      </c>
      <c r="X405" s="27"/>
      <c r="Y405" s="27"/>
      <c r="Z405" s="27"/>
      <c r="AA405" s="27">
        <v>0</v>
      </c>
      <c r="AB405" s="27"/>
      <c r="AC405" s="27">
        <v>0</v>
      </c>
      <c r="AD405" s="27">
        <v>0</v>
      </c>
      <c r="AE405" s="27"/>
      <c r="AF405" s="27"/>
      <c r="AG405" s="27"/>
      <c r="AH405" s="27"/>
      <c r="AI405" s="27"/>
      <c r="AJ405" s="27"/>
      <c r="AK405" s="27">
        <v>0</v>
      </c>
      <c r="AL405" s="27">
        <v>0</v>
      </c>
      <c r="AM405" s="108"/>
      <c r="AN405" s="40"/>
      <c r="AO405" s="27">
        <v>0</v>
      </c>
      <c r="AP405" s="28">
        <v>0</v>
      </c>
      <c r="AQ405" s="28"/>
      <c r="AR405" s="27">
        <f t="shared" si="254"/>
        <v>190000000</v>
      </c>
    </row>
    <row r="406" spans="1:44" s="29" customFormat="1" ht="84.75" customHeight="1" x14ac:dyDescent="0.25">
      <c r="A406" s="21"/>
      <c r="B406" s="20"/>
      <c r="C406" s="719"/>
      <c r="D406" s="730"/>
      <c r="E406" s="769"/>
      <c r="F406" s="769"/>
      <c r="G406" s="99"/>
      <c r="H406" s="767">
        <v>92</v>
      </c>
      <c r="I406" s="762" t="s">
        <v>517</v>
      </c>
      <c r="J406" s="58">
        <v>0</v>
      </c>
      <c r="K406" s="87">
        <v>2</v>
      </c>
      <c r="L406" s="668">
        <v>10</v>
      </c>
      <c r="M406" s="1030"/>
      <c r="N406" s="949"/>
      <c r="O406" s="943"/>
      <c r="P406" s="767" t="s">
        <v>42</v>
      </c>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108"/>
      <c r="AN406" s="40"/>
      <c r="AO406" s="27"/>
      <c r="AP406" s="28"/>
      <c r="AQ406" s="28"/>
      <c r="AR406" s="27">
        <f t="shared" si="254"/>
        <v>0</v>
      </c>
    </row>
    <row r="407" spans="1:44" s="165" customFormat="1" ht="15" x14ac:dyDescent="0.25">
      <c r="A407" s="21"/>
      <c r="B407" s="20"/>
      <c r="C407" s="723"/>
      <c r="D407" s="733"/>
      <c r="E407" s="754"/>
      <c r="F407" s="754"/>
      <c r="G407" s="412"/>
      <c r="H407" s="161"/>
      <c r="I407" s="160"/>
      <c r="J407" s="401"/>
      <c r="K407" s="414"/>
      <c r="L407" s="414"/>
      <c r="M407" s="414"/>
      <c r="N407" s="163"/>
      <c r="O407" s="160"/>
      <c r="P407" s="161"/>
      <c r="Q407" s="164">
        <f t="shared" ref="Q407:W407" si="255">SUM(Q397:Q406)</f>
        <v>0</v>
      </c>
      <c r="R407" s="164">
        <f t="shared" si="255"/>
        <v>0</v>
      </c>
      <c r="S407" s="164">
        <f t="shared" si="255"/>
        <v>0</v>
      </c>
      <c r="T407" s="164">
        <f t="shared" si="255"/>
        <v>0</v>
      </c>
      <c r="U407" s="164">
        <f t="shared" si="255"/>
        <v>0</v>
      </c>
      <c r="V407" s="164">
        <f t="shared" si="255"/>
        <v>0</v>
      </c>
      <c r="W407" s="164">
        <f t="shared" si="255"/>
        <v>316673401</v>
      </c>
      <c r="X407" s="164">
        <f t="shared" ref="X407" si="256">SUM(X397:X406)</f>
        <v>0</v>
      </c>
      <c r="Y407" s="164">
        <f>SUM(Y397:Y406)</f>
        <v>0</v>
      </c>
      <c r="Z407" s="164">
        <f>SUM(Z397:Z406)</f>
        <v>0</v>
      </c>
      <c r="AA407" s="164">
        <f>SUM(AA397:AA406)</f>
        <v>0</v>
      </c>
      <c r="AB407" s="164"/>
      <c r="AC407" s="164">
        <f>SUM(AC397:AC406)</f>
        <v>0</v>
      </c>
      <c r="AD407" s="164">
        <f>SUM(AD397:AD406)</f>
        <v>0</v>
      </c>
      <c r="AE407" s="164">
        <f>SUM(AE397:AE406)</f>
        <v>236316152</v>
      </c>
      <c r="AF407" s="164">
        <f>SUM(AF397:AF406)</f>
        <v>0</v>
      </c>
      <c r="AG407" s="164"/>
      <c r="AH407" s="164">
        <f t="shared" ref="AH407:AM407" si="257">SUM(AH397:AH406)</f>
        <v>0</v>
      </c>
      <c r="AI407" s="164">
        <f t="shared" si="257"/>
        <v>0</v>
      </c>
      <c r="AJ407" s="164">
        <f t="shared" si="257"/>
        <v>0</v>
      </c>
      <c r="AK407" s="164">
        <f t="shared" si="257"/>
        <v>0</v>
      </c>
      <c r="AL407" s="164">
        <f t="shared" si="257"/>
        <v>0</v>
      </c>
      <c r="AM407" s="248">
        <f t="shared" si="257"/>
        <v>50000000</v>
      </c>
      <c r="AN407" s="164"/>
      <c r="AO407" s="164">
        <f>SUM(AO397:AO406)</f>
        <v>0</v>
      </c>
      <c r="AP407" s="164">
        <f>SUM(AP397:AP406)</f>
        <v>0</v>
      </c>
      <c r="AQ407" s="164">
        <f>SUM(AQ397:AQ406)</f>
        <v>0</v>
      </c>
      <c r="AR407" s="164">
        <f t="shared" si="254"/>
        <v>602989553</v>
      </c>
    </row>
    <row r="408" spans="1:44" s="165" customFormat="1" ht="15" x14ac:dyDescent="0.25">
      <c r="A408" s="21"/>
      <c r="B408" s="21"/>
      <c r="C408" s="760"/>
      <c r="D408" s="183"/>
      <c r="E408" s="403"/>
      <c r="F408" s="403"/>
      <c r="G408" s="183"/>
      <c r="H408" s="760"/>
      <c r="I408" s="183"/>
      <c r="J408" s="314"/>
      <c r="K408" s="314"/>
      <c r="L408" s="864"/>
      <c r="M408" s="864"/>
      <c r="N408" s="833"/>
      <c r="O408" s="829"/>
      <c r="P408" s="760"/>
      <c r="Q408" s="186"/>
      <c r="R408" s="186"/>
      <c r="S408" s="186"/>
      <c r="T408" s="186"/>
      <c r="U408" s="186"/>
      <c r="V408" s="186"/>
      <c r="W408" s="186"/>
      <c r="X408" s="186"/>
      <c r="Y408" s="186"/>
      <c r="Z408" s="186"/>
      <c r="AA408" s="186"/>
      <c r="AB408" s="186"/>
      <c r="AC408" s="186"/>
      <c r="AD408" s="186"/>
      <c r="AE408" s="186"/>
      <c r="AF408" s="186"/>
      <c r="AG408" s="186"/>
      <c r="AH408" s="186"/>
      <c r="AI408" s="186"/>
      <c r="AJ408" s="186"/>
      <c r="AK408" s="186"/>
      <c r="AL408" s="186"/>
      <c r="AM408" s="188"/>
      <c r="AN408" s="186"/>
      <c r="AO408" s="186"/>
      <c r="AP408" s="186"/>
      <c r="AQ408" s="186"/>
      <c r="AR408" s="205">
        <f t="shared" si="254"/>
        <v>0</v>
      </c>
    </row>
    <row r="409" spans="1:44" s="165" customFormat="1" ht="15" x14ac:dyDescent="0.25">
      <c r="A409" s="21"/>
      <c r="B409" s="21"/>
      <c r="C409" s="774"/>
      <c r="D409" s="732"/>
      <c r="E409" s="753"/>
      <c r="F409" s="753"/>
      <c r="G409" s="261">
        <v>21</v>
      </c>
      <c r="H409" s="1031" t="s">
        <v>518</v>
      </c>
      <c r="I409" s="933"/>
      <c r="J409" s="933"/>
      <c r="K409" s="933"/>
      <c r="L409" s="933"/>
      <c r="M409" s="933"/>
      <c r="N409" s="933"/>
      <c r="O409" s="933"/>
      <c r="P409" s="933"/>
      <c r="Q409" s="933"/>
      <c r="R409" s="194"/>
      <c r="S409" s="194"/>
      <c r="T409" s="194"/>
      <c r="U409" s="194"/>
      <c r="V409" s="194"/>
      <c r="W409" s="194"/>
      <c r="X409" s="194"/>
      <c r="Y409" s="194"/>
      <c r="Z409" s="194"/>
      <c r="AA409" s="194"/>
      <c r="AB409" s="194"/>
      <c r="AC409" s="194"/>
      <c r="AD409" s="194"/>
      <c r="AE409" s="194"/>
      <c r="AF409" s="194"/>
      <c r="AG409" s="194"/>
      <c r="AH409" s="194"/>
      <c r="AI409" s="194"/>
      <c r="AJ409" s="194"/>
      <c r="AK409" s="194"/>
      <c r="AL409" s="194"/>
      <c r="AM409" s="196"/>
      <c r="AN409" s="194"/>
      <c r="AO409" s="194"/>
      <c r="AP409" s="194"/>
      <c r="AQ409" s="194"/>
      <c r="AR409" s="197"/>
    </row>
    <row r="410" spans="1:44" s="29" customFormat="1" ht="57" x14ac:dyDescent="0.25">
      <c r="A410" s="21"/>
      <c r="B410" s="20"/>
      <c r="C410" s="718">
        <v>14</v>
      </c>
      <c r="D410" s="24" t="s">
        <v>468</v>
      </c>
      <c r="E410" s="753">
        <v>6.2E-2</v>
      </c>
      <c r="F410" s="753">
        <v>0.03</v>
      </c>
      <c r="G410" s="867"/>
      <c r="H410" s="767">
        <v>93</v>
      </c>
      <c r="I410" s="762" t="s">
        <v>519</v>
      </c>
      <c r="J410" s="58" t="s">
        <v>38</v>
      </c>
      <c r="K410" s="90">
        <v>18</v>
      </c>
      <c r="L410" s="657">
        <v>4</v>
      </c>
      <c r="M410" s="1028" t="s">
        <v>461</v>
      </c>
      <c r="N410" s="948" t="s">
        <v>520</v>
      </c>
      <c r="O410" s="941" t="s">
        <v>521</v>
      </c>
      <c r="P410" s="767" t="s">
        <v>42</v>
      </c>
      <c r="Q410" s="27">
        <v>0</v>
      </c>
      <c r="R410" s="27">
        <v>0</v>
      </c>
      <c r="S410" s="27">
        <v>0</v>
      </c>
      <c r="T410" s="27">
        <v>0</v>
      </c>
      <c r="U410" s="27">
        <v>0</v>
      </c>
      <c r="V410" s="27">
        <v>0</v>
      </c>
      <c r="W410" s="27">
        <v>0</v>
      </c>
      <c r="X410" s="27"/>
      <c r="Y410" s="27"/>
      <c r="Z410" s="27"/>
      <c r="AA410" s="27">
        <v>0</v>
      </c>
      <c r="AB410" s="27"/>
      <c r="AC410" s="27">
        <v>0</v>
      </c>
      <c r="AD410" s="27">
        <v>0</v>
      </c>
      <c r="AE410" s="106"/>
      <c r="AF410" s="106"/>
      <c r="AG410" s="106"/>
      <c r="AH410" s="106"/>
      <c r="AI410" s="106"/>
      <c r="AJ410" s="106"/>
      <c r="AK410" s="27">
        <v>0</v>
      </c>
      <c r="AL410" s="27">
        <v>0</v>
      </c>
      <c r="AM410" s="108">
        <v>0</v>
      </c>
      <c r="AN410" s="40"/>
      <c r="AO410" s="27">
        <v>0</v>
      </c>
      <c r="AP410" s="28">
        <v>0</v>
      </c>
      <c r="AQ410" s="28"/>
      <c r="AR410" s="27">
        <f t="shared" si="254"/>
        <v>0</v>
      </c>
    </row>
    <row r="411" spans="1:44" s="29" customFormat="1" ht="62.25" customHeight="1" x14ac:dyDescent="0.25">
      <c r="A411" s="21"/>
      <c r="B411" s="20"/>
      <c r="C411" s="719">
        <v>15</v>
      </c>
      <c r="D411" s="730" t="s">
        <v>459</v>
      </c>
      <c r="E411" s="769">
        <v>0.73229999999999995</v>
      </c>
      <c r="F411" s="769">
        <v>0.78</v>
      </c>
      <c r="G411" s="97"/>
      <c r="H411" s="767">
        <v>94</v>
      </c>
      <c r="I411" s="762" t="s">
        <v>522</v>
      </c>
      <c r="J411" s="58">
        <v>70</v>
      </c>
      <c r="K411" s="90">
        <v>30</v>
      </c>
      <c r="L411" s="657">
        <v>0</v>
      </c>
      <c r="M411" s="1029"/>
      <c r="N411" s="959"/>
      <c r="O411" s="942"/>
      <c r="P411" s="767" t="s">
        <v>42</v>
      </c>
      <c r="Q411" s="27">
        <v>0</v>
      </c>
      <c r="R411" s="27">
        <v>0</v>
      </c>
      <c r="S411" s="27">
        <v>0</v>
      </c>
      <c r="T411" s="27">
        <v>0</v>
      </c>
      <c r="U411" s="27">
        <v>0</v>
      </c>
      <c r="V411" s="27">
        <v>0</v>
      </c>
      <c r="W411" s="27">
        <v>253000000</v>
      </c>
      <c r="X411" s="27"/>
      <c r="Y411" s="27"/>
      <c r="Z411" s="27"/>
      <c r="AA411" s="27">
        <v>0</v>
      </c>
      <c r="AB411" s="27"/>
      <c r="AC411" s="27">
        <v>0</v>
      </c>
      <c r="AD411" s="27">
        <v>0</v>
      </c>
      <c r="AE411" s="15"/>
      <c r="AF411" s="15"/>
      <c r="AG411" s="15"/>
      <c r="AH411" s="15"/>
      <c r="AI411" s="15"/>
      <c r="AJ411" s="15"/>
      <c r="AK411" s="27">
        <v>0</v>
      </c>
      <c r="AL411" s="27">
        <v>0</v>
      </c>
      <c r="AM411" s="108">
        <v>0</v>
      </c>
      <c r="AN411" s="40"/>
      <c r="AO411" s="27">
        <v>0</v>
      </c>
      <c r="AP411" s="28">
        <v>0</v>
      </c>
      <c r="AQ411" s="28"/>
      <c r="AR411" s="27">
        <f t="shared" si="254"/>
        <v>253000000</v>
      </c>
    </row>
    <row r="412" spans="1:44" s="29" customFormat="1" ht="81.75" customHeight="1" x14ac:dyDescent="0.25">
      <c r="A412" s="21"/>
      <c r="B412" s="20"/>
      <c r="C412" s="719">
        <v>19</v>
      </c>
      <c r="D412" s="730" t="s">
        <v>464</v>
      </c>
      <c r="E412" s="769" t="s">
        <v>523</v>
      </c>
      <c r="F412" s="769" t="s">
        <v>524</v>
      </c>
      <c r="G412" s="97"/>
      <c r="H412" s="767">
        <v>95</v>
      </c>
      <c r="I412" s="762" t="s">
        <v>525</v>
      </c>
      <c r="J412" s="58">
        <v>0</v>
      </c>
      <c r="K412" s="90">
        <v>500</v>
      </c>
      <c r="L412" s="657">
        <v>463</v>
      </c>
      <c r="M412" s="1029"/>
      <c r="N412" s="959"/>
      <c r="O412" s="942"/>
      <c r="P412" s="767" t="s">
        <v>47</v>
      </c>
      <c r="Q412" s="27">
        <v>0</v>
      </c>
      <c r="R412" s="27">
        <v>0</v>
      </c>
      <c r="S412" s="27">
        <v>0</v>
      </c>
      <c r="T412" s="27">
        <v>0</v>
      </c>
      <c r="U412" s="27">
        <v>0</v>
      </c>
      <c r="V412" s="27">
        <v>0</v>
      </c>
      <c r="W412" s="27">
        <v>4500000</v>
      </c>
      <c r="X412" s="27"/>
      <c r="Y412" s="27"/>
      <c r="Z412" s="27"/>
      <c r="AA412" s="27">
        <v>0</v>
      </c>
      <c r="AB412" s="27"/>
      <c r="AC412" s="27">
        <v>0</v>
      </c>
      <c r="AD412" s="27">
        <v>0</v>
      </c>
      <c r="AE412" s="15"/>
      <c r="AF412" s="15"/>
      <c r="AG412" s="15"/>
      <c r="AH412" s="15"/>
      <c r="AI412" s="15"/>
      <c r="AJ412" s="15"/>
      <c r="AK412" s="27">
        <v>0</v>
      </c>
      <c r="AL412" s="27">
        <v>0</v>
      </c>
      <c r="AM412" s="108">
        <v>13700000</v>
      </c>
      <c r="AN412" s="40"/>
      <c r="AO412" s="27">
        <v>0</v>
      </c>
      <c r="AP412" s="28">
        <v>0</v>
      </c>
      <c r="AQ412" s="28"/>
      <c r="AR412" s="27">
        <f t="shared" si="254"/>
        <v>18200000</v>
      </c>
    </row>
    <row r="413" spans="1:44" s="29" customFormat="1" ht="48.75" customHeight="1" x14ac:dyDescent="0.25">
      <c r="A413" s="21"/>
      <c r="B413" s="20"/>
      <c r="C413" s="723"/>
      <c r="D413" s="32"/>
      <c r="E413" s="32"/>
      <c r="F413" s="415"/>
      <c r="G413" s="99"/>
      <c r="H413" s="767">
        <v>96</v>
      </c>
      <c r="I413" s="762" t="s">
        <v>526</v>
      </c>
      <c r="J413" s="58">
        <v>0</v>
      </c>
      <c r="K413" s="90">
        <v>2</v>
      </c>
      <c r="L413" s="657">
        <v>0</v>
      </c>
      <c r="M413" s="1030"/>
      <c r="N413" s="949"/>
      <c r="O413" s="943"/>
      <c r="P413" s="767" t="s">
        <v>42</v>
      </c>
      <c r="Q413" s="27">
        <v>0</v>
      </c>
      <c r="R413" s="27">
        <v>0</v>
      </c>
      <c r="S413" s="27">
        <v>0</v>
      </c>
      <c r="T413" s="27">
        <v>0</v>
      </c>
      <c r="U413" s="27">
        <v>0</v>
      </c>
      <c r="V413" s="27">
        <v>0</v>
      </c>
      <c r="W413" s="27">
        <v>0</v>
      </c>
      <c r="X413" s="27"/>
      <c r="Y413" s="27"/>
      <c r="Z413" s="27"/>
      <c r="AA413" s="27">
        <v>0</v>
      </c>
      <c r="AB413" s="27"/>
      <c r="AC413" s="27">
        <v>0</v>
      </c>
      <c r="AD413" s="27">
        <v>0</v>
      </c>
      <c r="AE413" s="15"/>
      <c r="AF413" s="15"/>
      <c r="AG413" s="15"/>
      <c r="AH413" s="15"/>
      <c r="AI413" s="15"/>
      <c r="AJ413" s="15"/>
      <c r="AK413" s="27">
        <v>0</v>
      </c>
      <c r="AL413" s="27">
        <v>0</v>
      </c>
      <c r="AM413" s="108">
        <v>16300000</v>
      </c>
      <c r="AN413" s="40"/>
      <c r="AO413" s="27">
        <v>0</v>
      </c>
      <c r="AP413" s="28">
        <v>0</v>
      </c>
      <c r="AQ413" s="28"/>
      <c r="AR413" s="27">
        <f t="shared" si="254"/>
        <v>16300000</v>
      </c>
    </row>
    <row r="414" spans="1:44" s="165" customFormat="1" ht="15" x14ac:dyDescent="0.25">
      <c r="A414" s="21"/>
      <c r="B414" s="21"/>
      <c r="C414" s="761"/>
      <c r="D414" s="762"/>
      <c r="E414" s="604"/>
      <c r="F414" s="80"/>
      <c r="G414" s="160"/>
      <c r="H414" s="161"/>
      <c r="I414" s="160"/>
      <c r="J414" s="401"/>
      <c r="K414" s="414"/>
      <c r="L414" s="414"/>
      <c r="M414" s="414"/>
      <c r="N414" s="163"/>
      <c r="O414" s="160"/>
      <c r="P414" s="161"/>
      <c r="Q414" s="164">
        <f t="shared" ref="Q414:AA414" si="258">SUM(Q410:Q413)</f>
        <v>0</v>
      </c>
      <c r="R414" s="164">
        <f t="shared" si="258"/>
        <v>0</v>
      </c>
      <c r="S414" s="164">
        <f t="shared" si="258"/>
        <v>0</v>
      </c>
      <c r="T414" s="164">
        <f t="shared" si="258"/>
        <v>0</v>
      </c>
      <c r="U414" s="164">
        <f t="shared" si="258"/>
        <v>0</v>
      </c>
      <c r="V414" s="164">
        <f t="shared" si="258"/>
        <v>0</v>
      </c>
      <c r="W414" s="164">
        <f t="shared" si="258"/>
        <v>257500000</v>
      </c>
      <c r="X414" s="164">
        <f t="shared" si="258"/>
        <v>0</v>
      </c>
      <c r="Y414" s="164">
        <f t="shared" si="258"/>
        <v>0</v>
      </c>
      <c r="Z414" s="164">
        <f t="shared" si="258"/>
        <v>0</v>
      </c>
      <c r="AA414" s="164">
        <f t="shared" si="258"/>
        <v>0</v>
      </c>
      <c r="AB414" s="164"/>
      <c r="AC414" s="164">
        <f>SUM(AC410:AC413)</f>
        <v>0</v>
      </c>
      <c r="AD414" s="164">
        <f>SUM(AD410:AD413)</f>
        <v>0</v>
      </c>
      <c r="AE414" s="164">
        <f>SUM(AE410:AE413)</f>
        <v>0</v>
      </c>
      <c r="AF414" s="164">
        <f>SUM(AF410:AF413)</f>
        <v>0</v>
      </c>
      <c r="AG414" s="164"/>
      <c r="AH414" s="164">
        <f t="shared" ref="AH414:AM414" si="259">SUM(AH410:AH413)</f>
        <v>0</v>
      </c>
      <c r="AI414" s="164">
        <f t="shared" si="259"/>
        <v>0</v>
      </c>
      <c r="AJ414" s="164">
        <f t="shared" si="259"/>
        <v>0</v>
      </c>
      <c r="AK414" s="164">
        <f t="shared" si="259"/>
        <v>0</v>
      </c>
      <c r="AL414" s="164">
        <f t="shared" si="259"/>
        <v>0</v>
      </c>
      <c r="AM414" s="248">
        <f t="shared" si="259"/>
        <v>30000000</v>
      </c>
      <c r="AN414" s="164"/>
      <c r="AO414" s="164">
        <f>SUM(AO410:AO413)</f>
        <v>0</v>
      </c>
      <c r="AP414" s="164">
        <f>SUM(AP410:AP413)</f>
        <v>0</v>
      </c>
      <c r="AQ414" s="164">
        <f>SUM(AQ410:AQ413)</f>
        <v>0</v>
      </c>
      <c r="AR414" s="164">
        <f t="shared" si="254"/>
        <v>287500000</v>
      </c>
    </row>
    <row r="415" spans="1:44" s="165" customFormat="1" ht="15" x14ac:dyDescent="0.25">
      <c r="A415" s="21"/>
      <c r="B415" s="21"/>
      <c r="C415" s="760"/>
      <c r="D415" s="183"/>
      <c r="E415" s="403"/>
      <c r="F415" s="403"/>
      <c r="G415" s="183"/>
      <c r="H415" s="760"/>
      <c r="I415" s="183"/>
      <c r="J415" s="314"/>
      <c r="K415" s="314"/>
      <c r="L415" s="864"/>
      <c r="M415" s="864"/>
      <c r="N415" s="833"/>
      <c r="O415" s="829"/>
      <c r="P415" s="760"/>
      <c r="Q415" s="186"/>
      <c r="R415" s="186"/>
      <c r="S415" s="186"/>
      <c r="T415" s="186"/>
      <c r="U415" s="186"/>
      <c r="V415" s="186"/>
      <c r="W415" s="186"/>
      <c r="X415" s="186"/>
      <c r="Y415" s="186"/>
      <c r="Z415" s="186"/>
      <c r="AA415" s="186"/>
      <c r="AB415" s="186"/>
      <c r="AC415" s="186"/>
      <c r="AD415" s="186"/>
      <c r="AE415" s="186"/>
      <c r="AF415" s="186"/>
      <c r="AG415" s="186"/>
      <c r="AH415" s="186"/>
      <c r="AI415" s="186"/>
      <c r="AJ415" s="186"/>
      <c r="AK415" s="186"/>
      <c r="AL415" s="186"/>
      <c r="AM415" s="188"/>
      <c r="AN415" s="186"/>
      <c r="AO415" s="186"/>
      <c r="AP415" s="186"/>
      <c r="AQ415" s="186"/>
      <c r="AR415" s="205"/>
    </row>
    <row r="416" spans="1:44" s="165" customFormat="1" ht="15" x14ac:dyDescent="0.25">
      <c r="A416" s="21"/>
      <c r="B416" s="21"/>
      <c r="C416" s="761"/>
      <c r="D416" s="159"/>
      <c r="E416" s="83"/>
      <c r="F416" s="83"/>
      <c r="G416" s="193">
        <v>22</v>
      </c>
      <c r="H416" s="933" t="s">
        <v>527</v>
      </c>
      <c r="I416" s="933"/>
      <c r="J416" s="933"/>
      <c r="K416" s="933"/>
      <c r="L416" s="933"/>
      <c r="M416" s="933"/>
      <c r="N416" s="933"/>
      <c r="O416" s="933"/>
      <c r="P416" s="933"/>
      <c r="Q416" s="933"/>
      <c r="R416" s="194"/>
      <c r="S416" s="194"/>
      <c r="T416" s="194"/>
      <c r="U416" s="194"/>
      <c r="V416" s="194"/>
      <c r="W416" s="194"/>
      <c r="X416" s="194"/>
      <c r="Y416" s="194"/>
      <c r="Z416" s="194"/>
      <c r="AA416" s="194"/>
      <c r="AB416" s="194"/>
      <c r="AC416" s="194"/>
      <c r="AD416" s="194"/>
      <c r="AE416" s="194"/>
      <c r="AF416" s="194"/>
      <c r="AG416" s="194"/>
      <c r="AH416" s="194"/>
      <c r="AI416" s="194"/>
      <c r="AJ416" s="194"/>
      <c r="AK416" s="194"/>
      <c r="AL416" s="194"/>
      <c r="AM416" s="196"/>
      <c r="AN416" s="194"/>
      <c r="AO416" s="194"/>
      <c r="AP416" s="194"/>
      <c r="AQ416" s="194"/>
      <c r="AR416" s="197"/>
    </row>
    <row r="417" spans="1:44" s="29" customFormat="1" ht="131.25" customHeight="1" x14ac:dyDescent="0.25">
      <c r="A417" s="21"/>
      <c r="B417" s="21"/>
      <c r="C417" s="761" t="s">
        <v>482</v>
      </c>
      <c r="D417" s="762" t="s">
        <v>483</v>
      </c>
      <c r="E417" s="83" t="s">
        <v>528</v>
      </c>
      <c r="F417" s="83" t="s">
        <v>529</v>
      </c>
      <c r="G417" s="762"/>
      <c r="H417" s="767">
        <v>97</v>
      </c>
      <c r="I417" s="762" t="s">
        <v>530</v>
      </c>
      <c r="J417" s="58" t="s">
        <v>38</v>
      </c>
      <c r="K417" s="87">
        <v>33</v>
      </c>
      <c r="L417" s="667">
        <v>0</v>
      </c>
      <c r="M417" s="813" t="s">
        <v>461</v>
      </c>
      <c r="N417" s="39" t="s">
        <v>531</v>
      </c>
      <c r="O417" s="762" t="s">
        <v>532</v>
      </c>
      <c r="P417" s="767" t="s">
        <v>42</v>
      </c>
      <c r="Q417" s="27">
        <v>0</v>
      </c>
      <c r="R417" s="27">
        <v>0</v>
      </c>
      <c r="S417" s="27">
        <v>0</v>
      </c>
      <c r="T417" s="27">
        <v>0</v>
      </c>
      <c r="U417" s="27">
        <v>0</v>
      </c>
      <c r="V417" s="27">
        <v>0</v>
      </c>
      <c r="W417" s="27">
        <v>113300000</v>
      </c>
      <c r="X417" s="27"/>
      <c r="Y417" s="27"/>
      <c r="Z417" s="27"/>
      <c r="AA417" s="27">
        <v>0</v>
      </c>
      <c r="AB417" s="27"/>
      <c r="AC417" s="27">
        <v>0</v>
      </c>
      <c r="AD417" s="27">
        <v>0</v>
      </c>
      <c r="AE417" s="106"/>
      <c r="AF417" s="106"/>
      <c r="AG417" s="106"/>
      <c r="AH417" s="106"/>
      <c r="AI417" s="106"/>
      <c r="AJ417" s="106"/>
      <c r="AK417" s="106">
        <v>0</v>
      </c>
      <c r="AL417" s="27">
        <v>0</v>
      </c>
      <c r="AM417" s="108">
        <v>0</v>
      </c>
      <c r="AN417" s="40"/>
      <c r="AO417" s="27">
        <v>0</v>
      </c>
      <c r="AP417" s="28">
        <v>0</v>
      </c>
      <c r="AQ417" s="28"/>
      <c r="AR417" s="27">
        <f t="shared" si="254"/>
        <v>113300000</v>
      </c>
    </row>
    <row r="418" spans="1:44" s="165" customFormat="1" ht="15" x14ac:dyDescent="0.25">
      <c r="A418" s="21"/>
      <c r="B418" s="158"/>
      <c r="C418" s="761"/>
      <c r="D418" s="762"/>
      <c r="E418" s="416"/>
      <c r="F418" s="416"/>
      <c r="G418" s="160"/>
      <c r="H418" s="161"/>
      <c r="I418" s="160"/>
      <c r="J418" s="401"/>
      <c r="K418" s="414"/>
      <c r="L418" s="414"/>
      <c r="M418" s="414"/>
      <c r="N418" s="163"/>
      <c r="O418" s="160"/>
      <c r="P418" s="161"/>
      <c r="Q418" s="164">
        <f t="shared" ref="Q418:AA418" si="260">SUM(Q417)</f>
        <v>0</v>
      </c>
      <c r="R418" s="164">
        <f t="shared" si="260"/>
        <v>0</v>
      </c>
      <c r="S418" s="164">
        <f t="shared" si="260"/>
        <v>0</v>
      </c>
      <c r="T418" s="164">
        <f t="shared" si="260"/>
        <v>0</v>
      </c>
      <c r="U418" s="164">
        <f t="shared" si="260"/>
        <v>0</v>
      </c>
      <c r="V418" s="164">
        <f t="shared" si="260"/>
        <v>0</v>
      </c>
      <c r="W418" s="164">
        <f t="shared" si="260"/>
        <v>113300000</v>
      </c>
      <c r="X418" s="164">
        <f t="shared" si="260"/>
        <v>0</v>
      </c>
      <c r="Y418" s="164">
        <f t="shared" si="260"/>
        <v>0</v>
      </c>
      <c r="Z418" s="164">
        <f t="shared" si="260"/>
        <v>0</v>
      </c>
      <c r="AA418" s="164">
        <f t="shared" si="260"/>
        <v>0</v>
      </c>
      <c r="AB418" s="164"/>
      <c r="AC418" s="164">
        <f>SUM(AC417)</f>
        <v>0</v>
      </c>
      <c r="AD418" s="164">
        <f>SUM(AD417)</f>
        <v>0</v>
      </c>
      <c r="AE418" s="164">
        <f>SUM(AE417)</f>
        <v>0</v>
      </c>
      <c r="AF418" s="164">
        <f t="shared" ref="AF418" si="261">SUM(AF417)</f>
        <v>0</v>
      </c>
      <c r="AG418" s="164">
        <f t="shared" ref="AG418" si="262">SUM(AG417)</f>
        <v>0</v>
      </c>
      <c r="AH418" s="164">
        <f t="shared" ref="AH418:AM418" si="263">SUM(AH417)</f>
        <v>0</v>
      </c>
      <c r="AI418" s="164">
        <f t="shared" si="263"/>
        <v>0</v>
      </c>
      <c r="AJ418" s="164">
        <f t="shared" si="263"/>
        <v>0</v>
      </c>
      <c r="AK418" s="164">
        <f t="shared" si="263"/>
        <v>0</v>
      </c>
      <c r="AL418" s="164">
        <f t="shared" si="263"/>
        <v>0</v>
      </c>
      <c r="AM418" s="248">
        <f t="shared" si="263"/>
        <v>0</v>
      </c>
      <c r="AN418" s="164"/>
      <c r="AO418" s="164">
        <f>SUM(AO417)</f>
        <v>0</v>
      </c>
      <c r="AP418" s="164">
        <f>SUM(AP417)</f>
        <v>0</v>
      </c>
      <c r="AQ418" s="164">
        <f>SUM(AQ417)</f>
        <v>0</v>
      </c>
      <c r="AR418" s="164">
        <f t="shared" si="254"/>
        <v>113300000</v>
      </c>
    </row>
    <row r="419" spans="1:44" s="165" customFormat="1" ht="15" x14ac:dyDescent="0.25">
      <c r="A419" s="21"/>
      <c r="B419" s="227"/>
      <c r="C419" s="168"/>
      <c r="D419" s="167"/>
      <c r="E419" s="409"/>
      <c r="F419" s="409"/>
      <c r="G419" s="167"/>
      <c r="H419" s="168"/>
      <c r="I419" s="167"/>
      <c r="J419" s="410"/>
      <c r="K419" s="410"/>
      <c r="L419" s="410"/>
      <c r="M419" s="410"/>
      <c r="N419" s="170"/>
      <c r="O419" s="167"/>
      <c r="P419" s="168"/>
      <c r="Q419" s="171">
        <f t="shared" ref="Q419:AA419" si="264">Q418+Q414+Q407+Q394</f>
        <v>0</v>
      </c>
      <c r="R419" s="171">
        <f t="shared" si="264"/>
        <v>0</v>
      </c>
      <c r="S419" s="171">
        <f t="shared" si="264"/>
        <v>0</v>
      </c>
      <c r="T419" s="171">
        <f t="shared" si="264"/>
        <v>0</v>
      </c>
      <c r="U419" s="171">
        <f t="shared" si="264"/>
        <v>0</v>
      </c>
      <c r="V419" s="171">
        <f t="shared" si="264"/>
        <v>0</v>
      </c>
      <c r="W419" s="171">
        <f t="shared" si="264"/>
        <v>870473401</v>
      </c>
      <c r="X419" s="171">
        <f t="shared" si="264"/>
        <v>0</v>
      </c>
      <c r="Y419" s="171">
        <f t="shared" si="264"/>
        <v>0</v>
      </c>
      <c r="Z419" s="171">
        <f t="shared" si="264"/>
        <v>0</v>
      </c>
      <c r="AA419" s="171">
        <f t="shared" si="264"/>
        <v>0</v>
      </c>
      <c r="AB419" s="171"/>
      <c r="AC419" s="171">
        <f>AC418+AC414+AC407+AC394</f>
        <v>0</v>
      </c>
      <c r="AD419" s="171">
        <f>AD418+AD414+AD407+AD394</f>
        <v>0</v>
      </c>
      <c r="AE419" s="171">
        <f>AE418+AE414+AE407+AE394</f>
        <v>236316152</v>
      </c>
      <c r="AF419" s="171">
        <f t="shared" ref="AF419" si="265">AF418+AF414+AF407+AF394</f>
        <v>0</v>
      </c>
      <c r="AG419" s="171">
        <f t="shared" ref="AG419" si="266">AG418+AG414+AG407+AG394</f>
        <v>0</v>
      </c>
      <c r="AH419" s="171">
        <f t="shared" ref="AH419:AM419" si="267">AH418+AH414+AH407+AH394</f>
        <v>0</v>
      </c>
      <c r="AI419" s="171">
        <f t="shared" si="267"/>
        <v>0</v>
      </c>
      <c r="AJ419" s="171">
        <f t="shared" si="267"/>
        <v>0</v>
      </c>
      <c r="AK419" s="171">
        <f t="shared" si="267"/>
        <v>0</v>
      </c>
      <c r="AL419" s="171">
        <f t="shared" si="267"/>
        <v>0</v>
      </c>
      <c r="AM419" s="250">
        <f t="shared" si="267"/>
        <v>80000000</v>
      </c>
      <c r="AN419" s="171"/>
      <c r="AO419" s="171">
        <f>AO418+AO414+AO407+AO394</f>
        <v>0</v>
      </c>
      <c r="AP419" s="171">
        <f>AP418+AP414+AP407+AP394</f>
        <v>0</v>
      </c>
      <c r="AQ419" s="171">
        <f>AQ418+AQ414+AQ407+AQ394</f>
        <v>0</v>
      </c>
      <c r="AR419" s="171">
        <f t="shared" si="254"/>
        <v>1186789553</v>
      </c>
    </row>
    <row r="420" spans="1:44" s="165" customFormat="1" ht="15" x14ac:dyDescent="0.25">
      <c r="A420" s="21"/>
      <c r="B420" s="417"/>
      <c r="C420" s="768"/>
      <c r="D420" s="417"/>
      <c r="E420" s="418"/>
      <c r="F420" s="418"/>
      <c r="G420" s="417"/>
      <c r="H420" s="768"/>
      <c r="I420" s="417"/>
      <c r="J420" s="419"/>
      <c r="K420" s="419"/>
      <c r="L420" s="420"/>
      <c r="M420" s="420"/>
      <c r="N420" s="421"/>
      <c r="O420" s="422"/>
      <c r="P420" s="768"/>
      <c r="Q420" s="284"/>
      <c r="R420" s="284"/>
      <c r="S420" s="284"/>
      <c r="T420" s="284"/>
      <c r="U420" s="284"/>
      <c r="V420" s="284"/>
      <c r="W420" s="103"/>
      <c r="X420" s="284"/>
      <c r="Y420" s="284"/>
      <c r="Z420" s="284"/>
      <c r="AA420" s="284"/>
      <c r="AB420" s="284"/>
      <c r="AC420" s="284"/>
      <c r="AD420" s="284"/>
      <c r="AE420" s="423"/>
      <c r="AF420" s="423"/>
      <c r="AG420" s="423"/>
      <c r="AH420" s="423"/>
      <c r="AI420" s="423"/>
      <c r="AJ420" s="423"/>
      <c r="AK420" s="284"/>
      <c r="AL420" s="284"/>
      <c r="AM420" s="287"/>
      <c r="AN420" s="103"/>
      <c r="AO420" s="284"/>
      <c r="AP420" s="284"/>
      <c r="AQ420" s="284"/>
      <c r="AR420" s="424"/>
    </row>
    <row r="421" spans="1:44" s="165" customFormat="1" x14ac:dyDescent="0.25">
      <c r="A421" s="21"/>
      <c r="B421" s="243">
        <v>7</v>
      </c>
      <c r="C421" s="148" t="s">
        <v>533</v>
      </c>
      <c r="D421" s="149"/>
      <c r="E421" s="149"/>
      <c r="F421" s="149"/>
      <c r="G421" s="149"/>
      <c r="H421" s="150"/>
      <c r="I421" s="149"/>
      <c r="J421" s="149"/>
      <c r="K421" s="149"/>
      <c r="L421" s="149"/>
      <c r="M421" s="149"/>
      <c r="N421" s="151"/>
      <c r="O421" s="149"/>
      <c r="P421" s="149"/>
      <c r="Q421" s="149"/>
      <c r="R421" s="149"/>
      <c r="S421" s="149"/>
      <c r="T421" s="149"/>
      <c r="U421" s="149"/>
      <c r="V421" s="149"/>
      <c r="W421" s="149"/>
      <c r="X421" s="149"/>
      <c r="Y421" s="149"/>
      <c r="Z421" s="149"/>
      <c r="AA421" s="149"/>
      <c r="AB421" s="149"/>
      <c r="AC421" s="149"/>
      <c r="AD421" s="149"/>
      <c r="AE421" s="149"/>
      <c r="AF421" s="149"/>
      <c r="AG421" s="149"/>
      <c r="AH421" s="149"/>
      <c r="AI421" s="149"/>
      <c r="AJ421" s="149"/>
      <c r="AK421" s="149"/>
      <c r="AL421" s="149"/>
      <c r="AM421" s="152"/>
      <c r="AN421" s="149"/>
      <c r="AO421" s="149"/>
      <c r="AP421" s="149"/>
      <c r="AQ421" s="149"/>
      <c r="AR421" s="153"/>
    </row>
    <row r="422" spans="1:44" s="165" customFormat="1" ht="15" x14ac:dyDescent="0.25">
      <c r="A422" s="21"/>
      <c r="B422" s="190"/>
      <c r="C422" s="760"/>
      <c r="D422" s="183"/>
      <c r="E422" s="760"/>
      <c r="F422" s="761"/>
      <c r="G422" s="337">
        <v>23</v>
      </c>
      <c r="H422" s="933" t="s">
        <v>534</v>
      </c>
      <c r="I422" s="933"/>
      <c r="J422" s="933"/>
      <c r="K422" s="933"/>
      <c r="L422" s="933"/>
      <c r="M422" s="933"/>
      <c r="N422" s="933"/>
      <c r="O422" s="933"/>
      <c r="P422" s="933"/>
      <c r="Q422" s="933"/>
      <c r="R422" s="194"/>
      <c r="S422" s="194"/>
      <c r="T422" s="194"/>
      <c r="U422" s="194"/>
      <c r="V422" s="194"/>
      <c r="W422" s="194"/>
      <c r="X422" s="194"/>
      <c r="Y422" s="194"/>
      <c r="Z422" s="194"/>
      <c r="AA422" s="194"/>
      <c r="AB422" s="194"/>
      <c r="AC422" s="194"/>
      <c r="AD422" s="194"/>
      <c r="AE422" s="194"/>
      <c r="AF422" s="194"/>
      <c r="AG422" s="194"/>
      <c r="AH422" s="194"/>
      <c r="AI422" s="194"/>
      <c r="AJ422" s="194"/>
      <c r="AK422" s="194"/>
      <c r="AL422" s="194"/>
      <c r="AM422" s="196"/>
      <c r="AN422" s="194"/>
      <c r="AO422" s="194"/>
      <c r="AP422" s="194"/>
      <c r="AQ422" s="194"/>
      <c r="AR422" s="197"/>
    </row>
    <row r="423" spans="1:44" s="29" customFormat="1" ht="61.5" customHeight="1" x14ac:dyDescent="0.25">
      <c r="A423" s="20"/>
      <c r="B423" s="190"/>
      <c r="C423" s="774"/>
      <c r="D423" s="24"/>
      <c r="E423" s="83"/>
      <c r="F423" s="83"/>
      <c r="G423" s="24"/>
      <c r="H423" s="767">
        <v>98</v>
      </c>
      <c r="I423" s="762" t="s">
        <v>535</v>
      </c>
      <c r="J423" s="58">
        <v>60</v>
      </c>
      <c r="K423" s="87">
        <v>55</v>
      </c>
      <c r="L423" s="669">
        <v>0</v>
      </c>
      <c r="M423" s="1023" t="s">
        <v>461</v>
      </c>
      <c r="N423" s="948" t="s">
        <v>536</v>
      </c>
      <c r="O423" s="941" t="s">
        <v>537</v>
      </c>
      <c r="P423" s="767" t="s">
        <v>47</v>
      </c>
      <c r="Q423" s="27">
        <v>0</v>
      </c>
      <c r="R423" s="27">
        <v>0</v>
      </c>
      <c r="S423" s="27">
        <v>0</v>
      </c>
      <c r="T423" s="27">
        <v>0</v>
      </c>
      <c r="U423" s="27">
        <v>0</v>
      </c>
      <c r="V423" s="27">
        <v>0</v>
      </c>
      <c r="W423" s="27">
        <v>20600000</v>
      </c>
      <c r="X423" s="27"/>
      <c r="Y423" s="27"/>
      <c r="Z423" s="27"/>
      <c r="AA423" s="27">
        <v>0</v>
      </c>
      <c r="AB423" s="27"/>
      <c r="AC423" s="27">
        <v>0</v>
      </c>
      <c r="AD423" s="27">
        <v>0</v>
      </c>
      <c r="AE423" s="11"/>
      <c r="AF423" s="11"/>
      <c r="AG423" s="11"/>
      <c r="AH423" s="11"/>
      <c r="AI423" s="11"/>
      <c r="AJ423" s="11"/>
      <c r="AK423" s="27">
        <v>0</v>
      </c>
      <c r="AL423" s="27">
        <v>0</v>
      </c>
      <c r="AM423" s="108">
        <v>0</v>
      </c>
      <c r="AN423" s="40"/>
      <c r="AO423" s="27">
        <v>0</v>
      </c>
      <c r="AP423" s="28">
        <v>0</v>
      </c>
      <c r="AQ423" s="28"/>
      <c r="AR423" s="27">
        <f t="shared" si="254"/>
        <v>20600000</v>
      </c>
    </row>
    <row r="424" spans="1:44" s="29" customFormat="1" ht="87" customHeight="1" x14ac:dyDescent="0.25">
      <c r="A424" s="20"/>
      <c r="B424" s="21"/>
      <c r="C424" s="716">
        <v>16</v>
      </c>
      <c r="D424" s="730" t="s">
        <v>538</v>
      </c>
      <c r="E424" s="12">
        <v>45</v>
      </c>
      <c r="F424" s="12">
        <v>90</v>
      </c>
      <c r="G424" s="30"/>
      <c r="H424" s="767">
        <v>99</v>
      </c>
      <c r="I424" s="762" t="s">
        <v>539</v>
      </c>
      <c r="J424" s="58">
        <v>76</v>
      </c>
      <c r="K424" s="90">
        <v>150</v>
      </c>
      <c r="L424" s="657">
        <v>0</v>
      </c>
      <c r="M424" s="1027"/>
      <c r="N424" s="959"/>
      <c r="O424" s="942"/>
      <c r="P424" s="767" t="s">
        <v>47</v>
      </c>
      <c r="Q424" s="27">
        <v>0</v>
      </c>
      <c r="R424" s="27">
        <v>0</v>
      </c>
      <c r="S424" s="27">
        <v>0</v>
      </c>
      <c r="T424" s="27">
        <v>0</v>
      </c>
      <c r="U424" s="27">
        <v>0</v>
      </c>
      <c r="V424" s="27">
        <v>0</v>
      </c>
      <c r="W424" s="27">
        <v>41200000</v>
      </c>
      <c r="X424" s="27"/>
      <c r="Y424" s="27"/>
      <c r="Z424" s="27"/>
      <c r="AA424" s="27">
        <v>0</v>
      </c>
      <c r="AB424" s="27"/>
      <c r="AC424" s="27">
        <v>0</v>
      </c>
      <c r="AD424" s="27">
        <v>0</v>
      </c>
      <c r="AE424" s="11"/>
      <c r="AF424" s="11"/>
      <c r="AG424" s="11"/>
      <c r="AH424" s="11"/>
      <c r="AI424" s="11"/>
      <c r="AJ424" s="11"/>
      <c r="AK424" s="27">
        <v>0</v>
      </c>
      <c r="AL424" s="27">
        <v>0</v>
      </c>
      <c r="AM424" s="108">
        <v>0</v>
      </c>
      <c r="AN424" s="40"/>
      <c r="AO424" s="27">
        <v>0</v>
      </c>
      <c r="AP424" s="28">
        <v>0</v>
      </c>
      <c r="AQ424" s="28"/>
      <c r="AR424" s="27">
        <f t="shared" si="254"/>
        <v>41200000</v>
      </c>
    </row>
    <row r="425" spans="1:44" s="29" customFormat="1" ht="70.5" customHeight="1" x14ac:dyDescent="0.25">
      <c r="A425" s="20"/>
      <c r="B425" s="21"/>
      <c r="C425" s="716">
        <v>17</v>
      </c>
      <c r="D425" s="730" t="s">
        <v>498</v>
      </c>
      <c r="E425" s="83">
        <v>0.63270000000000004</v>
      </c>
      <c r="F425" s="83">
        <v>0.5</v>
      </c>
      <c r="G425" s="30"/>
      <c r="H425" s="767">
        <v>100</v>
      </c>
      <c r="I425" s="762" t="s">
        <v>540</v>
      </c>
      <c r="J425" s="58">
        <v>0</v>
      </c>
      <c r="K425" s="90">
        <v>6</v>
      </c>
      <c r="L425" s="657">
        <v>0</v>
      </c>
      <c r="M425" s="1027"/>
      <c r="N425" s="959"/>
      <c r="O425" s="942"/>
      <c r="P425" s="767" t="s">
        <v>47</v>
      </c>
      <c r="Q425" s="27">
        <v>0</v>
      </c>
      <c r="R425" s="27">
        <v>0</v>
      </c>
      <c r="S425" s="27">
        <v>0</v>
      </c>
      <c r="T425" s="27">
        <v>0</v>
      </c>
      <c r="U425" s="27">
        <v>0</v>
      </c>
      <c r="V425" s="27">
        <v>0</v>
      </c>
      <c r="W425" s="27">
        <v>0</v>
      </c>
      <c r="X425" s="27"/>
      <c r="Y425" s="27"/>
      <c r="Z425" s="27"/>
      <c r="AA425" s="27">
        <v>0</v>
      </c>
      <c r="AB425" s="27"/>
      <c r="AC425" s="27">
        <v>0</v>
      </c>
      <c r="AD425" s="27">
        <v>0</v>
      </c>
      <c r="AE425" s="11"/>
      <c r="AF425" s="11"/>
      <c r="AG425" s="11"/>
      <c r="AH425" s="11"/>
      <c r="AI425" s="11"/>
      <c r="AJ425" s="11"/>
      <c r="AK425" s="27">
        <v>0</v>
      </c>
      <c r="AL425" s="27">
        <v>0</v>
      </c>
      <c r="AM425" s="108">
        <v>0</v>
      </c>
      <c r="AN425" s="40"/>
      <c r="AO425" s="27">
        <v>0</v>
      </c>
      <c r="AP425" s="28">
        <v>0</v>
      </c>
      <c r="AQ425" s="28"/>
      <c r="AR425" s="27">
        <f t="shared" si="254"/>
        <v>0</v>
      </c>
    </row>
    <row r="426" spans="1:44" s="29" customFormat="1" ht="57" x14ac:dyDescent="0.25">
      <c r="A426" s="20"/>
      <c r="B426" s="21"/>
      <c r="C426" s="716"/>
      <c r="D426" s="30"/>
      <c r="E426" s="89"/>
      <c r="F426" s="89"/>
      <c r="G426" s="30"/>
      <c r="H426" s="767">
        <v>101</v>
      </c>
      <c r="I426" s="762" t="s">
        <v>541</v>
      </c>
      <c r="J426" s="58">
        <v>0</v>
      </c>
      <c r="K426" s="90">
        <v>54</v>
      </c>
      <c r="L426" s="657">
        <v>0</v>
      </c>
      <c r="M426" s="1027"/>
      <c r="N426" s="959"/>
      <c r="O426" s="942"/>
      <c r="P426" s="767" t="s">
        <v>47</v>
      </c>
      <c r="Q426" s="27">
        <v>0</v>
      </c>
      <c r="R426" s="27">
        <v>0</v>
      </c>
      <c r="S426" s="27">
        <v>0</v>
      </c>
      <c r="T426" s="27">
        <v>0</v>
      </c>
      <c r="U426" s="27">
        <v>0</v>
      </c>
      <c r="V426" s="27">
        <v>0</v>
      </c>
      <c r="W426" s="27">
        <f>36050000-10000000</f>
        <v>26050000</v>
      </c>
      <c r="X426" s="27"/>
      <c r="Y426" s="27"/>
      <c r="Z426" s="27"/>
      <c r="AA426" s="27">
        <v>0</v>
      </c>
      <c r="AB426" s="27"/>
      <c r="AC426" s="27">
        <v>0</v>
      </c>
      <c r="AD426" s="27">
        <v>0</v>
      </c>
      <c r="AE426" s="11"/>
      <c r="AF426" s="11"/>
      <c r="AG426" s="11"/>
      <c r="AH426" s="11"/>
      <c r="AI426" s="11"/>
      <c r="AJ426" s="11"/>
      <c r="AK426" s="27">
        <v>0</v>
      </c>
      <c r="AL426" s="27">
        <v>0</v>
      </c>
      <c r="AM426" s="108">
        <v>0</v>
      </c>
      <c r="AN426" s="40"/>
      <c r="AO426" s="27">
        <v>0</v>
      </c>
      <c r="AP426" s="28">
        <v>0</v>
      </c>
      <c r="AQ426" s="28"/>
      <c r="AR426" s="27">
        <f t="shared" si="254"/>
        <v>26050000</v>
      </c>
    </row>
    <row r="427" spans="1:44" s="29" customFormat="1" ht="57" x14ac:dyDescent="0.25">
      <c r="A427" s="20"/>
      <c r="B427" s="21"/>
      <c r="C427" s="716"/>
      <c r="D427" s="32"/>
      <c r="E427" s="425"/>
      <c r="F427" s="425"/>
      <c r="G427" s="32"/>
      <c r="H427" s="767">
        <v>102</v>
      </c>
      <c r="I427" s="762" t="s">
        <v>542</v>
      </c>
      <c r="J427" s="58">
        <v>0</v>
      </c>
      <c r="K427" s="90">
        <v>3</v>
      </c>
      <c r="L427" s="657">
        <v>0</v>
      </c>
      <c r="M427" s="1024"/>
      <c r="N427" s="949"/>
      <c r="O427" s="943"/>
      <c r="P427" s="767" t="s">
        <v>42</v>
      </c>
      <c r="Q427" s="27">
        <v>0</v>
      </c>
      <c r="R427" s="27">
        <v>0</v>
      </c>
      <c r="S427" s="27">
        <v>0</v>
      </c>
      <c r="T427" s="27">
        <v>0</v>
      </c>
      <c r="U427" s="27">
        <v>0</v>
      </c>
      <c r="V427" s="27">
        <v>0</v>
      </c>
      <c r="W427" s="27">
        <f>5150000+10000000</f>
        <v>15150000</v>
      </c>
      <c r="X427" s="27"/>
      <c r="Y427" s="27"/>
      <c r="Z427" s="27"/>
      <c r="AA427" s="27">
        <v>0</v>
      </c>
      <c r="AB427" s="27"/>
      <c r="AC427" s="27">
        <v>0</v>
      </c>
      <c r="AD427" s="27">
        <v>0</v>
      </c>
      <c r="AE427" s="11"/>
      <c r="AF427" s="11"/>
      <c r="AG427" s="11"/>
      <c r="AH427" s="11"/>
      <c r="AI427" s="11"/>
      <c r="AJ427" s="11"/>
      <c r="AK427" s="27">
        <v>0</v>
      </c>
      <c r="AL427" s="27">
        <v>0</v>
      </c>
      <c r="AM427" s="108">
        <v>0</v>
      </c>
      <c r="AN427" s="40"/>
      <c r="AO427" s="27">
        <v>0</v>
      </c>
      <c r="AP427" s="28">
        <v>0</v>
      </c>
      <c r="AQ427" s="28"/>
      <c r="AR427" s="27">
        <f t="shared" si="254"/>
        <v>15150000</v>
      </c>
    </row>
    <row r="428" spans="1:44" s="165" customFormat="1" ht="15" x14ac:dyDescent="0.25">
      <c r="A428" s="20"/>
      <c r="B428" s="21"/>
      <c r="C428" s="320"/>
      <c r="D428" s="159"/>
      <c r="E428" s="416"/>
      <c r="F428" s="416"/>
      <c r="G428" s="160"/>
      <c r="H428" s="161"/>
      <c r="I428" s="160"/>
      <c r="J428" s="401"/>
      <c r="K428" s="414"/>
      <c r="L428" s="414"/>
      <c r="M428" s="414"/>
      <c r="N428" s="163"/>
      <c r="O428" s="160"/>
      <c r="P428" s="161"/>
      <c r="Q428" s="164">
        <f t="shared" ref="Q428:W428" si="268">SUM(Q423:Q427)</f>
        <v>0</v>
      </c>
      <c r="R428" s="164">
        <f t="shared" si="268"/>
        <v>0</v>
      </c>
      <c r="S428" s="164">
        <f t="shared" si="268"/>
        <v>0</v>
      </c>
      <c r="T428" s="164">
        <f t="shared" si="268"/>
        <v>0</v>
      </c>
      <c r="U428" s="164">
        <f t="shared" si="268"/>
        <v>0</v>
      </c>
      <c r="V428" s="164">
        <f t="shared" si="268"/>
        <v>0</v>
      </c>
      <c r="W428" s="164">
        <f t="shared" si="268"/>
        <v>103000000</v>
      </c>
      <c r="X428" s="164"/>
      <c r="Y428" s="164"/>
      <c r="Z428" s="164"/>
      <c r="AA428" s="164">
        <f>SUM(AA423:AA427)</f>
        <v>0</v>
      </c>
      <c r="AB428" s="164"/>
      <c r="AC428" s="164">
        <f>SUM(AC423:AC427)</f>
        <v>0</v>
      </c>
      <c r="AD428" s="164">
        <f>SUM(AD423:AD427)</f>
        <v>0</v>
      </c>
      <c r="AE428" s="164">
        <f>SUM(AE423:AE427)</f>
        <v>0</v>
      </c>
      <c r="AF428" s="164">
        <f>SUM(AF423:AF427)</f>
        <v>0</v>
      </c>
      <c r="AG428" s="164"/>
      <c r="AH428" s="164">
        <f t="shared" ref="AH428:AM428" si="269">SUM(AH423:AH427)</f>
        <v>0</v>
      </c>
      <c r="AI428" s="164">
        <f t="shared" si="269"/>
        <v>0</v>
      </c>
      <c r="AJ428" s="164">
        <f t="shared" si="269"/>
        <v>0</v>
      </c>
      <c r="AK428" s="164">
        <f t="shared" si="269"/>
        <v>0</v>
      </c>
      <c r="AL428" s="164">
        <f t="shared" si="269"/>
        <v>0</v>
      </c>
      <c r="AM428" s="248">
        <f t="shared" si="269"/>
        <v>0</v>
      </c>
      <c r="AN428" s="249"/>
      <c r="AO428" s="164">
        <f>SUM(AO423:AO427)</f>
        <v>0</v>
      </c>
      <c r="AP428" s="164">
        <f>SUM(AP423:AP427)</f>
        <v>0</v>
      </c>
      <c r="AQ428" s="164">
        <f>SUM(AQ423:AQ427)</f>
        <v>0</v>
      </c>
      <c r="AR428" s="164">
        <f t="shared" si="254"/>
        <v>103000000</v>
      </c>
    </row>
    <row r="429" spans="1:44" s="165" customFormat="1" ht="15" x14ac:dyDescent="0.25">
      <c r="A429" s="20"/>
      <c r="B429" s="21"/>
      <c r="C429" s="760"/>
      <c r="D429" s="183"/>
      <c r="E429" s="403"/>
      <c r="F429" s="403"/>
      <c r="G429" s="183"/>
      <c r="H429" s="760"/>
      <c r="I429" s="183"/>
      <c r="J429" s="314"/>
      <c r="K429" s="314"/>
      <c r="L429" s="864"/>
      <c r="M429" s="864"/>
      <c r="N429" s="833"/>
      <c r="O429" s="829"/>
      <c r="P429" s="760"/>
      <c r="Q429" s="186"/>
      <c r="R429" s="186"/>
      <c r="S429" s="186"/>
      <c r="T429" s="186"/>
      <c r="U429" s="186"/>
      <c r="V429" s="186"/>
      <c r="W429" s="186"/>
      <c r="X429" s="186"/>
      <c r="Y429" s="186"/>
      <c r="Z429" s="186"/>
      <c r="AA429" s="186"/>
      <c r="AB429" s="186"/>
      <c r="AC429" s="186"/>
      <c r="AD429" s="186"/>
      <c r="AE429" s="186"/>
      <c r="AF429" s="186"/>
      <c r="AG429" s="186"/>
      <c r="AH429" s="186"/>
      <c r="AI429" s="186"/>
      <c r="AJ429" s="186"/>
      <c r="AK429" s="186"/>
      <c r="AL429" s="186"/>
      <c r="AM429" s="188"/>
      <c r="AN429" s="186"/>
      <c r="AO429" s="186"/>
      <c r="AP429" s="186"/>
      <c r="AQ429" s="186"/>
      <c r="AR429" s="205"/>
    </row>
    <row r="430" spans="1:44" s="165" customFormat="1" ht="15" x14ac:dyDescent="0.25">
      <c r="A430" s="20"/>
      <c r="B430" s="21"/>
      <c r="C430" s="774"/>
      <c r="D430" s="732"/>
      <c r="E430" s="753"/>
      <c r="F430" s="753"/>
      <c r="G430" s="193">
        <v>24</v>
      </c>
      <c r="H430" s="933" t="s">
        <v>543</v>
      </c>
      <c r="I430" s="933"/>
      <c r="J430" s="933"/>
      <c r="K430" s="933"/>
      <c r="L430" s="933"/>
      <c r="M430" s="933"/>
      <c r="N430" s="933"/>
      <c r="O430" s="933"/>
      <c r="P430" s="933"/>
      <c r="Q430" s="933"/>
      <c r="R430" s="194"/>
      <c r="S430" s="194"/>
      <c r="T430" s="194"/>
      <c r="U430" s="194"/>
      <c r="V430" s="194"/>
      <c r="W430" s="194"/>
      <c r="X430" s="194"/>
      <c r="Y430" s="194"/>
      <c r="Z430" s="194"/>
      <c r="AA430" s="194"/>
      <c r="AB430" s="194"/>
      <c r="AC430" s="194"/>
      <c r="AD430" s="194"/>
      <c r="AE430" s="194"/>
      <c r="AF430" s="194"/>
      <c r="AG430" s="194"/>
      <c r="AH430" s="194"/>
      <c r="AI430" s="194"/>
      <c r="AJ430" s="194"/>
      <c r="AK430" s="194"/>
      <c r="AL430" s="194"/>
      <c r="AM430" s="196"/>
      <c r="AN430" s="194"/>
      <c r="AO430" s="194"/>
      <c r="AP430" s="194"/>
      <c r="AQ430" s="194"/>
      <c r="AR430" s="197"/>
    </row>
    <row r="431" spans="1:44" s="426" customFormat="1" ht="88.5" customHeight="1" x14ac:dyDescent="0.25">
      <c r="A431" s="20"/>
      <c r="B431" s="20"/>
      <c r="C431" s="718"/>
      <c r="D431" s="729"/>
      <c r="E431" s="753"/>
      <c r="F431" s="770"/>
      <c r="G431" s="718"/>
      <c r="H431" s="767">
        <v>103</v>
      </c>
      <c r="I431" s="762" t="s">
        <v>544</v>
      </c>
      <c r="J431" s="58">
        <v>3</v>
      </c>
      <c r="K431" s="90">
        <v>4</v>
      </c>
      <c r="L431" s="657">
        <v>3</v>
      </c>
      <c r="M431" s="1025" t="s">
        <v>461</v>
      </c>
      <c r="N431" s="984" t="s">
        <v>545</v>
      </c>
      <c r="O431" s="924" t="s">
        <v>546</v>
      </c>
      <c r="P431" s="767" t="s">
        <v>42</v>
      </c>
      <c r="Q431" s="27">
        <v>0</v>
      </c>
      <c r="R431" s="27">
        <v>0</v>
      </c>
      <c r="S431" s="27">
        <v>0</v>
      </c>
      <c r="T431" s="27">
        <v>0</v>
      </c>
      <c r="U431" s="27">
        <v>0</v>
      </c>
      <c r="V431" s="27">
        <v>0</v>
      </c>
      <c r="W431" s="27">
        <v>21400000</v>
      </c>
      <c r="X431" s="27"/>
      <c r="Y431" s="27"/>
      <c r="Z431" s="27"/>
      <c r="AA431" s="27">
        <v>0</v>
      </c>
      <c r="AB431" s="27"/>
      <c r="AC431" s="27">
        <v>0</v>
      </c>
      <c r="AD431" s="27">
        <v>0</v>
      </c>
      <c r="AE431" s="15"/>
      <c r="AF431" s="15"/>
      <c r="AG431" s="15"/>
      <c r="AH431" s="15"/>
      <c r="AI431" s="15"/>
      <c r="AJ431" s="15"/>
      <c r="AK431" s="27">
        <v>0</v>
      </c>
      <c r="AL431" s="27">
        <v>0</v>
      </c>
      <c r="AM431" s="814"/>
      <c r="AN431" s="815"/>
      <c r="AO431" s="27">
        <v>0</v>
      </c>
      <c r="AP431" s="28">
        <v>0</v>
      </c>
      <c r="AQ431" s="28"/>
      <c r="AR431" s="27">
        <f t="shared" si="254"/>
        <v>21400000</v>
      </c>
    </row>
    <row r="432" spans="1:44" s="426" customFormat="1" ht="60" customHeight="1" x14ac:dyDescent="0.25">
      <c r="A432" s="20"/>
      <c r="B432" s="20"/>
      <c r="C432" s="719">
        <v>17</v>
      </c>
      <c r="D432" s="730" t="s">
        <v>547</v>
      </c>
      <c r="E432" s="769">
        <v>0.63270000000000004</v>
      </c>
      <c r="F432" s="745">
        <v>0.5</v>
      </c>
      <c r="G432" s="719"/>
      <c r="H432" s="767">
        <v>104</v>
      </c>
      <c r="I432" s="762" t="s">
        <v>548</v>
      </c>
      <c r="J432" s="58">
        <v>4</v>
      </c>
      <c r="K432" s="90">
        <v>27</v>
      </c>
      <c r="L432" s="657">
        <v>32</v>
      </c>
      <c r="M432" s="1026"/>
      <c r="N432" s="985"/>
      <c r="O432" s="925"/>
      <c r="P432" s="767" t="s">
        <v>42</v>
      </c>
      <c r="Q432" s="27">
        <v>0</v>
      </c>
      <c r="R432" s="27">
        <v>0</v>
      </c>
      <c r="S432" s="27">
        <v>0</v>
      </c>
      <c r="T432" s="27">
        <v>0</v>
      </c>
      <c r="U432" s="27">
        <v>0</v>
      </c>
      <c r="V432" s="27">
        <v>0</v>
      </c>
      <c r="W432" s="27">
        <v>32100000</v>
      </c>
      <c r="X432" s="27"/>
      <c r="Y432" s="27"/>
      <c r="Z432" s="27"/>
      <c r="AA432" s="27">
        <v>0</v>
      </c>
      <c r="AB432" s="27"/>
      <c r="AC432" s="27">
        <v>0</v>
      </c>
      <c r="AD432" s="27">
        <v>0</v>
      </c>
      <c r="AE432" s="15"/>
      <c r="AF432" s="15"/>
      <c r="AG432" s="15"/>
      <c r="AH432" s="15"/>
      <c r="AI432" s="15"/>
      <c r="AJ432" s="15"/>
      <c r="AK432" s="27">
        <v>0</v>
      </c>
      <c r="AL432" s="27">
        <v>0</v>
      </c>
      <c r="AM432" s="111"/>
      <c r="AN432" s="43"/>
      <c r="AO432" s="27">
        <v>0</v>
      </c>
      <c r="AP432" s="28">
        <v>0</v>
      </c>
      <c r="AQ432" s="28"/>
      <c r="AR432" s="27">
        <f t="shared" si="254"/>
        <v>32100000</v>
      </c>
    </row>
    <row r="433" spans="1:44" s="426" customFormat="1" ht="81" customHeight="1" x14ac:dyDescent="0.25">
      <c r="A433" s="20"/>
      <c r="B433" s="20"/>
      <c r="C433" s="719">
        <v>18</v>
      </c>
      <c r="D433" s="730" t="s">
        <v>549</v>
      </c>
      <c r="E433" s="758">
        <v>6</v>
      </c>
      <c r="F433" s="427">
        <v>12</v>
      </c>
      <c r="G433" s="719"/>
      <c r="H433" s="767">
        <v>105</v>
      </c>
      <c r="I433" s="762" t="s">
        <v>550</v>
      </c>
      <c r="J433" s="58">
        <v>43</v>
      </c>
      <c r="K433" s="90">
        <v>47</v>
      </c>
      <c r="L433" s="657">
        <v>48</v>
      </c>
      <c r="M433" s="1026"/>
      <c r="N433" s="985"/>
      <c r="O433" s="925"/>
      <c r="P433" s="767" t="s">
        <v>47</v>
      </c>
      <c r="Q433" s="27">
        <v>0</v>
      </c>
      <c r="R433" s="27">
        <v>0</v>
      </c>
      <c r="S433" s="27">
        <v>0</v>
      </c>
      <c r="T433" s="27">
        <v>0</v>
      </c>
      <c r="U433" s="27">
        <v>0</v>
      </c>
      <c r="V433" s="27">
        <v>0</v>
      </c>
      <c r="W433" s="27">
        <v>0</v>
      </c>
      <c r="X433" s="27"/>
      <c r="Y433" s="27"/>
      <c r="Z433" s="27"/>
      <c r="AA433" s="27">
        <v>0</v>
      </c>
      <c r="AB433" s="27"/>
      <c r="AC433" s="27">
        <v>0</v>
      </c>
      <c r="AD433" s="27">
        <v>0</v>
      </c>
      <c r="AE433" s="15"/>
      <c r="AF433" s="15"/>
      <c r="AG433" s="15"/>
      <c r="AH433" s="15"/>
      <c r="AI433" s="15"/>
      <c r="AJ433" s="15"/>
      <c r="AK433" s="27">
        <v>0</v>
      </c>
      <c r="AL433" s="27">
        <v>0</v>
      </c>
      <c r="AM433" s="108">
        <v>32100000</v>
      </c>
      <c r="AN433" s="15"/>
      <c r="AO433" s="27">
        <v>0</v>
      </c>
      <c r="AP433" s="28">
        <v>0</v>
      </c>
      <c r="AQ433" s="28"/>
      <c r="AR433" s="27">
        <f t="shared" si="254"/>
        <v>32100000</v>
      </c>
    </row>
    <row r="434" spans="1:44" s="426" customFormat="1" ht="76.5" customHeight="1" x14ac:dyDescent="0.25">
      <c r="A434" s="20"/>
      <c r="B434" s="20"/>
      <c r="C434" s="719">
        <v>20</v>
      </c>
      <c r="D434" s="730" t="s">
        <v>551</v>
      </c>
      <c r="E434" s="769" t="s">
        <v>552</v>
      </c>
      <c r="F434" s="769" t="s">
        <v>553</v>
      </c>
      <c r="G434" s="719"/>
      <c r="H434" s="718">
        <v>106</v>
      </c>
      <c r="I434" s="729" t="s">
        <v>554</v>
      </c>
      <c r="J434" s="61">
        <v>0</v>
      </c>
      <c r="K434" s="447">
        <v>1</v>
      </c>
      <c r="L434" s="658">
        <v>1</v>
      </c>
      <c r="M434" s="1026"/>
      <c r="N434" s="985"/>
      <c r="O434" s="925"/>
      <c r="P434" s="718" t="s">
        <v>47</v>
      </c>
      <c r="Q434" s="81">
        <v>0</v>
      </c>
      <c r="R434" s="81">
        <v>0</v>
      </c>
      <c r="S434" s="81">
        <v>0</v>
      </c>
      <c r="T434" s="81">
        <v>0</v>
      </c>
      <c r="U434" s="81">
        <v>0</v>
      </c>
      <c r="V434" s="81">
        <v>0</v>
      </c>
      <c r="W434" s="81">
        <v>0</v>
      </c>
      <c r="X434" s="81"/>
      <c r="Y434" s="81"/>
      <c r="Z434" s="81"/>
      <c r="AA434" s="81">
        <v>0</v>
      </c>
      <c r="AB434" s="81"/>
      <c r="AC434" s="81">
        <v>0</v>
      </c>
      <c r="AD434" s="81">
        <v>0</v>
      </c>
      <c r="AE434" s="629"/>
      <c r="AF434" s="629"/>
      <c r="AG434" s="629"/>
      <c r="AH434" s="629"/>
      <c r="AI434" s="629"/>
      <c r="AJ434" s="629"/>
      <c r="AK434" s="81">
        <v>0</v>
      </c>
      <c r="AL434" s="81">
        <v>0</v>
      </c>
      <c r="AM434" s="113">
        <v>53600000</v>
      </c>
      <c r="AN434" s="629"/>
      <c r="AO434" s="81">
        <v>0</v>
      </c>
      <c r="AP434" s="775">
        <v>0</v>
      </c>
      <c r="AQ434" s="775"/>
      <c r="AR434" s="81">
        <f t="shared" si="254"/>
        <v>53600000</v>
      </c>
    </row>
    <row r="435" spans="1:44" s="426" customFormat="1" ht="102.75" customHeight="1" x14ac:dyDescent="0.25">
      <c r="A435" s="20"/>
      <c r="B435" s="20"/>
      <c r="C435" s="767">
        <v>20</v>
      </c>
      <c r="D435" s="762" t="s">
        <v>551</v>
      </c>
      <c r="E435" s="83" t="s">
        <v>552</v>
      </c>
      <c r="F435" s="83" t="s">
        <v>925</v>
      </c>
      <c r="G435" s="767"/>
      <c r="H435" s="767">
        <v>107</v>
      </c>
      <c r="I435" s="762" t="s">
        <v>555</v>
      </c>
      <c r="J435" s="58">
        <v>1</v>
      </c>
      <c r="K435" s="66">
        <v>1</v>
      </c>
      <c r="L435" s="657">
        <v>1</v>
      </c>
      <c r="M435" s="655" t="s">
        <v>461</v>
      </c>
      <c r="N435" s="656">
        <v>2017003630122</v>
      </c>
      <c r="O435" s="762" t="s">
        <v>924</v>
      </c>
      <c r="P435" s="767" t="s">
        <v>47</v>
      </c>
      <c r="Q435" s="27"/>
      <c r="R435" s="27"/>
      <c r="S435" s="27"/>
      <c r="T435" s="27"/>
      <c r="U435" s="27"/>
      <c r="V435" s="27"/>
      <c r="W435" s="27">
        <v>49500000</v>
      </c>
      <c r="X435" s="27"/>
      <c r="Y435" s="27"/>
      <c r="Z435" s="27"/>
      <c r="AA435" s="27"/>
      <c r="AB435" s="27"/>
      <c r="AC435" s="27"/>
      <c r="AD435" s="27"/>
      <c r="AE435" s="15"/>
      <c r="AF435" s="15"/>
      <c r="AG435" s="15"/>
      <c r="AH435" s="15"/>
      <c r="AI435" s="15"/>
      <c r="AJ435" s="15"/>
      <c r="AK435" s="27"/>
      <c r="AL435" s="27"/>
      <c r="AM435" s="111">
        <v>4300000</v>
      </c>
      <c r="AN435" s="43"/>
      <c r="AO435" s="27"/>
      <c r="AP435" s="27"/>
      <c r="AQ435" s="27"/>
      <c r="AR435" s="27">
        <f t="shared" si="254"/>
        <v>53800000</v>
      </c>
    </row>
    <row r="436" spans="1:44" s="429" customFormat="1" ht="15" x14ac:dyDescent="0.25">
      <c r="A436" s="20"/>
      <c r="B436" s="158"/>
      <c r="C436" s="320"/>
      <c r="D436" s="731"/>
      <c r="E436" s="754"/>
      <c r="F436" s="428"/>
      <c r="G436" s="502"/>
      <c r="H436" s="503"/>
      <c r="I436" s="502"/>
      <c r="J436" s="630"/>
      <c r="K436" s="631"/>
      <c r="L436" s="631"/>
      <c r="M436" s="631"/>
      <c r="N436" s="632"/>
      <c r="O436" s="502"/>
      <c r="P436" s="503"/>
      <c r="Q436" s="633">
        <f t="shared" ref="Q436:AA436" si="270">SUM(Q431:Q435)</f>
        <v>0</v>
      </c>
      <c r="R436" s="633">
        <f t="shared" si="270"/>
        <v>0</v>
      </c>
      <c r="S436" s="633">
        <f t="shared" si="270"/>
        <v>0</v>
      </c>
      <c r="T436" s="633">
        <f t="shared" si="270"/>
        <v>0</v>
      </c>
      <c r="U436" s="633">
        <f t="shared" si="270"/>
        <v>0</v>
      </c>
      <c r="V436" s="633">
        <f t="shared" si="270"/>
        <v>0</v>
      </c>
      <c r="W436" s="633">
        <f t="shared" si="270"/>
        <v>103000000</v>
      </c>
      <c r="X436" s="633">
        <f t="shared" si="270"/>
        <v>0</v>
      </c>
      <c r="Y436" s="633">
        <f t="shared" si="270"/>
        <v>0</v>
      </c>
      <c r="Z436" s="633">
        <f t="shared" si="270"/>
        <v>0</v>
      </c>
      <c r="AA436" s="633">
        <f t="shared" si="270"/>
        <v>0</v>
      </c>
      <c r="AB436" s="633"/>
      <c r="AC436" s="633">
        <f>SUM(AC431:AC435)</f>
        <v>0</v>
      </c>
      <c r="AD436" s="633">
        <f>SUM(AD431:AD435)</f>
        <v>0</v>
      </c>
      <c r="AE436" s="633">
        <f>SUM(AE431:AE435)</f>
        <v>0</v>
      </c>
      <c r="AF436" s="633">
        <f>SUM(AF431:AF435)</f>
        <v>0</v>
      </c>
      <c r="AG436" s="633"/>
      <c r="AH436" s="633">
        <f t="shared" ref="AH436:AM436" si="271">SUM(AH431:AH435)</f>
        <v>0</v>
      </c>
      <c r="AI436" s="633">
        <f t="shared" si="271"/>
        <v>0</v>
      </c>
      <c r="AJ436" s="633">
        <f t="shared" si="271"/>
        <v>0</v>
      </c>
      <c r="AK436" s="633">
        <f t="shared" si="271"/>
        <v>0</v>
      </c>
      <c r="AL436" s="633">
        <f t="shared" si="271"/>
        <v>0</v>
      </c>
      <c r="AM436" s="634">
        <f t="shared" si="271"/>
        <v>90000000</v>
      </c>
      <c r="AN436" s="633"/>
      <c r="AO436" s="633">
        <f>SUM(AO431:AO435)</f>
        <v>0</v>
      </c>
      <c r="AP436" s="633">
        <f>SUM(AP431:AP435)</f>
        <v>0</v>
      </c>
      <c r="AQ436" s="633">
        <f>SUM(AQ431:AQ435)</f>
        <v>0</v>
      </c>
      <c r="AR436" s="633">
        <f t="shared" si="254"/>
        <v>193000000</v>
      </c>
    </row>
    <row r="437" spans="1:44" s="429" customFormat="1" ht="15" x14ac:dyDescent="0.25">
      <c r="A437" s="21"/>
      <c r="B437" s="430"/>
      <c r="C437" s="168"/>
      <c r="D437" s="167"/>
      <c r="E437" s="409"/>
      <c r="F437" s="409"/>
      <c r="G437" s="167"/>
      <c r="H437" s="168"/>
      <c r="I437" s="167"/>
      <c r="J437" s="410"/>
      <c r="K437" s="431"/>
      <c r="L437" s="431"/>
      <c r="M437" s="431"/>
      <c r="N437" s="170"/>
      <c r="O437" s="167"/>
      <c r="P437" s="168"/>
      <c r="Q437" s="171">
        <f t="shared" ref="Q437:AA437" si="272">Q436+Q428</f>
        <v>0</v>
      </c>
      <c r="R437" s="171">
        <f t="shared" si="272"/>
        <v>0</v>
      </c>
      <c r="S437" s="171">
        <f t="shared" si="272"/>
        <v>0</v>
      </c>
      <c r="T437" s="171">
        <f t="shared" si="272"/>
        <v>0</v>
      </c>
      <c r="U437" s="171">
        <f t="shared" si="272"/>
        <v>0</v>
      </c>
      <c r="V437" s="171">
        <f t="shared" si="272"/>
        <v>0</v>
      </c>
      <c r="W437" s="171">
        <f t="shared" si="272"/>
        <v>206000000</v>
      </c>
      <c r="X437" s="171">
        <f t="shared" si="272"/>
        <v>0</v>
      </c>
      <c r="Y437" s="171">
        <f t="shared" si="272"/>
        <v>0</v>
      </c>
      <c r="Z437" s="171">
        <f t="shared" si="272"/>
        <v>0</v>
      </c>
      <c r="AA437" s="171">
        <f t="shared" si="272"/>
        <v>0</v>
      </c>
      <c r="AB437" s="171"/>
      <c r="AC437" s="171">
        <f>AC436+AC428</f>
        <v>0</v>
      </c>
      <c r="AD437" s="171">
        <f>AD436+AD428</f>
        <v>0</v>
      </c>
      <c r="AE437" s="171">
        <f>AE436+AE428</f>
        <v>0</v>
      </c>
      <c r="AF437" s="171">
        <f>AF436+AF428</f>
        <v>0</v>
      </c>
      <c r="AG437" s="171"/>
      <c r="AH437" s="171">
        <f t="shared" ref="AH437:AM437" si="273">AH436+AH428</f>
        <v>0</v>
      </c>
      <c r="AI437" s="171">
        <f t="shared" si="273"/>
        <v>0</v>
      </c>
      <c r="AJ437" s="171">
        <f t="shared" si="273"/>
        <v>0</v>
      </c>
      <c r="AK437" s="171">
        <f t="shared" si="273"/>
        <v>0</v>
      </c>
      <c r="AL437" s="171">
        <f t="shared" si="273"/>
        <v>0</v>
      </c>
      <c r="AM437" s="250">
        <f t="shared" si="273"/>
        <v>90000000</v>
      </c>
      <c r="AN437" s="171"/>
      <c r="AO437" s="171">
        <f>AO436+AO428</f>
        <v>0</v>
      </c>
      <c r="AP437" s="171">
        <f>AP436+AP428</f>
        <v>0</v>
      </c>
      <c r="AQ437" s="171">
        <f>AQ436+AQ428</f>
        <v>0</v>
      </c>
      <c r="AR437" s="171">
        <f t="shared" si="254"/>
        <v>296000000</v>
      </c>
    </row>
    <row r="438" spans="1:44" s="426" customFormat="1" ht="15" x14ac:dyDescent="0.25">
      <c r="A438" s="21"/>
      <c r="B438" s="183"/>
      <c r="C438" s="760"/>
      <c r="D438" s="183"/>
      <c r="E438" s="403"/>
      <c r="F438" s="403"/>
      <c r="G438" s="183"/>
      <c r="H438" s="760"/>
      <c r="I438" s="183"/>
      <c r="J438" s="404"/>
      <c r="K438" s="404"/>
      <c r="L438" s="873"/>
      <c r="M438" s="873"/>
      <c r="N438" s="833"/>
      <c r="O438" s="829"/>
      <c r="P438" s="760"/>
      <c r="Q438" s="186"/>
      <c r="R438" s="186"/>
      <c r="S438" s="186"/>
      <c r="T438" s="186"/>
      <c r="U438" s="186"/>
      <c r="V438" s="186"/>
      <c r="W438" s="103"/>
      <c r="X438" s="186"/>
      <c r="Y438" s="186"/>
      <c r="Z438" s="186"/>
      <c r="AA438" s="186"/>
      <c r="AB438" s="186"/>
      <c r="AC438" s="186"/>
      <c r="AD438" s="186"/>
      <c r="AE438" s="186"/>
      <c r="AF438" s="186"/>
      <c r="AG438" s="186"/>
      <c r="AH438" s="186"/>
      <c r="AI438" s="186"/>
      <c r="AJ438" s="186"/>
      <c r="AK438" s="186"/>
      <c r="AL438" s="186"/>
      <c r="AM438" s="287"/>
      <c r="AN438" s="103"/>
      <c r="AO438" s="186"/>
      <c r="AP438" s="186"/>
      <c r="AQ438" s="186"/>
      <c r="AR438" s="205"/>
    </row>
    <row r="439" spans="1:44" s="426" customFormat="1" x14ac:dyDescent="0.25">
      <c r="A439" s="21"/>
      <c r="B439" s="243">
        <v>8</v>
      </c>
      <c r="C439" s="150" t="s">
        <v>556</v>
      </c>
      <c r="D439" s="149"/>
      <c r="E439" s="149"/>
      <c r="F439" s="149"/>
      <c r="G439" s="149"/>
      <c r="H439" s="150"/>
      <c r="I439" s="149"/>
      <c r="J439" s="149"/>
      <c r="K439" s="149"/>
      <c r="L439" s="149"/>
      <c r="M439" s="149"/>
      <c r="N439" s="151"/>
      <c r="O439" s="149"/>
      <c r="P439" s="149"/>
      <c r="Q439" s="149"/>
      <c r="R439" s="149"/>
      <c r="S439" s="149"/>
      <c r="T439" s="149"/>
      <c r="U439" s="149"/>
      <c r="V439" s="149"/>
      <c r="W439" s="149"/>
      <c r="X439" s="149"/>
      <c r="Y439" s="149"/>
      <c r="Z439" s="149"/>
      <c r="AA439" s="149"/>
      <c r="AB439" s="149"/>
      <c r="AC439" s="149"/>
      <c r="AD439" s="149"/>
      <c r="AE439" s="149"/>
      <c r="AF439" s="149"/>
      <c r="AG439" s="149"/>
      <c r="AH439" s="149"/>
      <c r="AI439" s="149"/>
      <c r="AJ439" s="149"/>
      <c r="AK439" s="149"/>
      <c r="AL439" s="149"/>
      <c r="AM439" s="152"/>
      <c r="AN439" s="149"/>
      <c r="AO439" s="149"/>
      <c r="AP439" s="149"/>
      <c r="AQ439" s="149"/>
      <c r="AR439" s="153"/>
    </row>
    <row r="440" spans="1:44" s="426" customFormat="1" ht="15" x14ac:dyDescent="0.25">
      <c r="A440" s="21"/>
      <c r="B440" s="190"/>
      <c r="C440" s="760"/>
      <c r="D440" s="183"/>
      <c r="E440" s="760"/>
      <c r="F440" s="761"/>
      <c r="G440" s="337">
        <v>25</v>
      </c>
      <c r="H440" s="933" t="s">
        <v>557</v>
      </c>
      <c r="I440" s="933"/>
      <c r="J440" s="933"/>
      <c r="K440" s="933"/>
      <c r="L440" s="933"/>
      <c r="M440" s="933"/>
      <c r="N440" s="933"/>
      <c r="O440" s="933"/>
      <c r="P440" s="933"/>
      <c r="Q440" s="933"/>
      <c r="R440" s="194"/>
      <c r="S440" s="194"/>
      <c r="T440" s="194"/>
      <c r="U440" s="194"/>
      <c r="V440" s="194"/>
      <c r="W440" s="194"/>
      <c r="X440" s="194"/>
      <c r="Y440" s="194"/>
      <c r="Z440" s="194"/>
      <c r="AA440" s="194"/>
      <c r="AB440" s="194"/>
      <c r="AC440" s="194"/>
      <c r="AD440" s="194"/>
      <c r="AE440" s="194"/>
      <c r="AF440" s="194"/>
      <c r="AG440" s="194"/>
      <c r="AH440" s="194"/>
      <c r="AI440" s="194"/>
      <c r="AJ440" s="194"/>
      <c r="AK440" s="194"/>
      <c r="AL440" s="194"/>
      <c r="AM440" s="196"/>
      <c r="AN440" s="194"/>
      <c r="AO440" s="194"/>
      <c r="AP440" s="194"/>
      <c r="AQ440" s="194"/>
      <c r="AR440" s="197"/>
    </row>
    <row r="441" spans="1:44" s="426" customFormat="1" ht="75.75" customHeight="1" x14ac:dyDescent="0.25">
      <c r="A441" s="21"/>
      <c r="B441" s="21"/>
      <c r="C441" s="912" t="s">
        <v>482</v>
      </c>
      <c r="D441" s="941" t="s">
        <v>483</v>
      </c>
      <c r="E441" s="1016" t="s">
        <v>528</v>
      </c>
      <c r="F441" s="1016" t="s">
        <v>529</v>
      </c>
      <c r="G441" s="24"/>
      <c r="H441" s="767">
        <v>108</v>
      </c>
      <c r="I441" s="762" t="s">
        <v>558</v>
      </c>
      <c r="J441" s="58">
        <v>4</v>
      </c>
      <c r="K441" s="87">
        <v>4</v>
      </c>
      <c r="L441" s="669">
        <v>0</v>
      </c>
      <c r="M441" s="1023" t="s">
        <v>461</v>
      </c>
      <c r="N441" s="948" t="s">
        <v>559</v>
      </c>
      <c r="O441" s="941" t="s">
        <v>560</v>
      </c>
      <c r="P441" s="767" t="s">
        <v>47</v>
      </c>
      <c r="Q441" s="762">
        <v>0</v>
      </c>
      <c r="R441" s="762">
        <v>0</v>
      </c>
      <c r="S441" s="762">
        <v>0</v>
      </c>
      <c r="T441" s="762">
        <v>0</v>
      </c>
      <c r="U441" s="762">
        <v>0</v>
      </c>
      <c r="V441" s="762">
        <v>0</v>
      </c>
      <c r="W441" s="762">
        <v>0</v>
      </c>
      <c r="X441" s="762"/>
      <c r="Y441" s="762"/>
      <c r="Z441" s="762"/>
      <c r="AA441" s="762">
        <v>0</v>
      </c>
      <c r="AB441" s="762"/>
      <c r="AC441" s="762">
        <v>0</v>
      </c>
      <c r="AD441" s="762">
        <v>0</v>
      </c>
      <c r="AE441" s="762"/>
      <c r="AF441" s="762"/>
      <c r="AG441" s="762"/>
      <c r="AH441" s="762"/>
      <c r="AI441" s="762"/>
      <c r="AJ441" s="762"/>
      <c r="AK441" s="762">
        <v>0</v>
      </c>
      <c r="AL441" s="762">
        <v>0</v>
      </c>
      <c r="AM441" s="109">
        <v>10000000</v>
      </c>
      <c r="AN441" s="432"/>
      <c r="AO441" s="762">
        <v>0</v>
      </c>
      <c r="AP441" s="182">
        <v>0</v>
      </c>
      <c r="AQ441" s="182"/>
      <c r="AR441" s="27">
        <f t="shared" si="254"/>
        <v>10000000</v>
      </c>
    </row>
    <row r="442" spans="1:44" s="426" customFormat="1" ht="71.25" x14ac:dyDescent="0.25">
      <c r="A442" s="21"/>
      <c r="B442" s="21"/>
      <c r="C442" s="914"/>
      <c r="D442" s="943"/>
      <c r="E442" s="1017"/>
      <c r="F442" s="1017"/>
      <c r="G442" s="32"/>
      <c r="H442" s="767">
        <v>109</v>
      </c>
      <c r="I442" s="762" t="s">
        <v>561</v>
      </c>
      <c r="J442" s="58">
        <v>0</v>
      </c>
      <c r="K442" s="87">
        <v>52</v>
      </c>
      <c r="L442" s="667">
        <v>0</v>
      </c>
      <c r="M442" s="1024"/>
      <c r="N442" s="949"/>
      <c r="O442" s="943"/>
      <c r="P442" s="767" t="s">
        <v>47</v>
      </c>
      <c r="Q442" s="762">
        <v>0</v>
      </c>
      <c r="R442" s="762">
        <v>0</v>
      </c>
      <c r="S442" s="762">
        <v>0</v>
      </c>
      <c r="T442" s="762">
        <v>0</v>
      </c>
      <c r="U442" s="762">
        <v>0</v>
      </c>
      <c r="V442" s="762">
        <v>0</v>
      </c>
      <c r="W442" s="762">
        <v>0</v>
      </c>
      <c r="X442" s="762"/>
      <c r="Y442" s="762"/>
      <c r="Z442" s="762"/>
      <c r="AA442" s="762">
        <v>0</v>
      </c>
      <c r="AB442" s="762"/>
      <c r="AC442" s="762">
        <v>0</v>
      </c>
      <c r="AD442" s="762">
        <v>0</v>
      </c>
      <c r="AE442" s="762"/>
      <c r="AF442" s="762"/>
      <c r="AG442" s="762"/>
      <c r="AH442" s="762"/>
      <c r="AI442" s="762"/>
      <c r="AJ442" s="762"/>
      <c r="AK442" s="762">
        <v>0</v>
      </c>
      <c r="AL442" s="762">
        <v>0</v>
      </c>
      <c r="AM442" s="109">
        <v>70000000</v>
      </c>
      <c r="AN442" s="432"/>
      <c r="AO442" s="762">
        <v>0</v>
      </c>
      <c r="AP442" s="182">
        <v>0</v>
      </c>
      <c r="AQ442" s="182"/>
      <c r="AR442" s="27">
        <f t="shared" si="254"/>
        <v>70000000</v>
      </c>
    </row>
    <row r="443" spans="1:44" s="429" customFormat="1" ht="15" x14ac:dyDescent="0.25">
      <c r="A443" s="21"/>
      <c r="B443" s="21"/>
      <c r="C443" s="761"/>
      <c r="D443" s="762"/>
      <c r="E443" s="80"/>
      <c r="F443" s="80"/>
      <c r="G443" s="160"/>
      <c r="H443" s="161"/>
      <c r="I443" s="160"/>
      <c r="J443" s="401"/>
      <c r="K443" s="414"/>
      <c r="L443" s="414"/>
      <c r="M443" s="414"/>
      <c r="N443" s="163"/>
      <c r="O443" s="160"/>
      <c r="P443" s="161"/>
      <c r="Q443" s="433">
        <f t="shared" ref="Q443:AA443" si="274">SUM(Q441:Q442)</f>
        <v>0</v>
      </c>
      <c r="R443" s="433">
        <f t="shared" si="274"/>
        <v>0</v>
      </c>
      <c r="S443" s="433">
        <f t="shared" si="274"/>
        <v>0</v>
      </c>
      <c r="T443" s="433">
        <f t="shared" si="274"/>
        <v>0</v>
      </c>
      <c r="U443" s="433">
        <f t="shared" si="274"/>
        <v>0</v>
      </c>
      <c r="V443" s="433">
        <f t="shared" si="274"/>
        <v>0</v>
      </c>
      <c r="W443" s="433">
        <f t="shared" si="274"/>
        <v>0</v>
      </c>
      <c r="X443" s="433">
        <f t="shared" si="274"/>
        <v>0</v>
      </c>
      <c r="Y443" s="433">
        <f t="shared" si="274"/>
        <v>0</v>
      </c>
      <c r="Z443" s="433">
        <f t="shared" si="274"/>
        <v>0</v>
      </c>
      <c r="AA443" s="433">
        <f t="shared" si="274"/>
        <v>0</v>
      </c>
      <c r="AB443" s="433"/>
      <c r="AC443" s="433">
        <f>SUM(AC441:AC442)</f>
        <v>0</v>
      </c>
      <c r="AD443" s="433">
        <f>SUM(AD441:AD442)</f>
        <v>0</v>
      </c>
      <c r="AE443" s="433">
        <f>SUM(AE441:AE442)</f>
        <v>0</v>
      </c>
      <c r="AF443" s="433">
        <f>SUM(AF441:AF442)</f>
        <v>0</v>
      </c>
      <c r="AG443" s="433"/>
      <c r="AH443" s="433">
        <f t="shared" ref="AH443:AM443" si="275">SUM(AH441:AH442)</f>
        <v>0</v>
      </c>
      <c r="AI443" s="433">
        <f t="shared" si="275"/>
        <v>0</v>
      </c>
      <c r="AJ443" s="433">
        <f t="shared" si="275"/>
        <v>0</v>
      </c>
      <c r="AK443" s="433">
        <f t="shared" si="275"/>
        <v>0</v>
      </c>
      <c r="AL443" s="433">
        <f t="shared" si="275"/>
        <v>0</v>
      </c>
      <c r="AM443" s="434">
        <f t="shared" si="275"/>
        <v>80000000</v>
      </c>
      <c r="AN443" s="433"/>
      <c r="AO443" s="433">
        <f>SUM(AO441:AO442)</f>
        <v>0</v>
      </c>
      <c r="AP443" s="433">
        <f>SUM(AP441:AP442)</f>
        <v>0</v>
      </c>
      <c r="AQ443" s="433">
        <f>SUM(AQ441:AQ442)</f>
        <v>0</v>
      </c>
      <c r="AR443" s="435">
        <f t="shared" si="254"/>
        <v>80000000</v>
      </c>
    </row>
    <row r="444" spans="1:44" s="429" customFormat="1" ht="15" x14ac:dyDescent="0.25">
      <c r="A444" s="21"/>
      <c r="B444" s="21"/>
      <c r="C444" s="760"/>
      <c r="D444" s="183"/>
      <c r="E444" s="403"/>
      <c r="F444" s="403"/>
      <c r="G444" s="183"/>
      <c r="H444" s="760"/>
      <c r="I444" s="183"/>
      <c r="J444" s="404"/>
      <c r="K444" s="404"/>
      <c r="L444" s="873"/>
      <c r="M444" s="873"/>
      <c r="N444" s="833"/>
      <c r="O444" s="829"/>
      <c r="P444" s="760"/>
      <c r="Q444" s="186"/>
      <c r="R444" s="186"/>
      <c r="S444" s="186"/>
      <c r="T444" s="186"/>
      <c r="U444" s="186"/>
      <c r="V444" s="186"/>
      <c r="W444" s="103"/>
      <c r="X444" s="186"/>
      <c r="Y444" s="186"/>
      <c r="Z444" s="186"/>
      <c r="AA444" s="186"/>
      <c r="AB444" s="186"/>
      <c r="AC444" s="186"/>
      <c r="AD444" s="186"/>
      <c r="AE444" s="186"/>
      <c r="AF444" s="186"/>
      <c r="AG444" s="186"/>
      <c r="AH444" s="186"/>
      <c r="AI444" s="186"/>
      <c r="AJ444" s="186"/>
      <c r="AK444" s="186"/>
      <c r="AL444" s="186"/>
      <c r="AM444" s="287"/>
      <c r="AN444" s="103"/>
      <c r="AO444" s="186"/>
      <c r="AP444" s="186"/>
      <c r="AQ444" s="186"/>
      <c r="AR444" s="205"/>
    </row>
    <row r="445" spans="1:44" s="429" customFormat="1" ht="15" x14ac:dyDescent="0.25">
      <c r="A445" s="21"/>
      <c r="B445" s="21"/>
      <c r="C445" s="761"/>
      <c r="D445" s="762"/>
      <c r="E445" s="80"/>
      <c r="F445" s="80"/>
      <c r="G445" s="337">
        <v>26</v>
      </c>
      <c r="H445" s="933" t="s">
        <v>562</v>
      </c>
      <c r="I445" s="933"/>
      <c r="J445" s="933"/>
      <c r="K445" s="933"/>
      <c r="L445" s="933"/>
      <c r="M445" s="933"/>
      <c r="N445" s="933"/>
      <c r="O445" s="933"/>
      <c r="P445" s="933"/>
      <c r="Q445" s="933"/>
      <c r="R445" s="194"/>
      <c r="S445" s="194" t="s">
        <v>0</v>
      </c>
      <c r="T445" s="194"/>
      <c r="U445" s="194"/>
      <c r="V445" s="194"/>
      <c r="W445" s="194"/>
      <c r="X445" s="194"/>
      <c r="Y445" s="194"/>
      <c r="Z445" s="194"/>
      <c r="AA445" s="194"/>
      <c r="AB445" s="194"/>
      <c r="AC445" s="194"/>
      <c r="AD445" s="194"/>
      <c r="AE445" s="194"/>
      <c r="AF445" s="194"/>
      <c r="AG445" s="194"/>
      <c r="AH445" s="194"/>
      <c r="AI445" s="194"/>
      <c r="AJ445" s="194"/>
      <c r="AK445" s="194"/>
      <c r="AL445" s="194"/>
      <c r="AM445" s="196"/>
      <c r="AN445" s="194"/>
      <c r="AO445" s="194"/>
      <c r="AP445" s="194"/>
      <c r="AQ445" s="194"/>
      <c r="AR445" s="197"/>
    </row>
    <row r="446" spans="1:44" s="429" customFormat="1" ht="96" customHeight="1" x14ac:dyDescent="0.25">
      <c r="A446" s="21"/>
      <c r="B446" s="21"/>
      <c r="C446" s="761" t="s">
        <v>563</v>
      </c>
      <c r="D446" s="159" t="s">
        <v>564</v>
      </c>
      <c r="E446" s="83" t="s">
        <v>565</v>
      </c>
      <c r="F446" s="83" t="s">
        <v>566</v>
      </c>
      <c r="G446" s="762"/>
      <c r="H446" s="767">
        <v>110</v>
      </c>
      <c r="I446" s="762" t="s">
        <v>567</v>
      </c>
      <c r="J446" s="58">
        <v>180</v>
      </c>
      <c r="K446" s="436">
        <v>200</v>
      </c>
      <c r="L446" s="659">
        <v>0</v>
      </c>
      <c r="M446" s="436" t="s">
        <v>461</v>
      </c>
      <c r="N446" s="39" t="s">
        <v>568</v>
      </c>
      <c r="O446" s="762" t="s">
        <v>569</v>
      </c>
      <c r="P446" s="767" t="s">
        <v>47</v>
      </c>
      <c r="Q446" s="762">
        <v>0</v>
      </c>
      <c r="R446" s="762">
        <v>0</v>
      </c>
      <c r="S446" s="762">
        <v>0</v>
      </c>
      <c r="T446" s="762">
        <v>0</v>
      </c>
      <c r="U446" s="762">
        <v>0</v>
      </c>
      <c r="V446" s="762">
        <v>0</v>
      </c>
      <c r="W446" s="762">
        <v>0</v>
      </c>
      <c r="X446" s="762"/>
      <c r="Y446" s="762"/>
      <c r="Z446" s="762"/>
      <c r="AA446" s="762">
        <v>0</v>
      </c>
      <c r="AB446" s="762"/>
      <c r="AC446" s="762">
        <v>0</v>
      </c>
      <c r="AD446" s="762">
        <v>0</v>
      </c>
      <c r="AE446" s="437"/>
      <c r="AF446" s="437"/>
      <c r="AG446" s="437"/>
      <c r="AH446" s="437"/>
      <c r="AI446" s="437"/>
      <c r="AJ446" s="437">
        <v>1200000000</v>
      </c>
      <c r="AK446" s="762">
        <v>0</v>
      </c>
      <c r="AL446" s="762">
        <v>0</v>
      </c>
      <c r="AM446" s="438">
        <v>0</v>
      </c>
      <c r="AN446" s="247"/>
      <c r="AO446" s="159">
        <v>0</v>
      </c>
      <c r="AP446" s="50">
        <v>0</v>
      </c>
      <c r="AQ446" s="50"/>
      <c r="AR446" s="27">
        <f t="shared" si="254"/>
        <v>1200000000</v>
      </c>
    </row>
    <row r="447" spans="1:44" s="429" customFormat="1" ht="15" x14ac:dyDescent="0.25">
      <c r="A447" s="21"/>
      <c r="B447" s="21"/>
      <c r="C447" s="761"/>
      <c r="D447" s="159"/>
      <c r="E447" s="83"/>
      <c r="F447" s="83"/>
      <c r="G447" s="160"/>
      <c r="H447" s="161"/>
      <c r="I447" s="160"/>
      <c r="J447" s="401"/>
      <c r="K447" s="414"/>
      <c r="L447" s="414"/>
      <c r="M447" s="414"/>
      <c r="N447" s="163"/>
      <c r="O447" s="160"/>
      <c r="P447" s="161"/>
      <c r="Q447" s="160">
        <f t="shared" ref="Q447:AA447" si="276">SUM(Q446)</f>
        <v>0</v>
      </c>
      <c r="R447" s="160">
        <f t="shared" si="276"/>
        <v>0</v>
      </c>
      <c r="S447" s="160">
        <f t="shared" si="276"/>
        <v>0</v>
      </c>
      <c r="T447" s="160">
        <f t="shared" si="276"/>
        <v>0</v>
      </c>
      <c r="U447" s="160">
        <f t="shared" si="276"/>
        <v>0</v>
      </c>
      <c r="V447" s="160">
        <f t="shared" si="276"/>
        <v>0</v>
      </c>
      <c r="W447" s="160">
        <f t="shared" si="276"/>
        <v>0</v>
      </c>
      <c r="X447" s="160">
        <f t="shared" si="276"/>
        <v>0</v>
      </c>
      <c r="Y447" s="160">
        <f t="shared" si="276"/>
        <v>0</v>
      </c>
      <c r="Z447" s="160">
        <f t="shared" si="276"/>
        <v>0</v>
      </c>
      <c r="AA447" s="160">
        <f t="shared" si="276"/>
        <v>0</v>
      </c>
      <c r="AB447" s="160"/>
      <c r="AC447" s="160">
        <f>SUM(AC446)</f>
        <v>0</v>
      </c>
      <c r="AD447" s="160">
        <f>SUM(AD446)</f>
        <v>0</v>
      </c>
      <c r="AE447" s="160">
        <f>SUM(AE446)</f>
        <v>0</v>
      </c>
      <c r="AF447" s="160">
        <f>SUM(AF446)</f>
        <v>0</v>
      </c>
      <c r="AG447" s="160"/>
      <c r="AH447" s="160">
        <f t="shared" ref="AH447:AM447" si="277">SUM(AH446)</f>
        <v>0</v>
      </c>
      <c r="AI447" s="160">
        <f t="shared" si="277"/>
        <v>0</v>
      </c>
      <c r="AJ447" s="440">
        <f t="shared" si="277"/>
        <v>1200000000</v>
      </c>
      <c r="AK447" s="160">
        <f t="shared" si="277"/>
        <v>0</v>
      </c>
      <c r="AL447" s="160">
        <f t="shared" si="277"/>
        <v>0</v>
      </c>
      <c r="AM447" s="434">
        <f t="shared" si="277"/>
        <v>0</v>
      </c>
      <c r="AN447" s="160"/>
      <c r="AO447" s="160">
        <f>SUM(AO446)</f>
        <v>0</v>
      </c>
      <c r="AP447" s="160">
        <f>SUM(AP446)</f>
        <v>0</v>
      </c>
      <c r="AQ447" s="160">
        <f>SUM(AQ446)</f>
        <v>0</v>
      </c>
      <c r="AR447" s="435">
        <f t="shared" si="254"/>
        <v>1200000000</v>
      </c>
    </row>
    <row r="448" spans="1:44" s="429" customFormat="1" ht="15" x14ac:dyDescent="0.25">
      <c r="A448" s="21"/>
      <c r="B448" s="21"/>
      <c r="C448" s="760"/>
      <c r="D448" s="183"/>
      <c r="E448" s="403"/>
      <c r="F448" s="403"/>
      <c r="G448" s="183"/>
      <c r="H448" s="760"/>
      <c r="I448" s="183"/>
      <c r="J448" s="404"/>
      <c r="K448" s="404"/>
      <c r="L448" s="873"/>
      <c r="M448" s="873"/>
      <c r="N448" s="833"/>
      <c r="O448" s="829"/>
      <c r="P448" s="760"/>
      <c r="Q448" s="186"/>
      <c r="R448" s="186"/>
      <c r="S448" s="186"/>
      <c r="T448" s="186"/>
      <c r="U448" s="186"/>
      <c r="V448" s="186"/>
      <c r="W448" s="103"/>
      <c r="X448" s="186"/>
      <c r="Y448" s="186"/>
      <c r="Z448" s="186"/>
      <c r="AA448" s="186"/>
      <c r="AB448" s="186"/>
      <c r="AC448" s="186"/>
      <c r="AD448" s="186"/>
      <c r="AE448" s="187"/>
      <c r="AF448" s="187"/>
      <c r="AG448" s="187"/>
      <c r="AH448" s="187"/>
      <c r="AI448" s="187"/>
      <c r="AJ448" s="187"/>
      <c r="AK448" s="186"/>
      <c r="AL448" s="186"/>
      <c r="AM448" s="287"/>
      <c r="AN448" s="103"/>
      <c r="AO448" s="186"/>
      <c r="AP448" s="186"/>
      <c r="AQ448" s="186"/>
      <c r="AR448" s="205">
        <f t="shared" si="254"/>
        <v>0</v>
      </c>
    </row>
    <row r="449" spans="1:44" s="429" customFormat="1" ht="15" x14ac:dyDescent="0.25">
      <c r="A449" s="21"/>
      <c r="B449" s="21"/>
      <c r="C449" s="761"/>
      <c r="D449" s="762"/>
      <c r="E449" s="80"/>
      <c r="F449" s="80"/>
      <c r="G449" s="337">
        <v>27</v>
      </c>
      <c r="H449" s="933" t="s">
        <v>900</v>
      </c>
      <c r="I449" s="933"/>
      <c r="J449" s="933"/>
      <c r="K449" s="933"/>
      <c r="L449" s="933"/>
      <c r="M449" s="933"/>
      <c r="N449" s="933"/>
      <c r="O449" s="933"/>
      <c r="P449" s="933"/>
      <c r="Q449" s="933"/>
      <c r="R449" s="933"/>
      <c r="S449" s="194"/>
      <c r="T449" s="194"/>
      <c r="U449" s="194"/>
      <c r="V449" s="194"/>
      <c r="W449" s="194"/>
      <c r="X449" s="194"/>
      <c r="Y449" s="194"/>
      <c r="Z449" s="194"/>
      <c r="AA449" s="194"/>
      <c r="AB449" s="194"/>
      <c r="AC449" s="194"/>
      <c r="AD449" s="194"/>
      <c r="AE449" s="194"/>
      <c r="AF449" s="194"/>
      <c r="AG449" s="194"/>
      <c r="AH449" s="194"/>
      <c r="AI449" s="194"/>
      <c r="AJ449" s="194"/>
      <c r="AK449" s="194"/>
      <c r="AL449" s="194"/>
      <c r="AM449" s="196"/>
      <c r="AN449" s="194"/>
      <c r="AO449" s="194"/>
      <c r="AP449" s="194"/>
      <c r="AQ449" s="194"/>
      <c r="AR449" s="197"/>
    </row>
    <row r="450" spans="1:44" s="165" customFormat="1" ht="92.25" customHeight="1" x14ac:dyDescent="0.25">
      <c r="A450" s="21"/>
      <c r="B450" s="21"/>
      <c r="C450" s="761" t="s">
        <v>482</v>
      </c>
      <c r="D450" s="159" t="s">
        <v>483</v>
      </c>
      <c r="E450" s="83" t="s">
        <v>528</v>
      </c>
      <c r="F450" s="83" t="s">
        <v>529</v>
      </c>
      <c r="G450" s="24"/>
      <c r="H450" s="767">
        <v>111</v>
      </c>
      <c r="I450" s="762" t="s">
        <v>570</v>
      </c>
      <c r="J450" s="441">
        <v>1</v>
      </c>
      <c r="K450" s="441">
        <v>1</v>
      </c>
      <c r="L450" s="660">
        <v>1</v>
      </c>
      <c r="M450" s="54" t="s">
        <v>461</v>
      </c>
      <c r="N450" s="39" t="s">
        <v>571</v>
      </c>
      <c r="O450" s="721" t="s">
        <v>572</v>
      </c>
      <c r="P450" s="767" t="s">
        <v>47</v>
      </c>
      <c r="Q450" s="762">
        <v>0</v>
      </c>
      <c r="R450" s="762">
        <v>0</v>
      </c>
      <c r="S450" s="762">
        <v>0</v>
      </c>
      <c r="T450" s="762">
        <v>0</v>
      </c>
      <c r="U450" s="762">
        <v>0</v>
      </c>
      <c r="V450" s="762">
        <v>0</v>
      </c>
      <c r="W450" s="762">
        <v>0</v>
      </c>
      <c r="X450" s="762"/>
      <c r="Y450" s="762"/>
      <c r="Z450" s="762"/>
      <c r="AA450" s="762">
        <v>0</v>
      </c>
      <c r="AB450" s="762"/>
      <c r="AC450" s="762">
        <v>0</v>
      </c>
      <c r="AD450" s="762">
        <v>0</v>
      </c>
      <c r="AE450" s="442"/>
      <c r="AF450" s="443">
        <f>17987346928+35351202</f>
        <v>18022698130</v>
      </c>
      <c r="AG450" s="443"/>
      <c r="AH450" s="442"/>
      <c r="AI450" s="442"/>
      <c r="AJ450" s="442"/>
      <c r="AK450" s="762">
        <v>0</v>
      </c>
      <c r="AL450" s="762">
        <v>0</v>
      </c>
      <c r="AM450" s="438">
        <v>0</v>
      </c>
      <c r="AN450" s="247"/>
      <c r="AO450" s="159">
        <v>0</v>
      </c>
      <c r="AP450" s="439">
        <v>0</v>
      </c>
      <c r="AQ450" s="439"/>
      <c r="AR450" s="27">
        <f t="shared" si="254"/>
        <v>18022698130</v>
      </c>
    </row>
    <row r="451" spans="1:44" s="165" customFormat="1" ht="15" x14ac:dyDescent="0.25">
      <c r="A451" s="21"/>
      <c r="B451" s="21"/>
      <c r="C451" s="761"/>
      <c r="D451" s="159"/>
      <c r="E451" s="80"/>
      <c r="F451" s="80"/>
      <c r="G451" s="160"/>
      <c r="H451" s="161"/>
      <c r="I451" s="160"/>
      <c r="J451" s="444"/>
      <c r="K451" s="444"/>
      <c r="L451" s="444"/>
      <c r="M451" s="444"/>
      <c r="N451" s="163"/>
      <c r="O451" s="160"/>
      <c r="P451" s="161"/>
      <c r="Q451" s="160">
        <f t="shared" ref="Q451:AM451" si="278">SUM(Q450:Q450)</f>
        <v>0</v>
      </c>
      <c r="R451" s="160">
        <f t="shared" si="278"/>
        <v>0</v>
      </c>
      <c r="S451" s="160">
        <f t="shared" si="278"/>
        <v>0</v>
      </c>
      <c r="T451" s="160">
        <f t="shared" si="278"/>
        <v>0</v>
      </c>
      <c r="U451" s="160">
        <f t="shared" si="278"/>
        <v>0</v>
      </c>
      <c r="V451" s="160">
        <f t="shared" si="278"/>
        <v>0</v>
      </c>
      <c r="W451" s="160">
        <f t="shared" si="278"/>
        <v>0</v>
      </c>
      <c r="X451" s="160">
        <f t="shared" si="278"/>
        <v>0</v>
      </c>
      <c r="Y451" s="160">
        <f t="shared" si="278"/>
        <v>0</v>
      </c>
      <c r="Z451" s="160">
        <f t="shared" si="278"/>
        <v>0</v>
      </c>
      <c r="AA451" s="160">
        <f t="shared" si="278"/>
        <v>0</v>
      </c>
      <c r="AB451" s="160">
        <f t="shared" si="278"/>
        <v>0</v>
      </c>
      <c r="AC451" s="160">
        <f t="shared" si="278"/>
        <v>0</v>
      </c>
      <c r="AD451" s="160">
        <f t="shared" si="278"/>
        <v>0</v>
      </c>
      <c r="AE451" s="160">
        <f t="shared" si="278"/>
        <v>0</v>
      </c>
      <c r="AF451" s="681">
        <f t="shared" si="278"/>
        <v>18022698130</v>
      </c>
      <c r="AG451" s="160">
        <f t="shared" si="278"/>
        <v>0</v>
      </c>
      <c r="AH451" s="160">
        <f t="shared" si="278"/>
        <v>0</v>
      </c>
      <c r="AI451" s="160">
        <f t="shared" si="278"/>
        <v>0</v>
      </c>
      <c r="AJ451" s="160">
        <f t="shared" si="278"/>
        <v>0</v>
      </c>
      <c r="AK451" s="160">
        <f t="shared" si="278"/>
        <v>0</v>
      </c>
      <c r="AL451" s="160">
        <f t="shared" si="278"/>
        <v>0</v>
      </c>
      <c r="AM451" s="160">
        <f t="shared" si="278"/>
        <v>0</v>
      </c>
      <c r="AN451" s="445">
        <f t="shared" ref="AN451:AP451" si="279">SUM(AN450:AN450)</f>
        <v>0</v>
      </c>
      <c r="AO451" s="445">
        <f t="shared" si="279"/>
        <v>0</v>
      </c>
      <c r="AP451" s="445">
        <f t="shared" si="279"/>
        <v>0</v>
      </c>
      <c r="AQ451" s="445">
        <f t="shared" ref="AQ451" si="280">SUM(AQ450:AQ450)</f>
        <v>0</v>
      </c>
      <c r="AR451" s="445">
        <f t="shared" si="254"/>
        <v>18022698130</v>
      </c>
    </row>
    <row r="452" spans="1:44" s="165" customFormat="1" ht="15" x14ac:dyDescent="0.25">
      <c r="A452" s="21"/>
      <c r="B452" s="21"/>
      <c r="C452" s="760"/>
      <c r="D452" s="183"/>
      <c r="E452" s="403"/>
      <c r="F452" s="403"/>
      <c r="G452" s="183"/>
      <c r="H452" s="760"/>
      <c r="I452" s="183"/>
      <c r="J452" s="404"/>
      <c r="K452" s="404"/>
      <c r="L452" s="873"/>
      <c r="M452" s="873"/>
      <c r="N452" s="833"/>
      <c r="O452" s="829"/>
      <c r="P452" s="760"/>
      <c r="Q452" s="186"/>
      <c r="R452" s="186"/>
      <c r="S452" s="186"/>
      <c r="T452" s="186"/>
      <c r="U452" s="186"/>
      <c r="V452" s="186"/>
      <c r="W452" s="103"/>
      <c r="X452" s="186"/>
      <c r="Y452" s="186"/>
      <c r="Z452" s="186"/>
      <c r="AA452" s="186"/>
      <c r="AB452" s="186"/>
      <c r="AC452" s="186"/>
      <c r="AD452" s="186"/>
      <c r="AE452" s="186"/>
      <c r="AF452" s="186"/>
      <c r="AG452" s="186"/>
      <c r="AH452" s="186"/>
      <c r="AI452" s="186"/>
      <c r="AJ452" s="186"/>
      <c r="AK452" s="186"/>
      <c r="AL452" s="186"/>
      <c r="AM452" s="287"/>
      <c r="AN452" s="103"/>
      <c r="AO452" s="186"/>
      <c r="AP452" s="186"/>
      <c r="AQ452" s="186"/>
      <c r="AR452" s="205">
        <f t="shared" si="254"/>
        <v>0</v>
      </c>
    </row>
    <row r="453" spans="1:44" s="165" customFormat="1" ht="15" x14ac:dyDescent="0.25">
      <c r="A453" s="21"/>
      <c r="B453" s="21"/>
      <c r="C453" s="761"/>
      <c r="D453" s="762"/>
      <c r="E453" s="80"/>
      <c r="F453" s="80"/>
      <c r="G453" s="337">
        <v>28</v>
      </c>
      <c r="H453" s="933" t="s">
        <v>573</v>
      </c>
      <c r="I453" s="933"/>
      <c r="J453" s="933"/>
      <c r="K453" s="933"/>
      <c r="L453" s="933"/>
      <c r="M453" s="933"/>
      <c r="N453" s="933"/>
      <c r="O453" s="933"/>
      <c r="P453" s="933"/>
      <c r="Q453" s="933"/>
      <c r="R453" s="194"/>
      <c r="S453" s="194"/>
      <c r="T453" s="194"/>
      <c r="U453" s="194"/>
      <c r="V453" s="194"/>
      <c r="W453" s="194"/>
      <c r="X453" s="194"/>
      <c r="Y453" s="194"/>
      <c r="Z453" s="194"/>
      <c r="AA453" s="194"/>
      <c r="AB453" s="194"/>
      <c r="AC453" s="194"/>
      <c r="AD453" s="194"/>
      <c r="AE453" s="194"/>
      <c r="AF453" s="194"/>
      <c r="AG453" s="194"/>
      <c r="AH453" s="194"/>
      <c r="AI453" s="194"/>
      <c r="AJ453" s="194"/>
      <c r="AK453" s="194"/>
      <c r="AL453" s="194"/>
      <c r="AM453" s="196"/>
      <c r="AN453" s="194"/>
      <c r="AO453" s="194"/>
      <c r="AP453" s="194"/>
      <c r="AQ453" s="194"/>
      <c r="AR453" s="197"/>
    </row>
    <row r="454" spans="1:44" s="165" customFormat="1" ht="48" customHeight="1" x14ac:dyDescent="0.25">
      <c r="A454" s="21"/>
      <c r="B454" s="21"/>
      <c r="C454" s="912" t="s">
        <v>482</v>
      </c>
      <c r="D454" s="944" t="s">
        <v>483</v>
      </c>
      <c r="E454" s="1016" t="s">
        <v>528</v>
      </c>
      <c r="F454" s="1016" t="s">
        <v>529</v>
      </c>
      <c r="G454" s="24"/>
      <c r="H454" s="767">
        <v>112</v>
      </c>
      <c r="I454" s="762" t="s">
        <v>574</v>
      </c>
      <c r="J454" s="446">
        <v>0</v>
      </c>
      <c r="K454" s="90">
        <v>20</v>
      </c>
      <c r="L454" s="658">
        <v>0</v>
      </c>
      <c r="M454" s="1019">
        <v>1</v>
      </c>
      <c r="N454" s="1021" t="s">
        <v>575</v>
      </c>
      <c r="O454" s="941" t="s">
        <v>576</v>
      </c>
      <c r="P454" s="767" t="s">
        <v>42</v>
      </c>
      <c r="Q454" s="762">
        <v>0</v>
      </c>
      <c r="R454" s="762">
        <v>0</v>
      </c>
      <c r="S454" s="762">
        <v>0</v>
      </c>
      <c r="T454" s="762">
        <v>0</v>
      </c>
      <c r="U454" s="762">
        <v>0</v>
      </c>
      <c r="V454" s="762">
        <v>0</v>
      </c>
      <c r="W454" s="27">
        <v>720000</v>
      </c>
      <c r="X454" s="762"/>
      <c r="Y454" s="762"/>
      <c r="Z454" s="762"/>
      <c r="AA454" s="762">
        <v>0</v>
      </c>
      <c r="AB454" s="762"/>
      <c r="AC454" s="762">
        <v>0</v>
      </c>
      <c r="AD454" s="762">
        <v>0</v>
      </c>
      <c r="AE454" s="448"/>
      <c r="AF454" s="448"/>
      <c r="AG454" s="448"/>
      <c r="AH454" s="448"/>
      <c r="AI454" s="448"/>
      <c r="AJ454" s="448"/>
      <c r="AK454" s="762">
        <v>0</v>
      </c>
      <c r="AL454" s="762">
        <v>0</v>
      </c>
      <c r="AM454" s="109">
        <f>30000000-10000000</f>
        <v>20000000</v>
      </c>
      <c r="AN454" s="432"/>
      <c r="AO454" s="159">
        <v>0</v>
      </c>
      <c r="AP454" s="439">
        <v>0</v>
      </c>
      <c r="AQ454" s="439"/>
      <c r="AR454" s="27">
        <f t="shared" si="254"/>
        <v>20720000</v>
      </c>
    </row>
    <row r="455" spans="1:44" s="165" customFormat="1" ht="68.25" customHeight="1" x14ac:dyDescent="0.25">
      <c r="A455" s="21"/>
      <c r="B455" s="21"/>
      <c r="C455" s="914"/>
      <c r="D455" s="945"/>
      <c r="E455" s="1017"/>
      <c r="F455" s="1017"/>
      <c r="G455" s="32"/>
      <c r="H455" s="767">
        <v>113</v>
      </c>
      <c r="I455" s="762" t="s">
        <v>577</v>
      </c>
      <c r="J455" s="446">
        <v>0</v>
      </c>
      <c r="K455" s="90">
        <v>3</v>
      </c>
      <c r="L455" s="657">
        <v>0</v>
      </c>
      <c r="M455" s="1020"/>
      <c r="N455" s="1022"/>
      <c r="O455" s="943"/>
      <c r="P455" s="767" t="s">
        <v>42</v>
      </c>
      <c r="Q455" s="762">
        <v>0</v>
      </c>
      <c r="R455" s="762">
        <v>0</v>
      </c>
      <c r="S455" s="762">
        <v>0</v>
      </c>
      <c r="T455" s="762">
        <v>0</v>
      </c>
      <c r="U455" s="762">
        <v>0</v>
      </c>
      <c r="V455" s="762">
        <v>0</v>
      </c>
      <c r="W455" s="27">
        <f>11880000</f>
        <v>11880000</v>
      </c>
      <c r="X455" s="762"/>
      <c r="Y455" s="762"/>
      <c r="Z455" s="762"/>
      <c r="AA455" s="762">
        <v>0</v>
      </c>
      <c r="AB455" s="762"/>
      <c r="AC455" s="762">
        <v>0</v>
      </c>
      <c r="AD455" s="762">
        <v>0</v>
      </c>
      <c r="AE455" s="17"/>
      <c r="AF455" s="17"/>
      <c r="AG455" s="17"/>
      <c r="AH455" s="17"/>
      <c r="AI455" s="17"/>
      <c r="AJ455" s="17"/>
      <c r="AK455" s="762">
        <v>0</v>
      </c>
      <c r="AL455" s="762">
        <v>0</v>
      </c>
      <c r="AM455" s="109">
        <v>10000000</v>
      </c>
      <c r="AN455" s="86"/>
      <c r="AO455" s="159">
        <v>0</v>
      </c>
      <c r="AP455" s="439">
        <v>0</v>
      </c>
      <c r="AQ455" s="439"/>
      <c r="AR455" s="27">
        <f t="shared" si="254"/>
        <v>21880000</v>
      </c>
    </row>
    <row r="456" spans="1:44" s="454" customFormat="1" ht="20.25" x14ac:dyDescent="0.25">
      <c r="A456" s="449"/>
      <c r="B456" s="450"/>
      <c r="C456" s="761"/>
      <c r="D456" s="451"/>
      <c r="E456" s="452"/>
      <c r="F456" s="452"/>
      <c r="G456" s="433"/>
      <c r="H456" s="161"/>
      <c r="I456" s="433"/>
      <c r="J456" s="445"/>
      <c r="K456" s="453"/>
      <c r="L456" s="453"/>
      <c r="M456" s="453"/>
      <c r="N456" s="163"/>
      <c r="O456" s="433"/>
      <c r="P456" s="433"/>
      <c r="Q456" s="433">
        <f t="shared" ref="Q456:AA456" si="281">SUM(Q454:Q455)</f>
        <v>0</v>
      </c>
      <c r="R456" s="433">
        <f t="shared" si="281"/>
        <v>0</v>
      </c>
      <c r="S456" s="433">
        <f t="shared" si="281"/>
        <v>0</v>
      </c>
      <c r="T456" s="433">
        <f t="shared" si="281"/>
        <v>0</v>
      </c>
      <c r="U456" s="433">
        <f t="shared" si="281"/>
        <v>0</v>
      </c>
      <c r="V456" s="433">
        <f t="shared" si="281"/>
        <v>0</v>
      </c>
      <c r="W456" s="445">
        <f t="shared" si="281"/>
        <v>12600000</v>
      </c>
      <c r="X456" s="433">
        <f t="shared" si="281"/>
        <v>0</v>
      </c>
      <c r="Y456" s="433">
        <f t="shared" si="281"/>
        <v>0</v>
      </c>
      <c r="Z456" s="433">
        <f t="shared" si="281"/>
        <v>0</v>
      </c>
      <c r="AA456" s="433">
        <f t="shared" si="281"/>
        <v>0</v>
      </c>
      <c r="AB456" s="433">
        <f t="shared" ref="AB456:AC456" si="282">SUM(AB454:AB455)</f>
        <v>0</v>
      </c>
      <c r="AC456" s="433">
        <f t="shared" si="282"/>
        <v>0</v>
      </c>
      <c r="AD456" s="433">
        <f>SUM(AD454:AD455)</f>
        <v>0</v>
      </c>
      <c r="AE456" s="433">
        <f>SUM(AE454:AE455)</f>
        <v>0</v>
      </c>
      <c r="AF456" s="433">
        <f t="shared" ref="AF456:AG456" si="283">SUM(AF454:AF455)</f>
        <v>0</v>
      </c>
      <c r="AG456" s="433">
        <f t="shared" si="283"/>
        <v>0</v>
      </c>
      <c r="AH456" s="433">
        <f>SUM(AH454:AH455)</f>
        <v>0</v>
      </c>
      <c r="AI456" s="433">
        <f t="shared" ref="AI456:AK456" si="284">SUM(AI454:AI455)</f>
        <v>0</v>
      </c>
      <c r="AJ456" s="433">
        <f t="shared" si="284"/>
        <v>0</v>
      </c>
      <c r="AK456" s="433">
        <f t="shared" si="284"/>
        <v>0</v>
      </c>
      <c r="AL456" s="433">
        <f t="shared" ref="AL456:AP456" si="285">SUM(AL454:AL455)</f>
        <v>0</v>
      </c>
      <c r="AM456" s="434">
        <f t="shared" si="285"/>
        <v>30000000</v>
      </c>
      <c r="AN456" s="434">
        <f t="shared" si="285"/>
        <v>0</v>
      </c>
      <c r="AO456" s="433">
        <f t="shared" si="285"/>
        <v>0</v>
      </c>
      <c r="AP456" s="433">
        <f t="shared" si="285"/>
        <v>0</v>
      </c>
      <c r="AQ456" s="433">
        <f t="shared" ref="AQ456" si="286">SUM(AQ454:AQ455)</f>
        <v>0</v>
      </c>
      <c r="AR456" s="433">
        <f t="shared" si="254"/>
        <v>42600000</v>
      </c>
    </row>
    <row r="457" spans="1:44" s="460" customFormat="1" ht="15" x14ac:dyDescent="0.25">
      <c r="A457" s="449"/>
      <c r="B457" s="455"/>
      <c r="C457" s="168"/>
      <c r="D457" s="456"/>
      <c r="E457" s="456"/>
      <c r="F457" s="456"/>
      <c r="G457" s="456"/>
      <c r="H457" s="168"/>
      <c r="I457" s="456"/>
      <c r="J457" s="457"/>
      <c r="K457" s="458"/>
      <c r="L457" s="458"/>
      <c r="M457" s="458"/>
      <c r="N457" s="170"/>
      <c r="O457" s="456"/>
      <c r="P457" s="456"/>
      <c r="Q457" s="456">
        <f t="shared" ref="Q457:AA457" si="287">Q456+Q451+Q447+Q443</f>
        <v>0</v>
      </c>
      <c r="R457" s="456">
        <f t="shared" si="287"/>
        <v>0</v>
      </c>
      <c r="S457" s="456">
        <f t="shared" si="287"/>
        <v>0</v>
      </c>
      <c r="T457" s="456">
        <f t="shared" si="287"/>
        <v>0</v>
      </c>
      <c r="U457" s="456">
        <f t="shared" si="287"/>
        <v>0</v>
      </c>
      <c r="V457" s="456">
        <f t="shared" si="287"/>
        <v>0</v>
      </c>
      <c r="W457" s="457">
        <f t="shared" si="287"/>
        <v>12600000</v>
      </c>
      <c r="X457" s="456">
        <f t="shared" si="287"/>
        <v>0</v>
      </c>
      <c r="Y457" s="456">
        <f t="shared" si="287"/>
        <v>0</v>
      </c>
      <c r="Z457" s="456">
        <f t="shared" si="287"/>
        <v>0</v>
      </c>
      <c r="AA457" s="456">
        <f t="shared" si="287"/>
        <v>0</v>
      </c>
      <c r="AB457" s="456">
        <f t="shared" ref="AB457:AC457" si="288">AB456+AB451+AB447+AB443</f>
        <v>0</v>
      </c>
      <c r="AC457" s="456">
        <f t="shared" si="288"/>
        <v>0</v>
      </c>
      <c r="AD457" s="456">
        <f t="shared" ref="AD457:AM457" si="289">AD456+AD451+AD447+AD443</f>
        <v>0</v>
      </c>
      <c r="AE457" s="456">
        <f t="shared" si="289"/>
        <v>0</v>
      </c>
      <c r="AF457" s="457">
        <f t="shared" ref="AF457:AH457" si="290">AF456+AF451+AF447+AF443</f>
        <v>18022698130</v>
      </c>
      <c r="AG457" s="457">
        <f t="shared" si="290"/>
        <v>0</v>
      </c>
      <c r="AH457" s="457">
        <f t="shared" si="290"/>
        <v>0</v>
      </c>
      <c r="AI457" s="456">
        <f t="shared" si="289"/>
        <v>0</v>
      </c>
      <c r="AJ457" s="457">
        <f t="shared" si="289"/>
        <v>1200000000</v>
      </c>
      <c r="AK457" s="456">
        <f t="shared" si="289"/>
        <v>0</v>
      </c>
      <c r="AL457" s="456">
        <f t="shared" si="289"/>
        <v>0</v>
      </c>
      <c r="AM457" s="459">
        <f t="shared" si="289"/>
        <v>110000000</v>
      </c>
      <c r="AN457" s="459">
        <f t="shared" ref="AN457" si="291">AN456+AN451+AN447+AN443</f>
        <v>0</v>
      </c>
      <c r="AO457" s="456">
        <f>AO456+AO451+AO447+AO443</f>
        <v>0</v>
      </c>
      <c r="AP457" s="456">
        <f>AP456+AP451+AP447+AP443</f>
        <v>0</v>
      </c>
      <c r="AQ457" s="456">
        <f>AQ456+AQ451+AQ447+AQ443</f>
        <v>0</v>
      </c>
      <c r="AR457" s="459">
        <f t="shared" si="254"/>
        <v>19345298130</v>
      </c>
    </row>
    <row r="458" spans="1:44" s="165" customFormat="1" ht="15" x14ac:dyDescent="0.25">
      <c r="A458" s="21"/>
      <c r="B458" s="183"/>
      <c r="C458" s="760"/>
      <c r="D458" s="183"/>
      <c r="E458" s="403"/>
      <c r="F458" s="403"/>
      <c r="G458" s="183"/>
      <c r="H458" s="760"/>
      <c r="I458" s="183"/>
      <c r="J458" s="404"/>
      <c r="K458" s="404"/>
      <c r="L458" s="873"/>
      <c r="M458" s="873"/>
      <c r="N458" s="833"/>
      <c r="O458" s="829"/>
      <c r="P458" s="760"/>
      <c r="Q458" s="186"/>
      <c r="R458" s="186"/>
      <c r="S458" s="186"/>
      <c r="T458" s="186"/>
      <c r="U458" s="186"/>
      <c r="V458" s="186"/>
      <c r="W458" s="103"/>
      <c r="X458" s="186"/>
      <c r="Y458" s="186"/>
      <c r="Z458" s="186"/>
      <c r="AA458" s="186"/>
      <c r="AB458" s="186"/>
      <c r="AC458" s="186"/>
      <c r="AD458" s="186"/>
      <c r="AE458" s="186"/>
      <c r="AF458" s="186"/>
      <c r="AG458" s="186"/>
      <c r="AH458" s="186"/>
      <c r="AI458" s="186"/>
      <c r="AJ458" s="186"/>
      <c r="AK458" s="186"/>
      <c r="AL458" s="186"/>
      <c r="AM458" s="287"/>
      <c r="AN458" s="103"/>
      <c r="AO458" s="186"/>
      <c r="AP458" s="186"/>
      <c r="AQ458" s="186"/>
      <c r="AR458" s="205">
        <f t="shared" si="254"/>
        <v>0</v>
      </c>
    </row>
    <row r="459" spans="1:44" s="165" customFormat="1" x14ac:dyDescent="0.25">
      <c r="A459" s="21"/>
      <c r="B459" s="243">
        <v>16</v>
      </c>
      <c r="C459" s="148" t="s">
        <v>578</v>
      </c>
      <c r="D459" s="149"/>
      <c r="E459" s="149"/>
      <c r="F459" s="149"/>
      <c r="G459" s="149"/>
      <c r="H459" s="150"/>
      <c r="I459" s="149"/>
      <c r="J459" s="149"/>
      <c r="K459" s="149"/>
      <c r="L459" s="149"/>
      <c r="M459" s="149"/>
      <c r="N459" s="151"/>
      <c r="O459" s="149"/>
      <c r="P459" s="149"/>
      <c r="Q459" s="149"/>
      <c r="R459" s="149"/>
      <c r="S459" s="149"/>
      <c r="T459" s="149"/>
      <c r="U459" s="149"/>
      <c r="V459" s="149"/>
      <c r="W459" s="149"/>
      <c r="X459" s="149"/>
      <c r="Y459" s="149"/>
      <c r="Z459" s="149"/>
      <c r="AA459" s="149"/>
      <c r="AB459" s="149"/>
      <c r="AC459" s="149"/>
      <c r="AD459" s="149"/>
      <c r="AE459" s="149"/>
      <c r="AF459" s="149"/>
      <c r="AG459" s="149"/>
      <c r="AH459" s="149"/>
      <c r="AI459" s="149"/>
      <c r="AJ459" s="149"/>
      <c r="AK459" s="149"/>
      <c r="AL459" s="149"/>
      <c r="AM459" s="152"/>
      <c r="AN459" s="149"/>
      <c r="AO459" s="149"/>
      <c r="AP459" s="149"/>
      <c r="AQ459" s="149"/>
      <c r="AR459" s="153"/>
    </row>
    <row r="460" spans="1:44" s="165" customFormat="1" ht="15" x14ac:dyDescent="0.25">
      <c r="A460" s="21"/>
      <c r="B460" s="190"/>
      <c r="C460" s="760"/>
      <c r="D460" s="183"/>
      <c r="E460" s="760"/>
      <c r="F460" s="761"/>
      <c r="G460" s="337">
        <v>57</v>
      </c>
      <c r="H460" s="933" t="s">
        <v>579</v>
      </c>
      <c r="I460" s="933"/>
      <c r="J460" s="933"/>
      <c r="K460" s="933"/>
      <c r="L460" s="933"/>
      <c r="M460" s="933"/>
      <c r="N460" s="933"/>
      <c r="O460" s="933"/>
      <c r="P460" s="933"/>
      <c r="Q460" s="933"/>
      <c r="R460" s="194"/>
      <c r="S460" s="194"/>
      <c r="T460" s="194"/>
      <c r="U460" s="194"/>
      <c r="V460" s="194"/>
      <c r="W460" s="194"/>
      <c r="X460" s="194"/>
      <c r="Y460" s="194"/>
      <c r="Z460" s="194"/>
      <c r="AA460" s="194"/>
      <c r="AB460" s="194"/>
      <c r="AC460" s="194"/>
      <c r="AD460" s="194"/>
      <c r="AE460" s="194"/>
      <c r="AF460" s="194"/>
      <c r="AG460" s="194"/>
      <c r="AH460" s="194"/>
      <c r="AI460" s="194"/>
      <c r="AJ460" s="194"/>
      <c r="AK460" s="194"/>
      <c r="AL460" s="194"/>
      <c r="AM460" s="196"/>
      <c r="AN460" s="194"/>
      <c r="AO460" s="194"/>
      <c r="AP460" s="194"/>
      <c r="AQ460" s="194"/>
      <c r="AR460" s="197"/>
    </row>
    <row r="461" spans="1:44" s="165" customFormat="1" ht="96" customHeight="1" x14ac:dyDescent="0.25">
      <c r="A461" s="21"/>
      <c r="B461" s="21"/>
      <c r="C461" s="461" t="s">
        <v>580</v>
      </c>
      <c r="D461" s="462" t="s">
        <v>581</v>
      </c>
      <c r="E461" s="83" t="s">
        <v>582</v>
      </c>
      <c r="F461" s="83" t="s">
        <v>583</v>
      </c>
      <c r="G461" s="762"/>
      <c r="H461" s="767">
        <v>182</v>
      </c>
      <c r="I461" s="762" t="s">
        <v>584</v>
      </c>
      <c r="J461" s="446">
        <v>1</v>
      </c>
      <c r="K461" s="58">
        <v>1</v>
      </c>
      <c r="L461" s="126">
        <v>1</v>
      </c>
      <c r="M461" s="58" t="s">
        <v>461</v>
      </c>
      <c r="N461" s="39" t="s">
        <v>585</v>
      </c>
      <c r="O461" s="762" t="s">
        <v>586</v>
      </c>
      <c r="P461" s="767" t="s">
        <v>47</v>
      </c>
      <c r="Q461" s="27">
        <v>0</v>
      </c>
      <c r="R461" s="27">
        <v>0</v>
      </c>
      <c r="S461" s="27">
        <v>0</v>
      </c>
      <c r="T461" s="27">
        <v>0</v>
      </c>
      <c r="U461" s="27">
        <v>0</v>
      </c>
      <c r="V461" s="27">
        <v>0</v>
      </c>
      <c r="W461" s="27">
        <v>0</v>
      </c>
      <c r="X461" s="27"/>
      <c r="Y461" s="27"/>
      <c r="Z461" s="27"/>
      <c r="AA461" s="27">
        <v>0</v>
      </c>
      <c r="AB461" s="27"/>
      <c r="AC461" s="27">
        <v>0</v>
      </c>
      <c r="AD461" s="27">
        <v>0</v>
      </c>
      <c r="AE461" s="257"/>
      <c r="AF461" s="257"/>
      <c r="AG461" s="257"/>
      <c r="AH461" s="257"/>
      <c r="AI461" s="257"/>
      <c r="AJ461" s="257"/>
      <c r="AK461" s="27">
        <v>0</v>
      </c>
      <c r="AL461" s="27">
        <v>0</v>
      </c>
      <c r="AM461" s="108">
        <v>40000000</v>
      </c>
      <c r="AN461" s="40"/>
      <c r="AO461" s="319">
        <v>0</v>
      </c>
      <c r="AP461" s="290">
        <v>0</v>
      </c>
      <c r="AQ461" s="290"/>
      <c r="AR461" s="27">
        <f t="shared" ref="AR461:AR524" si="292">Q461+R461+S461+T461+U461+V461+W461+X461+Y461+Z461+AA461+AB461+AC461+AD461+AE461+AF461+AG461+AH461+AI461+AJ461+AK461+AL461+AM461+AN461+AO461+AP461+AQ461</f>
        <v>40000000</v>
      </c>
    </row>
    <row r="462" spans="1:44" s="165" customFormat="1" ht="19.5" customHeight="1" x14ac:dyDescent="0.25">
      <c r="A462" s="21"/>
      <c r="B462" s="158"/>
      <c r="C462" s="461"/>
      <c r="D462" s="463"/>
      <c r="E462" s="83"/>
      <c r="F462" s="83"/>
      <c r="G462" s="160"/>
      <c r="H462" s="161"/>
      <c r="I462" s="160"/>
      <c r="J462" s="401"/>
      <c r="K462" s="401"/>
      <c r="L462" s="401"/>
      <c r="M462" s="401"/>
      <c r="N462" s="163"/>
      <c r="O462" s="160"/>
      <c r="P462" s="161"/>
      <c r="Q462" s="164">
        <f t="shared" ref="Q462:AA462" si="293">SUM(Q461)</f>
        <v>0</v>
      </c>
      <c r="R462" s="164">
        <f t="shared" si="293"/>
        <v>0</v>
      </c>
      <c r="S462" s="164">
        <f t="shared" si="293"/>
        <v>0</v>
      </c>
      <c r="T462" s="164">
        <f t="shared" si="293"/>
        <v>0</v>
      </c>
      <c r="U462" s="164">
        <f t="shared" si="293"/>
        <v>0</v>
      </c>
      <c r="V462" s="164">
        <f t="shared" si="293"/>
        <v>0</v>
      </c>
      <c r="W462" s="164">
        <f t="shared" si="293"/>
        <v>0</v>
      </c>
      <c r="X462" s="164">
        <f t="shared" si="293"/>
        <v>0</v>
      </c>
      <c r="Y462" s="164">
        <f t="shared" si="293"/>
        <v>0</v>
      </c>
      <c r="Z462" s="164">
        <f t="shared" si="293"/>
        <v>0</v>
      </c>
      <c r="AA462" s="164">
        <f t="shared" si="293"/>
        <v>0</v>
      </c>
      <c r="AB462" s="164">
        <f>SUM(AB461)</f>
        <v>0</v>
      </c>
      <c r="AC462" s="164">
        <f>SUM(AC461)</f>
        <v>0</v>
      </c>
      <c r="AD462" s="164">
        <f>SUM(AD461)</f>
        <v>0</v>
      </c>
      <c r="AE462" s="164">
        <f>SUM(AE461)</f>
        <v>0</v>
      </c>
      <c r="AF462" s="164">
        <f t="shared" ref="AF462" si="294">SUM(AF461)</f>
        <v>0</v>
      </c>
      <c r="AG462" s="164">
        <f t="shared" ref="AG462" si="295">SUM(AG461)</f>
        <v>0</v>
      </c>
      <c r="AH462" s="164">
        <f t="shared" ref="AH462" si="296">SUM(AH461)</f>
        <v>0</v>
      </c>
      <c r="AI462" s="164">
        <f t="shared" ref="AI462" si="297">SUM(AI461)</f>
        <v>0</v>
      </c>
      <c r="AJ462" s="164">
        <f t="shared" ref="AJ462" si="298">SUM(AJ461)</f>
        <v>0</v>
      </c>
      <c r="AK462" s="164">
        <f t="shared" ref="AK462" si="299">SUM(AK461)</f>
        <v>0</v>
      </c>
      <c r="AL462" s="164">
        <f t="shared" ref="AL462" si="300">SUM(AL461)</f>
        <v>0</v>
      </c>
      <c r="AM462" s="164">
        <f t="shared" ref="AM462" si="301">SUM(AM461)</f>
        <v>40000000</v>
      </c>
      <c r="AN462" s="164">
        <f t="shared" ref="AN462" si="302">SUM(AN461)</f>
        <v>0</v>
      </c>
      <c r="AO462" s="164">
        <f t="shared" ref="AO462" si="303">SUM(AO461)</f>
        <v>0</v>
      </c>
      <c r="AP462" s="164">
        <f t="shared" ref="AP462:AQ462" si="304">SUM(AP461)</f>
        <v>0</v>
      </c>
      <c r="AQ462" s="164">
        <f t="shared" si="304"/>
        <v>0</v>
      </c>
      <c r="AR462" s="164">
        <f t="shared" si="292"/>
        <v>40000000</v>
      </c>
    </row>
    <row r="463" spans="1:44" s="467" customFormat="1" ht="23.25" customHeight="1" x14ac:dyDescent="0.25">
      <c r="A463" s="158"/>
      <c r="B463" s="464"/>
      <c r="C463" s="465"/>
      <c r="D463" s="466"/>
      <c r="E463" s="409"/>
      <c r="F463" s="409"/>
      <c r="G463" s="167"/>
      <c r="H463" s="168"/>
      <c r="I463" s="167"/>
      <c r="J463" s="410"/>
      <c r="K463" s="410"/>
      <c r="L463" s="410"/>
      <c r="M463" s="410"/>
      <c r="N463" s="170"/>
      <c r="O463" s="167"/>
      <c r="P463" s="168"/>
      <c r="Q463" s="171">
        <f t="shared" ref="Q463:AA463" si="305">Q462</f>
        <v>0</v>
      </c>
      <c r="R463" s="171">
        <f t="shared" si="305"/>
        <v>0</v>
      </c>
      <c r="S463" s="171">
        <f t="shared" si="305"/>
        <v>0</v>
      </c>
      <c r="T463" s="171">
        <f t="shared" si="305"/>
        <v>0</v>
      </c>
      <c r="U463" s="171">
        <f t="shared" si="305"/>
        <v>0</v>
      </c>
      <c r="V463" s="171">
        <f t="shared" si="305"/>
        <v>0</v>
      </c>
      <c r="W463" s="171">
        <f t="shared" si="305"/>
        <v>0</v>
      </c>
      <c r="X463" s="171">
        <f t="shared" si="305"/>
        <v>0</v>
      </c>
      <c r="Y463" s="171">
        <f t="shared" si="305"/>
        <v>0</v>
      </c>
      <c r="Z463" s="171">
        <f t="shared" si="305"/>
        <v>0</v>
      </c>
      <c r="AA463" s="171">
        <f t="shared" si="305"/>
        <v>0</v>
      </c>
      <c r="AB463" s="171">
        <f t="shared" ref="AB463" si="306">AB462</f>
        <v>0</v>
      </c>
      <c r="AC463" s="171">
        <f>AC462</f>
        <v>0</v>
      </c>
      <c r="AD463" s="171">
        <f>AD462</f>
        <v>0</v>
      </c>
      <c r="AE463" s="171">
        <f>AE462</f>
        <v>0</v>
      </c>
      <c r="AF463" s="171">
        <f t="shared" ref="AF463" si="307">AF462</f>
        <v>0</v>
      </c>
      <c r="AG463" s="171">
        <f t="shared" ref="AG463" si="308">AG462</f>
        <v>0</v>
      </c>
      <c r="AH463" s="171">
        <f t="shared" ref="AH463" si="309">AH462</f>
        <v>0</v>
      </c>
      <c r="AI463" s="171">
        <f t="shared" ref="AI463" si="310">AI462</f>
        <v>0</v>
      </c>
      <c r="AJ463" s="171">
        <f t="shared" ref="AJ463" si="311">AJ462</f>
        <v>0</v>
      </c>
      <c r="AK463" s="171">
        <f t="shared" ref="AK463" si="312">AK462</f>
        <v>0</v>
      </c>
      <c r="AL463" s="171">
        <f t="shared" ref="AL463" si="313">AL462</f>
        <v>0</v>
      </c>
      <c r="AM463" s="171">
        <f t="shared" ref="AM463" si="314">AM462</f>
        <v>40000000</v>
      </c>
      <c r="AN463" s="171">
        <f t="shared" ref="AN463" si="315">AN462</f>
        <v>0</v>
      </c>
      <c r="AO463" s="171">
        <f t="shared" ref="AO463" si="316">AO462</f>
        <v>0</v>
      </c>
      <c r="AP463" s="171">
        <f t="shared" ref="AP463:AQ463" si="317">AP462</f>
        <v>0</v>
      </c>
      <c r="AQ463" s="171">
        <f t="shared" si="317"/>
        <v>0</v>
      </c>
      <c r="AR463" s="171">
        <f t="shared" si="292"/>
        <v>40000000</v>
      </c>
    </row>
    <row r="464" spans="1:44" s="165" customFormat="1" ht="23.25" customHeight="1" x14ac:dyDescent="0.25">
      <c r="A464" s="172"/>
      <c r="B464" s="468"/>
      <c r="C464" s="469"/>
      <c r="D464" s="468"/>
      <c r="E464" s="470"/>
      <c r="F464" s="470"/>
      <c r="G464" s="172"/>
      <c r="H464" s="173"/>
      <c r="I464" s="172"/>
      <c r="J464" s="471"/>
      <c r="K464" s="471"/>
      <c r="L464" s="471"/>
      <c r="M464" s="471"/>
      <c r="N464" s="175"/>
      <c r="O464" s="172"/>
      <c r="P464" s="173"/>
      <c r="Q464" s="176">
        <f t="shared" ref="Q464:AA464" si="318">Q463+Q457+Q437+Q419+Q382</f>
        <v>0</v>
      </c>
      <c r="R464" s="176">
        <f t="shared" si="318"/>
        <v>0</v>
      </c>
      <c r="S464" s="176">
        <f t="shared" si="318"/>
        <v>0</v>
      </c>
      <c r="T464" s="176">
        <f t="shared" si="318"/>
        <v>0</v>
      </c>
      <c r="U464" s="176">
        <f t="shared" si="318"/>
        <v>0</v>
      </c>
      <c r="V464" s="176">
        <f t="shared" si="318"/>
        <v>0</v>
      </c>
      <c r="W464" s="176">
        <f t="shared" si="318"/>
        <v>6480123642</v>
      </c>
      <c r="X464" s="176">
        <f t="shared" si="318"/>
        <v>0</v>
      </c>
      <c r="Y464" s="176">
        <f t="shared" si="318"/>
        <v>0</v>
      </c>
      <c r="Z464" s="176">
        <f t="shared" si="318"/>
        <v>0</v>
      </c>
      <c r="AA464" s="176">
        <f t="shared" si="318"/>
        <v>0</v>
      </c>
      <c r="AB464" s="176">
        <f t="shared" ref="AB464" si="319">AB463+AB457+AB437+AB419+AB382</f>
        <v>0</v>
      </c>
      <c r="AC464" s="176">
        <f>AC463+AC457+AC437+AC419+AC382</f>
        <v>0</v>
      </c>
      <c r="AD464" s="176">
        <f>AD463+AD457+AD437+AD419+AD382</f>
        <v>0</v>
      </c>
      <c r="AE464" s="176">
        <f>AE463+AE457+AE437+AE419+AE382</f>
        <v>87330780152</v>
      </c>
      <c r="AF464" s="176">
        <f t="shared" ref="AF464" si="320">AF463+AF457+AF437+AF419+AF382</f>
        <v>37421069046</v>
      </c>
      <c r="AG464" s="176">
        <f t="shared" ref="AG464" si="321">AG463+AG457+AG437+AG419+AG382</f>
        <v>814114495</v>
      </c>
      <c r="AH464" s="176">
        <f t="shared" ref="AH464" si="322">AH463+AH457+AH437+AH419+AH382</f>
        <v>6431354</v>
      </c>
      <c r="AI464" s="176">
        <f t="shared" ref="AI464" si="323">AI463+AI457+AI437+AI419+AI382</f>
        <v>1320503506</v>
      </c>
      <c r="AJ464" s="176">
        <f t="shared" ref="AJ464" si="324">AJ463+AJ457+AJ437+AJ419+AJ382</f>
        <v>1200000000</v>
      </c>
      <c r="AK464" s="176">
        <f t="shared" ref="AK464" si="325">AK463+AK457+AK437+AK419+AK382</f>
        <v>7105069271</v>
      </c>
      <c r="AL464" s="176">
        <f t="shared" ref="AL464" si="326">AL463+AL457+AL437+AL419+AL382</f>
        <v>0</v>
      </c>
      <c r="AM464" s="176">
        <f t="shared" ref="AM464" si="327">AM463+AM457+AM437+AM419+AM382</f>
        <v>4425700205</v>
      </c>
      <c r="AN464" s="176">
        <f t="shared" ref="AN464" si="328">AN463+AN457+AN437+AN419+AN382</f>
        <v>0</v>
      </c>
      <c r="AO464" s="176">
        <f t="shared" ref="AO464" si="329">AO463+AO457+AO437+AO419+AO382</f>
        <v>0</v>
      </c>
      <c r="AP464" s="176">
        <f t="shared" ref="AP464:AQ464" si="330">AP463+AP457+AP437+AP419+AP382</f>
        <v>0</v>
      </c>
      <c r="AQ464" s="176">
        <f t="shared" si="330"/>
        <v>0</v>
      </c>
      <c r="AR464" s="176">
        <f t="shared" si="292"/>
        <v>146103791671</v>
      </c>
    </row>
    <row r="465" spans="1:44" s="165" customFormat="1" ht="15" x14ac:dyDescent="0.25">
      <c r="A465" s="177"/>
      <c r="B465" s="177"/>
      <c r="C465" s="178"/>
      <c r="D465" s="177"/>
      <c r="E465" s="178"/>
      <c r="F465" s="178"/>
      <c r="G465" s="177"/>
      <c r="H465" s="178"/>
      <c r="I465" s="177"/>
      <c r="J465" s="179"/>
      <c r="K465" s="179"/>
      <c r="L465" s="179"/>
      <c r="M465" s="179"/>
      <c r="N465" s="180"/>
      <c r="O465" s="177"/>
      <c r="P465" s="178"/>
      <c r="Q465" s="181">
        <f t="shared" ref="Q465:AA465" si="331">+Q464</f>
        <v>0</v>
      </c>
      <c r="R465" s="181">
        <f t="shared" si="331"/>
        <v>0</v>
      </c>
      <c r="S465" s="181">
        <f t="shared" si="331"/>
        <v>0</v>
      </c>
      <c r="T465" s="181">
        <f t="shared" si="331"/>
        <v>0</v>
      </c>
      <c r="U465" s="181">
        <f t="shared" si="331"/>
        <v>0</v>
      </c>
      <c r="V465" s="181">
        <f t="shared" si="331"/>
        <v>0</v>
      </c>
      <c r="W465" s="181">
        <f t="shared" si="331"/>
        <v>6480123642</v>
      </c>
      <c r="X465" s="181">
        <f t="shared" si="331"/>
        <v>0</v>
      </c>
      <c r="Y465" s="181">
        <f t="shared" si="331"/>
        <v>0</v>
      </c>
      <c r="Z465" s="181">
        <f t="shared" si="331"/>
        <v>0</v>
      </c>
      <c r="AA465" s="181">
        <f t="shared" si="331"/>
        <v>0</v>
      </c>
      <c r="AB465" s="181">
        <f t="shared" ref="AB465" si="332">+AB464</f>
        <v>0</v>
      </c>
      <c r="AC465" s="181">
        <f>+AC464</f>
        <v>0</v>
      </c>
      <c r="AD465" s="181">
        <f>+AD464</f>
        <v>0</v>
      </c>
      <c r="AE465" s="181">
        <f>+AE464</f>
        <v>87330780152</v>
      </c>
      <c r="AF465" s="181">
        <f t="shared" ref="AF465" si="333">+AF464</f>
        <v>37421069046</v>
      </c>
      <c r="AG465" s="181">
        <f t="shared" ref="AG465" si="334">+AG464</f>
        <v>814114495</v>
      </c>
      <c r="AH465" s="181">
        <f t="shared" ref="AH465" si="335">+AH464</f>
        <v>6431354</v>
      </c>
      <c r="AI465" s="181">
        <f t="shared" ref="AI465" si="336">+AI464</f>
        <v>1320503506</v>
      </c>
      <c r="AJ465" s="181">
        <f t="shared" ref="AJ465" si="337">+AJ464</f>
        <v>1200000000</v>
      </c>
      <c r="AK465" s="181">
        <f t="shared" ref="AK465" si="338">+AK464</f>
        <v>7105069271</v>
      </c>
      <c r="AL465" s="181">
        <f t="shared" ref="AL465" si="339">+AL464</f>
        <v>0</v>
      </c>
      <c r="AM465" s="181">
        <f t="shared" ref="AM465" si="340">+AM464</f>
        <v>4425700205</v>
      </c>
      <c r="AN465" s="181">
        <f t="shared" ref="AN465" si="341">+AN464</f>
        <v>0</v>
      </c>
      <c r="AO465" s="181">
        <f t="shared" ref="AO465" si="342">+AO464</f>
        <v>0</v>
      </c>
      <c r="AP465" s="181">
        <f t="shared" ref="AP465:AQ465" si="343">+AP464</f>
        <v>0</v>
      </c>
      <c r="AQ465" s="181">
        <f t="shared" si="343"/>
        <v>0</v>
      </c>
      <c r="AR465" s="181">
        <f t="shared" si="292"/>
        <v>146103791671</v>
      </c>
    </row>
    <row r="466" spans="1:44" s="29" customFormat="1" ht="15" x14ac:dyDescent="0.25">
      <c r="A466" s="182"/>
      <c r="B466" s="183"/>
      <c r="C466" s="760"/>
      <c r="D466" s="183"/>
      <c r="E466" s="760"/>
      <c r="F466" s="760"/>
      <c r="G466" s="183"/>
      <c r="H466" s="760"/>
      <c r="I466" s="183"/>
      <c r="J466" s="184"/>
      <c r="K466" s="184"/>
      <c r="L466" s="184"/>
      <c r="M466" s="184"/>
      <c r="N466" s="185"/>
      <c r="O466" s="183"/>
      <c r="P466" s="760"/>
      <c r="Q466" s="186"/>
      <c r="R466" s="186"/>
      <c r="S466" s="186"/>
      <c r="T466" s="186"/>
      <c r="U466" s="186"/>
      <c r="V466" s="186"/>
      <c r="W466" s="186"/>
      <c r="X466" s="186"/>
      <c r="Y466" s="186"/>
      <c r="Z466" s="186"/>
      <c r="AA466" s="186"/>
      <c r="AB466" s="186"/>
      <c r="AC466" s="186"/>
      <c r="AD466" s="186"/>
      <c r="AE466" s="187"/>
      <c r="AF466" s="187"/>
      <c r="AG466" s="187"/>
      <c r="AH466" s="187"/>
      <c r="AI466" s="187"/>
      <c r="AJ466" s="187"/>
      <c r="AK466" s="186"/>
      <c r="AL466" s="186"/>
      <c r="AM466" s="188"/>
      <c r="AN466" s="189"/>
      <c r="AO466" s="186"/>
      <c r="AP466" s="186"/>
      <c r="AQ466" s="186"/>
      <c r="AR466" s="205"/>
    </row>
    <row r="467" spans="1:44" s="165" customFormat="1" ht="20.25" x14ac:dyDescent="0.25">
      <c r="A467" s="135" t="s">
        <v>587</v>
      </c>
      <c r="B467" s="136"/>
      <c r="C467" s="137"/>
      <c r="D467" s="136"/>
      <c r="E467" s="136"/>
      <c r="F467" s="136"/>
      <c r="G467" s="136"/>
      <c r="H467" s="137"/>
      <c r="I467" s="136"/>
      <c r="J467" s="136"/>
      <c r="K467" s="136"/>
      <c r="L467" s="136"/>
      <c r="M467" s="136"/>
      <c r="N467" s="138"/>
      <c r="O467" s="136"/>
      <c r="P467" s="137"/>
      <c r="Q467" s="136"/>
      <c r="R467" s="136"/>
      <c r="S467" s="136"/>
      <c r="T467" s="136"/>
      <c r="U467" s="136"/>
      <c r="V467" s="136"/>
      <c r="W467" s="136"/>
      <c r="X467" s="136"/>
      <c r="Y467" s="136"/>
      <c r="Z467" s="136"/>
      <c r="AA467" s="136"/>
      <c r="AB467" s="136"/>
      <c r="AC467" s="136"/>
      <c r="AD467" s="136"/>
      <c r="AE467" s="136"/>
      <c r="AF467" s="136"/>
      <c r="AG467" s="136"/>
      <c r="AH467" s="136"/>
      <c r="AI467" s="136"/>
      <c r="AJ467" s="136"/>
      <c r="AK467" s="136"/>
      <c r="AL467" s="136"/>
      <c r="AM467" s="139"/>
      <c r="AN467" s="140"/>
      <c r="AO467" s="136"/>
      <c r="AP467" s="136"/>
      <c r="AQ467" s="136"/>
      <c r="AR467" s="141"/>
    </row>
    <row r="468" spans="1:44" s="165" customFormat="1" x14ac:dyDescent="0.25">
      <c r="A468" s="826">
        <v>3</v>
      </c>
      <c r="B468" s="142" t="s">
        <v>248</v>
      </c>
      <c r="C468" s="143"/>
      <c r="D468" s="142"/>
      <c r="E468" s="142"/>
      <c r="F468" s="142"/>
      <c r="G468" s="142"/>
      <c r="H468" s="143"/>
      <c r="I468" s="142"/>
      <c r="J468" s="142"/>
      <c r="K468" s="142"/>
      <c r="L468" s="142"/>
      <c r="M468" s="142"/>
      <c r="N468" s="144"/>
      <c r="O468" s="142"/>
      <c r="P468" s="142"/>
      <c r="Q468" s="142"/>
      <c r="R468" s="142"/>
      <c r="S468" s="142"/>
      <c r="T468" s="142"/>
      <c r="U468" s="142"/>
      <c r="V468" s="142"/>
      <c r="W468" s="142"/>
      <c r="X468" s="142"/>
      <c r="Y468" s="142"/>
      <c r="Z468" s="142"/>
      <c r="AA468" s="142"/>
      <c r="AB468" s="142"/>
      <c r="AC468" s="142"/>
      <c r="AD468" s="142"/>
      <c r="AE468" s="142"/>
      <c r="AF468" s="142"/>
      <c r="AG468" s="142"/>
      <c r="AH468" s="142"/>
      <c r="AI468" s="142"/>
      <c r="AJ468" s="142"/>
      <c r="AK468" s="142"/>
      <c r="AL468" s="142"/>
      <c r="AM468" s="145"/>
      <c r="AN468" s="142"/>
      <c r="AO468" s="142"/>
      <c r="AP468" s="142"/>
      <c r="AQ468" s="142"/>
      <c r="AR468" s="146"/>
    </row>
    <row r="469" spans="1:44" s="165" customFormat="1" x14ac:dyDescent="0.25">
      <c r="A469" s="190"/>
      <c r="B469" s="243">
        <v>16</v>
      </c>
      <c r="C469" s="150" t="s">
        <v>578</v>
      </c>
      <c r="D469" s="149"/>
      <c r="E469" s="149"/>
      <c r="F469" s="149"/>
      <c r="G469" s="149"/>
      <c r="H469" s="150"/>
      <c r="I469" s="149"/>
      <c r="J469" s="149"/>
      <c r="K469" s="149"/>
      <c r="L469" s="149"/>
      <c r="M469" s="149"/>
      <c r="N469" s="151"/>
      <c r="O469" s="149"/>
      <c r="P469" s="149"/>
      <c r="Q469" s="149"/>
      <c r="R469" s="149"/>
      <c r="S469" s="149"/>
      <c r="T469" s="149"/>
      <c r="U469" s="149"/>
      <c r="V469" s="149"/>
      <c r="W469" s="149"/>
      <c r="X469" s="149"/>
      <c r="Y469" s="149"/>
      <c r="Z469" s="149"/>
      <c r="AA469" s="149"/>
      <c r="AB469" s="149"/>
      <c r="AC469" s="149"/>
      <c r="AD469" s="149"/>
      <c r="AE469" s="149"/>
      <c r="AF469" s="149"/>
      <c r="AG469" s="149"/>
      <c r="AH469" s="149"/>
      <c r="AI469" s="149"/>
      <c r="AJ469" s="149"/>
      <c r="AK469" s="149"/>
      <c r="AL469" s="149"/>
      <c r="AM469" s="152"/>
      <c r="AN469" s="149"/>
      <c r="AO469" s="149"/>
      <c r="AP469" s="149"/>
      <c r="AQ469" s="149"/>
      <c r="AR469" s="153"/>
    </row>
    <row r="470" spans="1:44" s="165" customFormat="1" ht="15" x14ac:dyDescent="0.25">
      <c r="A470" s="21"/>
      <c r="B470" s="472"/>
      <c r="C470" s="760"/>
      <c r="D470" s="183"/>
      <c r="E470" s="760"/>
      <c r="F470" s="761"/>
      <c r="G470" s="337">
        <v>56</v>
      </c>
      <c r="H470" s="194" t="s">
        <v>588</v>
      </c>
      <c r="I470" s="194"/>
      <c r="J470" s="194"/>
      <c r="K470" s="194"/>
      <c r="L470" s="194"/>
      <c r="M470" s="194"/>
      <c r="N470" s="194"/>
      <c r="O470" s="194"/>
      <c r="P470" s="194"/>
      <c r="Q470" s="194"/>
      <c r="R470" s="194"/>
      <c r="S470" s="194"/>
      <c r="T470" s="194"/>
      <c r="U470" s="194"/>
      <c r="V470" s="194"/>
      <c r="W470" s="194"/>
      <c r="X470" s="194"/>
      <c r="Y470" s="194"/>
      <c r="Z470" s="194"/>
      <c r="AA470" s="194"/>
      <c r="AB470" s="194"/>
      <c r="AC470" s="194"/>
      <c r="AD470" s="194"/>
      <c r="AE470" s="194"/>
      <c r="AF470" s="194"/>
      <c r="AG470" s="194"/>
      <c r="AH470" s="194"/>
      <c r="AI470" s="194"/>
      <c r="AJ470" s="194"/>
      <c r="AK470" s="194"/>
      <c r="AL470" s="194"/>
      <c r="AM470" s="196"/>
      <c r="AN470" s="194"/>
      <c r="AO470" s="194"/>
      <c r="AP470" s="194"/>
      <c r="AQ470" s="194"/>
      <c r="AR470" s="197"/>
    </row>
    <row r="471" spans="1:44" s="29" customFormat="1" ht="85.5" x14ac:dyDescent="0.25">
      <c r="A471" s="21"/>
      <c r="B471" s="190"/>
      <c r="C471" s="1012" t="s">
        <v>930</v>
      </c>
      <c r="D471" s="1014" t="s">
        <v>581</v>
      </c>
      <c r="E471" s="1016" t="s">
        <v>582</v>
      </c>
      <c r="F471" s="1016" t="s">
        <v>583</v>
      </c>
      <c r="G471" s="24"/>
      <c r="H471" s="767">
        <v>180</v>
      </c>
      <c r="I471" s="762" t="s">
        <v>589</v>
      </c>
      <c r="J471" s="767">
        <v>0</v>
      </c>
      <c r="K471" s="767">
        <v>1</v>
      </c>
      <c r="L471" s="670">
        <v>1.6E-2</v>
      </c>
      <c r="M471" s="941" t="s">
        <v>590</v>
      </c>
      <c r="N471" s="948" t="s">
        <v>591</v>
      </c>
      <c r="O471" s="941" t="s">
        <v>592</v>
      </c>
      <c r="P471" s="767" t="s">
        <v>47</v>
      </c>
      <c r="Q471" s="27">
        <v>0</v>
      </c>
      <c r="R471" s="27">
        <v>0</v>
      </c>
      <c r="S471" s="27">
        <v>0</v>
      </c>
      <c r="T471" s="27">
        <v>0</v>
      </c>
      <c r="U471" s="27">
        <v>0</v>
      </c>
      <c r="V471" s="27">
        <v>0</v>
      </c>
      <c r="W471" s="27">
        <v>0</v>
      </c>
      <c r="X471" s="27"/>
      <c r="Y471" s="27"/>
      <c r="Z471" s="27"/>
      <c r="AA471" s="27">
        <v>0</v>
      </c>
      <c r="AB471" s="27"/>
      <c r="AC471" s="27">
        <v>0</v>
      </c>
      <c r="AD471" s="27">
        <v>0</v>
      </c>
      <c r="AE471" s="27"/>
      <c r="AF471" s="27"/>
      <c r="AG471" s="27"/>
      <c r="AH471" s="27"/>
      <c r="AI471" s="27"/>
      <c r="AJ471" s="27"/>
      <c r="AK471" s="27">
        <v>0</v>
      </c>
      <c r="AL471" s="27">
        <v>0</v>
      </c>
      <c r="AM471" s="110">
        <f>47500000+200000000</f>
        <v>247500000</v>
      </c>
      <c r="AN471" s="11"/>
      <c r="AO471" s="27">
        <v>0</v>
      </c>
      <c r="AP471" s="28">
        <v>0</v>
      </c>
      <c r="AQ471" s="28"/>
      <c r="AR471" s="27">
        <f t="shared" si="292"/>
        <v>247500000</v>
      </c>
    </row>
    <row r="472" spans="1:44" s="29" customFormat="1" ht="54" customHeight="1" x14ac:dyDescent="0.25">
      <c r="A472" s="21"/>
      <c r="B472" s="158"/>
      <c r="C472" s="1013"/>
      <c r="D472" s="1015"/>
      <c r="E472" s="1017"/>
      <c r="F472" s="1017"/>
      <c r="G472" s="32"/>
      <c r="H472" s="767">
        <v>181</v>
      </c>
      <c r="I472" s="762" t="s">
        <v>593</v>
      </c>
      <c r="J472" s="767">
        <v>6</v>
      </c>
      <c r="K472" s="767">
        <v>6</v>
      </c>
      <c r="L472" s="877">
        <v>3</v>
      </c>
      <c r="M472" s="943"/>
      <c r="N472" s="949"/>
      <c r="O472" s="943"/>
      <c r="P472" s="767" t="s">
        <v>47</v>
      </c>
      <c r="Q472" s="27">
        <v>0</v>
      </c>
      <c r="R472" s="27">
        <v>0</v>
      </c>
      <c r="S472" s="27">
        <v>0</v>
      </c>
      <c r="T472" s="27">
        <v>0</v>
      </c>
      <c r="U472" s="27">
        <v>0</v>
      </c>
      <c r="V472" s="27">
        <v>0</v>
      </c>
      <c r="W472" s="27">
        <v>0</v>
      </c>
      <c r="X472" s="27"/>
      <c r="Y472" s="27"/>
      <c r="Z472" s="27"/>
      <c r="AA472" s="27">
        <v>0</v>
      </c>
      <c r="AB472" s="27"/>
      <c r="AC472" s="27">
        <v>0</v>
      </c>
      <c r="AD472" s="27">
        <v>0</v>
      </c>
      <c r="AE472" s="27"/>
      <c r="AF472" s="27"/>
      <c r="AG472" s="27"/>
      <c r="AH472" s="27"/>
      <c r="AI472" s="27"/>
      <c r="AJ472" s="27"/>
      <c r="AK472" s="27">
        <v>0</v>
      </c>
      <c r="AL472" s="27">
        <v>0</v>
      </c>
      <c r="AM472" s="110">
        <v>12500000</v>
      </c>
      <c r="AN472" s="11"/>
      <c r="AO472" s="27">
        <v>0</v>
      </c>
      <c r="AP472" s="28">
        <v>0</v>
      </c>
      <c r="AQ472" s="28"/>
      <c r="AR472" s="27">
        <f t="shared" si="292"/>
        <v>12500000</v>
      </c>
    </row>
    <row r="473" spans="1:44" s="165" customFormat="1" ht="15" x14ac:dyDescent="0.25">
      <c r="A473" s="21"/>
      <c r="B473" s="472"/>
      <c r="C473" s="461"/>
      <c r="D473" s="159"/>
      <c r="E473" s="604"/>
      <c r="F473" s="604"/>
      <c r="G473" s="160"/>
      <c r="H473" s="161"/>
      <c r="I473" s="160"/>
      <c r="J473" s="161"/>
      <c r="K473" s="161"/>
      <c r="L473" s="161"/>
      <c r="M473" s="161"/>
      <c r="N473" s="163"/>
      <c r="O473" s="160"/>
      <c r="P473" s="161"/>
      <c r="Q473" s="164">
        <f t="shared" ref="Q473:AA473" si="344">SUM(Q471:Q472)</f>
        <v>0</v>
      </c>
      <c r="R473" s="164">
        <f t="shared" si="344"/>
        <v>0</v>
      </c>
      <c r="S473" s="164">
        <f t="shared" si="344"/>
        <v>0</v>
      </c>
      <c r="T473" s="164">
        <f t="shared" si="344"/>
        <v>0</v>
      </c>
      <c r="U473" s="164">
        <f t="shared" si="344"/>
        <v>0</v>
      </c>
      <c r="V473" s="164">
        <f t="shared" si="344"/>
        <v>0</v>
      </c>
      <c r="W473" s="164">
        <f t="shared" si="344"/>
        <v>0</v>
      </c>
      <c r="X473" s="164">
        <f t="shared" si="344"/>
        <v>0</v>
      </c>
      <c r="Y473" s="164">
        <f t="shared" si="344"/>
        <v>0</v>
      </c>
      <c r="Z473" s="164">
        <f t="shared" si="344"/>
        <v>0</v>
      </c>
      <c r="AA473" s="164">
        <f t="shared" si="344"/>
        <v>0</v>
      </c>
      <c r="AB473" s="164"/>
      <c r="AC473" s="164">
        <f>SUM(AC471:AC472)</f>
        <v>0</v>
      </c>
      <c r="AD473" s="164">
        <f>SUM(AD471:AD472)</f>
        <v>0</v>
      </c>
      <c r="AE473" s="164">
        <f>SUM(AE471:AE472)</f>
        <v>0</v>
      </c>
      <c r="AF473" s="164">
        <f>SUM(AF471:AF472)</f>
        <v>0</v>
      </c>
      <c r="AG473" s="164">
        <f t="shared" ref="AG473:AH473" si="345">SUM(AG471:AG472)</f>
        <v>0</v>
      </c>
      <c r="AH473" s="164">
        <f t="shared" si="345"/>
        <v>0</v>
      </c>
      <c r="AI473" s="164">
        <f t="shared" ref="AI473:AM473" si="346">SUM(AI471:AI472)</f>
        <v>0</v>
      </c>
      <c r="AJ473" s="164">
        <f t="shared" si="346"/>
        <v>0</v>
      </c>
      <c r="AK473" s="164">
        <f t="shared" si="346"/>
        <v>0</v>
      </c>
      <c r="AL473" s="164">
        <f t="shared" si="346"/>
        <v>0</v>
      </c>
      <c r="AM473" s="248">
        <f t="shared" si="346"/>
        <v>260000000</v>
      </c>
      <c r="AN473" s="248">
        <f t="shared" ref="AN473:AO473" si="347">SUM(AN471:AN472)</f>
        <v>0</v>
      </c>
      <c r="AO473" s="248">
        <f t="shared" si="347"/>
        <v>0</v>
      </c>
      <c r="AP473" s="164">
        <f>SUM(AP471:AP472)</f>
        <v>0</v>
      </c>
      <c r="AQ473" s="164">
        <f>SUM(AQ471:AQ472)</f>
        <v>0</v>
      </c>
      <c r="AR473" s="164">
        <f t="shared" si="292"/>
        <v>260000000</v>
      </c>
    </row>
    <row r="474" spans="1:44" s="29" customFormat="1" ht="15" x14ac:dyDescent="0.25">
      <c r="A474" s="21"/>
      <c r="B474" s="464"/>
      <c r="C474" s="465"/>
      <c r="D474" s="167"/>
      <c r="E474" s="168"/>
      <c r="F474" s="168"/>
      <c r="G474" s="167"/>
      <c r="H474" s="168"/>
      <c r="I474" s="167"/>
      <c r="J474" s="168"/>
      <c r="K474" s="168"/>
      <c r="L474" s="168"/>
      <c r="M474" s="168"/>
      <c r="N474" s="170"/>
      <c r="O474" s="167"/>
      <c r="P474" s="168"/>
      <c r="Q474" s="171">
        <f t="shared" ref="Q474:AC474" si="348">Q473</f>
        <v>0</v>
      </c>
      <c r="R474" s="171">
        <f t="shared" si="348"/>
        <v>0</v>
      </c>
      <c r="S474" s="171">
        <f t="shared" si="348"/>
        <v>0</v>
      </c>
      <c r="T474" s="171">
        <f t="shared" si="348"/>
        <v>0</v>
      </c>
      <c r="U474" s="171">
        <f t="shared" si="348"/>
        <v>0</v>
      </c>
      <c r="V474" s="171">
        <f t="shared" si="348"/>
        <v>0</v>
      </c>
      <c r="W474" s="171">
        <f t="shared" si="348"/>
        <v>0</v>
      </c>
      <c r="X474" s="171">
        <f t="shared" si="348"/>
        <v>0</v>
      </c>
      <c r="Y474" s="171">
        <f t="shared" si="348"/>
        <v>0</v>
      </c>
      <c r="Z474" s="171">
        <f t="shared" si="348"/>
        <v>0</v>
      </c>
      <c r="AA474" s="171">
        <f t="shared" si="348"/>
        <v>0</v>
      </c>
      <c r="AB474" s="171">
        <f t="shared" si="348"/>
        <v>0</v>
      </c>
      <c r="AC474" s="171">
        <f t="shared" si="348"/>
        <v>0</v>
      </c>
      <c r="AD474" s="171">
        <f>AD473</f>
        <v>0</v>
      </c>
      <c r="AE474" s="171">
        <f>AE473</f>
        <v>0</v>
      </c>
      <c r="AF474" s="171">
        <f>AF473</f>
        <v>0</v>
      </c>
      <c r="AG474" s="171">
        <f t="shared" ref="AG474:AH474" si="349">AG473</f>
        <v>0</v>
      </c>
      <c r="AH474" s="171">
        <f t="shared" si="349"/>
        <v>0</v>
      </c>
      <c r="AI474" s="171">
        <f t="shared" ref="AI474:AM474" si="350">AI473</f>
        <v>0</v>
      </c>
      <c r="AJ474" s="171">
        <f t="shared" si="350"/>
        <v>0</v>
      </c>
      <c r="AK474" s="171">
        <f t="shared" si="350"/>
        <v>0</v>
      </c>
      <c r="AL474" s="171">
        <f t="shared" si="350"/>
        <v>0</v>
      </c>
      <c r="AM474" s="250">
        <f t="shared" si="350"/>
        <v>260000000</v>
      </c>
      <c r="AN474" s="250">
        <f t="shared" ref="AN474:AO474" si="351">AN473</f>
        <v>0</v>
      </c>
      <c r="AO474" s="250">
        <f t="shared" si="351"/>
        <v>0</v>
      </c>
      <c r="AP474" s="171">
        <f>AP473</f>
        <v>0</v>
      </c>
      <c r="AQ474" s="171">
        <f>AQ473</f>
        <v>0</v>
      </c>
      <c r="AR474" s="171">
        <f t="shared" si="292"/>
        <v>260000000</v>
      </c>
    </row>
    <row r="475" spans="1:44" s="29" customFormat="1" ht="15" x14ac:dyDescent="0.25">
      <c r="A475" s="21"/>
      <c r="B475" s="473"/>
      <c r="C475" s="474"/>
      <c r="D475" s="183"/>
      <c r="E475" s="760"/>
      <c r="F475" s="760"/>
      <c r="G475" s="183"/>
      <c r="H475" s="760"/>
      <c r="I475" s="183"/>
      <c r="J475" s="760"/>
      <c r="K475" s="760"/>
      <c r="L475" s="760"/>
      <c r="M475" s="760"/>
      <c r="N475" s="185"/>
      <c r="O475" s="183"/>
      <c r="P475" s="760"/>
      <c r="Q475" s="186"/>
      <c r="R475" s="186"/>
      <c r="S475" s="186"/>
      <c r="T475" s="186"/>
      <c r="U475" s="186"/>
      <c r="V475" s="186"/>
      <c r="W475" s="186"/>
      <c r="X475" s="186"/>
      <c r="Y475" s="186"/>
      <c r="Z475" s="186"/>
      <c r="AA475" s="186"/>
      <c r="AB475" s="186"/>
      <c r="AC475" s="186"/>
      <c r="AD475" s="186"/>
      <c r="AE475" s="187"/>
      <c r="AF475" s="187"/>
      <c r="AG475" s="187"/>
      <c r="AH475" s="187"/>
      <c r="AI475" s="187"/>
      <c r="AJ475" s="187"/>
      <c r="AK475" s="186"/>
      <c r="AL475" s="186"/>
      <c r="AM475" s="188"/>
      <c r="AN475" s="189"/>
      <c r="AO475" s="186"/>
      <c r="AP475" s="186"/>
      <c r="AQ475" s="186"/>
      <c r="AR475" s="205"/>
    </row>
    <row r="476" spans="1:44" s="29" customFormat="1" x14ac:dyDescent="0.25">
      <c r="A476" s="21"/>
      <c r="B476" s="243">
        <v>17</v>
      </c>
      <c r="C476" s="150" t="s">
        <v>594</v>
      </c>
      <c r="D476" s="149"/>
      <c r="E476" s="149"/>
      <c r="F476" s="149"/>
      <c r="G476" s="149"/>
      <c r="H476" s="150"/>
      <c r="I476" s="149"/>
      <c r="J476" s="149"/>
      <c r="K476" s="149"/>
      <c r="L476" s="149"/>
      <c r="M476" s="149"/>
      <c r="N476" s="151"/>
      <c r="O476" s="149"/>
      <c r="P476" s="149"/>
      <c r="Q476" s="149"/>
      <c r="R476" s="149"/>
      <c r="S476" s="149"/>
      <c r="T476" s="149"/>
      <c r="U476" s="149"/>
      <c r="V476" s="149"/>
      <c r="W476" s="149"/>
      <c r="X476" s="149"/>
      <c r="Y476" s="149"/>
      <c r="Z476" s="149"/>
      <c r="AA476" s="149"/>
      <c r="AB476" s="149"/>
      <c r="AC476" s="149"/>
      <c r="AD476" s="149"/>
      <c r="AE476" s="149"/>
      <c r="AF476" s="149"/>
      <c r="AG476" s="149"/>
      <c r="AH476" s="149"/>
      <c r="AI476" s="149"/>
      <c r="AJ476" s="149"/>
      <c r="AK476" s="149"/>
      <c r="AL476" s="149"/>
      <c r="AM476" s="152"/>
      <c r="AN476" s="149"/>
      <c r="AO476" s="149"/>
      <c r="AP476" s="149"/>
      <c r="AQ476" s="149"/>
      <c r="AR476" s="153"/>
    </row>
    <row r="477" spans="1:44" s="165" customFormat="1" ht="15" x14ac:dyDescent="0.25">
      <c r="A477" s="21"/>
      <c r="B477" s="475"/>
      <c r="C477" s="461"/>
      <c r="D477" s="159"/>
      <c r="E477" s="604"/>
      <c r="F477" s="604"/>
      <c r="G477" s="337">
        <v>58</v>
      </c>
      <c r="H477" s="194" t="s">
        <v>595</v>
      </c>
      <c r="I477" s="194"/>
      <c r="J477" s="194"/>
      <c r="K477" s="194"/>
      <c r="L477" s="194"/>
      <c r="M477" s="194"/>
      <c r="N477" s="194"/>
      <c r="O477" s="194"/>
      <c r="P477" s="194"/>
      <c r="Q477" s="194"/>
      <c r="R477" s="194"/>
      <c r="S477" s="194"/>
      <c r="T477" s="194"/>
      <c r="U477" s="194"/>
      <c r="V477" s="194"/>
      <c r="W477" s="194"/>
      <c r="X477" s="194"/>
      <c r="Y477" s="194"/>
      <c r="Z477" s="194"/>
      <c r="AA477" s="194"/>
      <c r="AB477" s="194"/>
      <c r="AC477" s="194"/>
      <c r="AD477" s="194"/>
      <c r="AE477" s="194"/>
      <c r="AF477" s="194"/>
      <c r="AG477" s="194"/>
      <c r="AH477" s="194"/>
      <c r="AI477" s="194"/>
      <c r="AJ477" s="194"/>
      <c r="AK477" s="194"/>
      <c r="AL477" s="194"/>
      <c r="AM477" s="196"/>
      <c r="AN477" s="194"/>
      <c r="AO477" s="194"/>
      <c r="AP477" s="194"/>
      <c r="AQ477" s="194"/>
      <c r="AR477" s="197"/>
    </row>
    <row r="478" spans="1:44" s="165" customFormat="1" ht="54.95" customHeight="1" x14ac:dyDescent="0.25">
      <c r="A478" s="21"/>
      <c r="B478" s="476"/>
      <c r="C478" s="477">
        <v>22</v>
      </c>
      <c r="D478" s="159" t="s">
        <v>596</v>
      </c>
      <c r="E478" s="604" t="s">
        <v>597</v>
      </c>
      <c r="F478" s="604" t="s">
        <v>598</v>
      </c>
      <c r="G478" s="24"/>
      <c r="H478" s="767">
        <v>183</v>
      </c>
      <c r="I478" s="762" t="s">
        <v>599</v>
      </c>
      <c r="J478" s="33">
        <v>0</v>
      </c>
      <c r="K478" s="33">
        <v>1</v>
      </c>
      <c r="L478" s="877" t="s">
        <v>984</v>
      </c>
      <c r="M478" s="71" t="s">
        <v>590</v>
      </c>
      <c r="N478" s="39" t="s">
        <v>600</v>
      </c>
      <c r="O478" s="762" t="s">
        <v>601</v>
      </c>
      <c r="P478" s="767" t="s">
        <v>47</v>
      </c>
      <c r="Q478" s="27"/>
      <c r="R478" s="27"/>
      <c r="S478" s="27"/>
      <c r="T478" s="27"/>
      <c r="U478" s="27"/>
      <c r="V478" s="27"/>
      <c r="W478" s="27"/>
      <c r="X478" s="27"/>
      <c r="Y478" s="27"/>
      <c r="Z478" s="27"/>
      <c r="AA478" s="27"/>
      <c r="AB478" s="27"/>
      <c r="AC478" s="27"/>
      <c r="AD478" s="27"/>
      <c r="AE478" s="257"/>
      <c r="AF478" s="257"/>
      <c r="AG478" s="257"/>
      <c r="AH478" s="257"/>
      <c r="AI478" s="257"/>
      <c r="AJ478" s="257"/>
      <c r="AK478" s="27"/>
      <c r="AL478" s="27"/>
      <c r="AM478" s="108">
        <f>80000000+100000000</f>
        <v>180000000</v>
      </c>
      <c r="AN478" s="15"/>
      <c r="AO478" s="27"/>
      <c r="AP478" s="478"/>
      <c r="AQ478" s="478"/>
      <c r="AR478" s="27">
        <f t="shared" si="292"/>
        <v>180000000</v>
      </c>
    </row>
    <row r="479" spans="1:44" s="165" customFormat="1" ht="15" x14ac:dyDescent="0.25">
      <c r="A479" s="21"/>
      <c r="B479" s="476"/>
      <c r="C479" s="477"/>
      <c r="D479" s="159"/>
      <c r="E479" s="604"/>
      <c r="F479" s="604"/>
      <c r="G479" s="160"/>
      <c r="H479" s="161"/>
      <c r="I479" s="160"/>
      <c r="J479" s="311"/>
      <c r="K479" s="311"/>
      <c r="L479" s="311"/>
      <c r="M479" s="311"/>
      <c r="N479" s="163"/>
      <c r="O479" s="160"/>
      <c r="P479" s="161"/>
      <c r="Q479" s="164">
        <f t="shared" ref="Q479:AD479" si="352">SUM(Q478:Q478)</f>
        <v>0</v>
      </c>
      <c r="R479" s="164">
        <f t="shared" si="352"/>
        <v>0</v>
      </c>
      <c r="S479" s="164">
        <f t="shared" si="352"/>
        <v>0</v>
      </c>
      <c r="T479" s="164">
        <f t="shared" si="352"/>
        <v>0</v>
      </c>
      <c r="U479" s="164">
        <f t="shared" si="352"/>
        <v>0</v>
      </c>
      <c r="V479" s="164">
        <f t="shared" si="352"/>
        <v>0</v>
      </c>
      <c r="W479" s="164">
        <f t="shared" si="352"/>
        <v>0</v>
      </c>
      <c r="X479" s="164">
        <f t="shared" si="352"/>
        <v>0</v>
      </c>
      <c r="Y479" s="164">
        <f t="shared" si="352"/>
        <v>0</v>
      </c>
      <c r="Z479" s="164">
        <f t="shared" si="352"/>
        <v>0</v>
      </c>
      <c r="AA479" s="164">
        <f t="shared" si="352"/>
        <v>0</v>
      </c>
      <c r="AB479" s="164">
        <f t="shared" si="352"/>
        <v>0</v>
      </c>
      <c r="AC479" s="164">
        <f t="shared" si="352"/>
        <v>0</v>
      </c>
      <c r="AD479" s="164">
        <f t="shared" si="352"/>
        <v>0</v>
      </c>
      <c r="AE479" s="164">
        <f>SUM(AE478:AE478)</f>
        <v>0</v>
      </c>
      <c r="AF479" s="164">
        <f>SUM(AF478:AF478)</f>
        <v>0</v>
      </c>
      <c r="AG479" s="164">
        <f>SUM(AG478:AG478)</f>
        <v>0</v>
      </c>
      <c r="AH479" s="164">
        <f t="shared" ref="AH479:AN479" si="353">SUM(AH478:AH478)</f>
        <v>0</v>
      </c>
      <c r="AI479" s="164">
        <f t="shared" si="353"/>
        <v>0</v>
      </c>
      <c r="AJ479" s="164">
        <f t="shared" si="353"/>
        <v>0</v>
      </c>
      <c r="AK479" s="164">
        <f t="shared" si="353"/>
        <v>0</v>
      </c>
      <c r="AL479" s="164">
        <f t="shared" si="353"/>
        <v>0</v>
      </c>
      <c r="AM479" s="248">
        <f t="shared" si="353"/>
        <v>180000000</v>
      </c>
      <c r="AN479" s="248">
        <f t="shared" si="353"/>
        <v>0</v>
      </c>
      <c r="AO479" s="164">
        <f>SUM(AO478:AO478)</f>
        <v>0</v>
      </c>
      <c r="AP479" s="164">
        <f>SUM(AP478:AP478)</f>
        <v>0</v>
      </c>
      <c r="AQ479" s="164">
        <f>SUM(AQ478:AQ478)</f>
        <v>0</v>
      </c>
      <c r="AR479" s="164">
        <f t="shared" si="292"/>
        <v>180000000</v>
      </c>
    </row>
    <row r="480" spans="1:44" s="165" customFormat="1" ht="15" x14ac:dyDescent="0.25">
      <c r="A480" s="21"/>
      <c r="B480" s="476"/>
      <c r="C480" s="479"/>
      <c r="D480" s="422"/>
      <c r="E480" s="479"/>
      <c r="F480" s="479"/>
      <c r="G480" s="422"/>
      <c r="H480" s="479"/>
      <c r="I480" s="422"/>
      <c r="J480" s="480"/>
      <c r="K480" s="480"/>
      <c r="L480" s="480"/>
      <c r="M480" s="480"/>
      <c r="N480" s="421"/>
      <c r="O480" s="422"/>
      <c r="P480" s="479"/>
      <c r="Q480" s="103"/>
      <c r="R480" s="103"/>
      <c r="S480" s="103"/>
      <c r="T480" s="103"/>
      <c r="U480" s="103"/>
      <c r="V480" s="103"/>
      <c r="W480" s="103"/>
      <c r="X480" s="103"/>
      <c r="Y480" s="103"/>
      <c r="Z480" s="103"/>
      <c r="AA480" s="103"/>
      <c r="AB480" s="103"/>
      <c r="AC480" s="103"/>
      <c r="AD480" s="103"/>
      <c r="AE480" s="103"/>
      <c r="AF480" s="103"/>
      <c r="AG480" s="103"/>
      <c r="AH480" s="103"/>
      <c r="AI480" s="103"/>
      <c r="AJ480" s="103"/>
      <c r="AK480" s="103"/>
      <c r="AL480" s="103"/>
      <c r="AM480" s="287"/>
      <c r="AN480" s="288"/>
      <c r="AO480" s="103"/>
      <c r="AP480" s="103"/>
      <c r="AQ480" s="103"/>
      <c r="AR480" s="481">
        <f t="shared" si="292"/>
        <v>0</v>
      </c>
    </row>
    <row r="481" spans="1:44" s="165" customFormat="1" ht="15" x14ac:dyDescent="0.25">
      <c r="A481" s="21"/>
      <c r="B481" s="476"/>
      <c r="C481" s="878"/>
      <c r="D481" s="732"/>
      <c r="E481" s="726"/>
      <c r="F481" s="879"/>
      <c r="G481" s="193">
        <v>59</v>
      </c>
      <c r="H481" s="194" t="s">
        <v>602</v>
      </c>
      <c r="I481" s="194"/>
      <c r="J481" s="194"/>
      <c r="K481" s="194"/>
      <c r="L481" s="194"/>
      <c r="M481" s="194"/>
      <c r="N481" s="194"/>
      <c r="O481" s="194"/>
      <c r="P481" s="194"/>
      <c r="Q481" s="194"/>
      <c r="R481" s="194"/>
      <c r="S481" s="194"/>
      <c r="T481" s="194"/>
      <c r="U481" s="194"/>
      <c r="V481" s="194"/>
      <c r="W481" s="194"/>
      <c r="X481" s="194"/>
      <c r="Y481" s="194"/>
      <c r="Z481" s="194"/>
      <c r="AA481" s="194"/>
      <c r="AB481" s="194"/>
      <c r="AC481" s="194"/>
      <c r="AD481" s="194"/>
      <c r="AE481" s="194"/>
      <c r="AF481" s="194"/>
      <c r="AG481" s="194"/>
      <c r="AH481" s="194"/>
      <c r="AI481" s="194"/>
      <c r="AJ481" s="194"/>
      <c r="AK481" s="194"/>
      <c r="AL481" s="194"/>
      <c r="AM481" s="196"/>
      <c r="AN481" s="194"/>
      <c r="AO481" s="194"/>
      <c r="AP481" s="194"/>
      <c r="AQ481" s="194"/>
      <c r="AR481" s="197"/>
    </row>
    <row r="482" spans="1:44" s="29" customFormat="1" ht="42.75" x14ac:dyDescent="0.25">
      <c r="A482" s="21"/>
      <c r="B482" s="482"/>
      <c r="C482" s="965" t="s">
        <v>603</v>
      </c>
      <c r="D482" s="944" t="s">
        <v>604</v>
      </c>
      <c r="E482" s="939" t="s">
        <v>605</v>
      </c>
      <c r="F482" s="939" t="s">
        <v>606</v>
      </c>
      <c r="G482" s="30"/>
      <c r="H482" s="767">
        <v>184</v>
      </c>
      <c r="I482" s="762" t="s">
        <v>607</v>
      </c>
      <c r="J482" s="33">
        <v>1</v>
      </c>
      <c r="K482" s="33">
        <v>1</v>
      </c>
      <c r="L482" s="877">
        <v>0.5</v>
      </c>
      <c r="M482" s="1009" t="s">
        <v>590</v>
      </c>
      <c r="N482" s="948" t="s">
        <v>608</v>
      </c>
      <c r="O482" s="999" t="s">
        <v>609</v>
      </c>
      <c r="P482" s="58" t="s">
        <v>47</v>
      </c>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110">
        <f>25000000+100000000+300000000</f>
        <v>425000000</v>
      </c>
      <c r="AN482" s="11"/>
      <c r="AO482" s="27"/>
      <c r="AP482" s="28"/>
      <c r="AQ482" s="28"/>
      <c r="AR482" s="27">
        <f t="shared" si="292"/>
        <v>425000000</v>
      </c>
    </row>
    <row r="483" spans="1:44" s="165" customFormat="1" ht="56.25" customHeight="1" x14ac:dyDescent="0.25">
      <c r="A483" s="21"/>
      <c r="B483" s="476"/>
      <c r="C483" s="966"/>
      <c r="D483" s="1018"/>
      <c r="E483" s="940"/>
      <c r="F483" s="940"/>
      <c r="G483" s="30"/>
      <c r="H483" s="767">
        <v>185</v>
      </c>
      <c r="I483" s="762" t="s">
        <v>610</v>
      </c>
      <c r="J483" s="33" t="s">
        <v>38</v>
      </c>
      <c r="K483" s="33">
        <v>1</v>
      </c>
      <c r="L483" s="877">
        <v>0.2</v>
      </c>
      <c r="M483" s="1010"/>
      <c r="N483" s="959"/>
      <c r="O483" s="1000"/>
      <c r="P483" s="767" t="s">
        <v>47</v>
      </c>
      <c r="Q483" s="27">
        <v>0</v>
      </c>
      <c r="R483" s="27">
        <v>0</v>
      </c>
      <c r="S483" s="27">
        <v>0</v>
      </c>
      <c r="T483" s="27">
        <v>0</v>
      </c>
      <c r="U483" s="27">
        <v>0</v>
      </c>
      <c r="V483" s="27">
        <v>0</v>
      </c>
      <c r="W483" s="27">
        <v>0</v>
      </c>
      <c r="X483" s="27"/>
      <c r="Y483" s="27"/>
      <c r="Z483" s="27"/>
      <c r="AA483" s="27">
        <v>0</v>
      </c>
      <c r="AB483" s="27"/>
      <c r="AC483" s="27">
        <v>0</v>
      </c>
      <c r="AD483" s="27">
        <v>0</v>
      </c>
      <c r="AE483" s="257"/>
      <c r="AF483" s="257"/>
      <c r="AG483" s="257"/>
      <c r="AH483" s="257"/>
      <c r="AI483" s="257"/>
      <c r="AJ483" s="257"/>
      <c r="AK483" s="27">
        <v>0</v>
      </c>
      <c r="AL483" s="27">
        <v>0</v>
      </c>
      <c r="AM483" s="110">
        <v>16500000</v>
      </c>
      <c r="AN483" s="11"/>
      <c r="AO483" s="27">
        <v>0</v>
      </c>
      <c r="AP483" s="290">
        <v>0</v>
      </c>
      <c r="AQ483" s="290"/>
      <c r="AR483" s="27">
        <f t="shared" si="292"/>
        <v>16500000</v>
      </c>
    </row>
    <row r="484" spans="1:44" s="165" customFormat="1" ht="99.75" x14ac:dyDescent="0.25">
      <c r="A484" s="21"/>
      <c r="B484" s="476"/>
      <c r="C484" s="967"/>
      <c r="D484" s="945"/>
      <c r="E484" s="1002"/>
      <c r="F484" s="1002"/>
      <c r="G484" s="32"/>
      <c r="H484" s="767">
        <v>186</v>
      </c>
      <c r="I484" s="762" t="s">
        <v>611</v>
      </c>
      <c r="J484" s="33" t="s">
        <v>38</v>
      </c>
      <c r="K484" s="33">
        <v>1</v>
      </c>
      <c r="L484" s="877" t="s">
        <v>984</v>
      </c>
      <c r="M484" s="1011"/>
      <c r="N484" s="949"/>
      <c r="O484" s="1001"/>
      <c r="P484" s="767" t="s">
        <v>47</v>
      </c>
      <c r="Q484" s="27"/>
      <c r="R484" s="27"/>
      <c r="S484" s="27"/>
      <c r="T484" s="27"/>
      <c r="U484" s="27"/>
      <c r="V484" s="27"/>
      <c r="W484" s="27"/>
      <c r="X484" s="27"/>
      <c r="Y484" s="27"/>
      <c r="Z484" s="27"/>
      <c r="AA484" s="27"/>
      <c r="AB484" s="27"/>
      <c r="AC484" s="27"/>
      <c r="AD484" s="27"/>
      <c r="AE484" s="257"/>
      <c r="AF484" s="257"/>
      <c r="AG484" s="257"/>
      <c r="AH484" s="257"/>
      <c r="AI484" s="257"/>
      <c r="AJ484" s="257"/>
      <c r="AK484" s="27"/>
      <c r="AL484" s="27"/>
      <c r="AM484" s="110">
        <v>28500000</v>
      </c>
      <c r="AN484" s="11"/>
      <c r="AO484" s="27"/>
      <c r="AP484" s="290"/>
      <c r="AQ484" s="290"/>
      <c r="AR484" s="27">
        <f t="shared" si="292"/>
        <v>28500000</v>
      </c>
    </row>
    <row r="485" spans="1:44" s="165" customFormat="1" ht="15" x14ac:dyDescent="0.25">
      <c r="A485" s="21"/>
      <c r="B485" s="476"/>
      <c r="C485" s="477"/>
      <c r="D485" s="159"/>
      <c r="E485" s="604"/>
      <c r="F485" s="604"/>
      <c r="G485" s="160"/>
      <c r="H485" s="161"/>
      <c r="I485" s="160"/>
      <c r="J485" s="311"/>
      <c r="K485" s="311"/>
      <c r="L485" s="311"/>
      <c r="M485" s="311"/>
      <c r="N485" s="163"/>
      <c r="O485" s="160"/>
      <c r="P485" s="161"/>
      <c r="Q485" s="164">
        <f t="shared" ref="Q485:AP485" si="354">SUM(Q482:Q484)</f>
        <v>0</v>
      </c>
      <c r="R485" s="164">
        <f t="shared" si="354"/>
        <v>0</v>
      </c>
      <c r="S485" s="164">
        <f t="shared" si="354"/>
        <v>0</v>
      </c>
      <c r="T485" s="164">
        <f t="shared" si="354"/>
        <v>0</v>
      </c>
      <c r="U485" s="164">
        <f t="shared" si="354"/>
        <v>0</v>
      </c>
      <c r="V485" s="164">
        <f t="shared" si="354"/>
        <v>0</v>
      </c>
      <c r="W485" s="164">
        <f t="shared" si="354"/>
        <v>0</v>
      </c>
      <c r="X485" s="164">
        <f t="shared" si="354"/>
        <v>0</v>
      </c>
      <c r="Y485" s="164">
        <f t="shared" si="354"/>
        <v>0</v>
      </c>
      <c r="Z485" s="164">
        <f t="shared" si="354"/>
        <v>0</v>
      </c>
      <c r="AA485" s="164">
        <f t="shared" si="354"/>
        <v>0</v>
      </c>
      <c r="AB485" s="164">
        <f t="shared" si="354"/>
        <v>0</v>
      </c>
      <c r="AC485" s="164">
        <f t="shared" si="354"/>
        <v>0</v>
      </c>
      <c r="AD485" s="164">
        <f t="shared" si="354"/>
        <v>0</v>
      </c>
      <c r="AE485" s="164">
        <f t="shared" si="354"/>
        <v>0</v>
      </c>
      <c r="AF485" s="164">
        <f t="shared" si="354"/>
        <v>0</v>
      </c>
      <c r="AG485" s="164">
        <f t="shared" si="354"/>
        <v>0</v>
      </c>
      <c r="AH485" s="164">
        <f t="shared" si="354"/>
        <v>0</v>
      </c>
      <c r="AI485" s="164">
        <f t="shared" si="354"/>
        <v>0</v>
      </c>
      <c r="AJ485" s="164">
        <f t="shared" si="354"/>
        <v>0</v>
      </c>
      <c r="AK485" s="164">
        <f t="shared" si="354"/>
        <v>0</v>
      </c>
      <c r="AL485" s="164">
        <f t="shared" si="354"/>
        <v>0</v>
      </c>
      <c r="AM485" s="164">
        <f t="shared" si="354"/>
        <v>470000000</v>
      </c>
      <c r="AN485" s="164">
        <f t="shared" si="354"/>
        <v>0</v>
      </c>
      <c r="AO485" s="164">
        <f t="shared" si="354"/>
        <v>0</v>
      </c>
      <c r="AP485" s="164">
        <f t="shared" si="354"/>
        <v>0</v>
      </c>
      <c r="AQ485" s="164">
        <f t="shared" ref="AQ485" si="355">SUM(AQ482:AQ484)</f>
        <v>0</v>
      </c>
      <c r="AR485" s="164">
        <f t="shared" si="292"/>
        <v>470000000</v>
      </c>
    </row>
    <row r="486" spans="1:44" s="165" customFormat="1" ht="15" x14ac:dyDescent="0.25">
      <c r="A486" s="21"/>
      <c r="B486" s="476"/>
      <c r="C486" s="479"/>
      <c r="D486" s="422"/>
      <c r="E486" s="479"/>
      <c r="F486" s="479"/>
      <c r="G486" s="422"/>
      <c r="H486" s="479"/>
      <c r="I486" s="422"/>
      <c r="J486" s="480"/>
      <c r="K486" s="480"/>
      <c r="L486" s="480"/>
      <c r="M486" s="480"/>
      <c r="N486" s="421"/>
      <c r="O486" s="422"/>
      <c r="P486" s="479"/>
      <c r="Q486" s="103"/>
      <c r="R486" s="103"/>
      <c r="S486" s="103"/>
      <c r="T486" s="103"/>
      <c r="U486" s="103"/>
      <c r="V486" s="103"/>
      <c r="W486" s="103"/>
      <c r="X486" s="103"/>
      <c r="Y486" s="103"/>
      <c r="Z486" s="103"/>
      <c r="AA486" s="103"/>
      <c r="AB486" s="103"/>
      <c r="AC486" s="103"/>
      <c r="AD486" s="103"/>
      <c r="AE486" s="103"/>
      <c r="AF486" s="103"/>
      <c r="AG486" s="103"/>
      <c r="AH486" s="103"/>
      <c r="AI486" s="103"/>
      <c r="AJ486" s="103"/>
      <c r="AK486" s="103"/>
      <c r="AL486" s="103"/>
      <c r="AM486" s="287"/>
      <c r="AN486" s="288"/>
      <c r="AO486" s="103"/>
      <c r="AP486" s="103"/>
      <c r="AQ486" s="103"/>
      <c r="AR486" s="481"/>
    </row>
    <row r="487" spans="1:44" s="165" customFormat="1" ht="15" x14ac:dyDescent="0.25">
      <c r="A487" s="21"/>
      <c r="B487" s="476"/>
      <c r="C487" s="878"/>
      <c r="D487" s="732"/>
      <c r="E487" s="726"/>
      <c r="F487" s="879"/>
      <c r="G487" s="193">
        <v>60</v>
      </c>
      <c r="H487" s="194" t="s">
        <v>612</v>
      </c>
      <c r="I487" s="194"/>
      <c r="J487" s="194"/>
      <c r="K487" s="194"/>
      <c r="L487" s="194"/>
      <c r="M487" s="194"/>
      <c r="N487" s="194"/>
      <c r="O487" s="194"/>
      <c r="P487" s="194"/>
      <c r="Q487" s="194"/>
      <c r="R487" s="194"/>
      <c r="S487" s="194"/>
      <c r="T487" s="194"/>
      <c r="U487" s="194"/>
      <c r="V487" s="194"/>
      <c r="W487" s="194"/>
      <c r="X487" s="194"/>
      <c r="Y487" s="194"/>
      <c r="Z487" s="194"/>
      <c r="AA487" s="194"/>
      <c r="AB487" s="194"/>
      <c r="AC487" s="194"/>
      <c r="AD487" s="194"/>
      <c r="AE487" s="194"/>
      <c r="AF487" s="194"/>
      <c r="AG487" s="194"/>
      <c r="AH487" s="194"/>
      <c r="AI487" s="194"/>
      <c r="AJ487" s="194"/>
      <c r="AK487" s="194"/>
      <c r="AL487" s="194"/>
      <c r="AM487" s="196"/>
      <c r="AN487" s="194"/>
      <c r="AO487" s="194"/>
      <c r="AP487" s="194"/>
      <c r="AQ487" s="194"/>
      <c r="AR487" s="197"/>
    </row>
    <row r="488" spans="1:44" s="467" customFormat="1" ht="54.95" customHeight="1" x14ac:dyDescent="0.25">
      <c r="A488" s="21"/>
      <c r="B488" s="476"/>
      <c r="C488" s="477">
        <v>22</v>
      </c>
      <c r="D488" s="159" t="s">
        <v>613</v>
      </c>
      <c r="E488" s="605" t="s">
        <v>614</v>
      </c>
      <c r="F488" s="605" t="s">
        <v>615</v>
      </c>
      <c r="G488" s="24"/>
      <c r="H488" s="767">
        <v>187</v>
      </c>
      <c r="I488" s="762" t="s">
        <v>616</v>
      </c>
      <c r="J488" s="33">
        <v>1</v>
      </c>
      <c r="K488" s="33">
        <v>1</v>
      </c>
      <c r="L488" s="877">
        <v>0.49</v>
      </c>
      <c r="M488" s="1009" t="s">
        <v>590</v>
      </c>
      <c r="N488" s="948" t="s">
        <v>617</v>
      </c>
      <c r="O488" s="941" t="s">
        <v>618</v>
      </c>
      <c r="P488" s="767" t="s">
        <v>47</v>
      </c>
      <c r="Q488" s="27">
        <v>0</v>
      </c>
      <c r="R488" s="27">
        <v>0</v>
      </c>
      <c r="S488" s="27">
        <v>0</v>
      </c>
      <c r="T488" s="27">
        <v>0</v>
      </c>
      <c r="U488" s="27">
        <v>0</v>
      </c>
      <c r="V488" s="27">
        <v>0</v>
      </c>
      <c r="W488" s="27">
        <v>0</v>
      </c>
      <c r="X488" s="27"/>
      <c r="Y488" s="27"/>
      <c r="Z488" s="27"/>
      <c r="AA488" s="27">
        <v>0</v>
      </c>
      <c r="AB488" s="27"/>
      <c r="AC488" s="27">
        <v>0</v>
      </c>
      <c r="AD488" s="27">
        <v>0</v>
      </c>
      <c r="AE488" s="257"/>
      <c r="AF488" s="257"/>
      <c r="AG488" s="257"/>
      <c r="AH488" s="257"/>
      <c r="AI488" s="257"/>
      <c r="AJ488" s="257"/>
      <c r="AK488" s="27">
        <v>0</v>
      </c>
      <c r="AL488" s="27">
        <v>0</v>
      </c>
      <c r="AM488" s="110">
        <f>24350000</f>
        <v>24350000</v>
      </c>
      <c r="AN488" s="11"/>
      <c r="AO488" s="319">
        <v>0</v>
      </c>
      <c r="AP488" s="290">
        <v>0</v>
      </c>
      <c r="AQ488" s="290"/>
      <c r="AR488" s="27">
        <f t="shared" si="292"/>
        <v>24350000</v>
      </c>
    </row>
    <row r="489" spans="1:44" s="467" customFormat="1" ht="78" customHeight="1" x14ac:dyDescent="0.25">
      <c r="A489" s="21"/>
      <c r="B489" s="476"/>
      <c r="C489" s="477">
        <v>31</v>
      </c>
      <c r="D489" s="483" t="s">
        <v>619</v>
      </c>
      <c r="E489" s="484">
        <v>0.249</v>
      </c>
      <c r="F489" s="485">
        <v>0.2</v>
      </c>
      <c r="G489" s="30"/>
      <c r="H489" s="767">
        <v>188</v>
      </c>
      <c r="I489" s="762" t="s">
        <v>620</v>
      </c>
      <c r="J489" s="33" t="s">
        <v>38</v>
      </c>
      <c r="K489" s="33">
        <v>2</v>
      </c>
      <c r="L489" s="877">
        <v>0.2</v>
      </c>
      <c r="M489" s="1010"/>
      <c r="N489" s="959"/>
      <c r="O489" s="942"/>
      <c r="P489" s="767" t="s">
        <v>47</v>
      </c>
      <c r="Q489" s="27">
        <v>0</v>
      </c>
      <c r="R489" s="27">
        <v>0</v>
      </c>
      <c r="S489" s="27">
        <v>0</v>
      </c>
      <c r="T489" s="27">
        <v>0</v>
      </c>
      <c r="U489" s="27">
        <v>0</v>
      </c>
      <c r="V489" s="27">
        <v>0</v>
      </c>
      <c r="W489" s="27">
        <v>0</v>
      </c>
      <c r="X489" s="27"/>
      <c r="Y489" s="27"/>
      <c r="Z489" s="27"/>
      <c r="AA489" s="27">
        <v>0</v>
      </c>
      <c r="AB489" s="27"/>
      <c r="AC489" s="27">
        <v>0</v>
      </c>
      <c r="AD489" s="27">
        <v>0</v>
      </c>
      <c r="AE489" s="257"/>
      <c r="AF489" s="257"/>
      <c r="AG489" s="257"/>
      <c r="AH489" s="257"/>
      <c r="AI489" s="257"/>
      <c r="AJ489" s="257"/>
      <c r="AK489" s="27">
        <v>0</v>
      </c>
      <c r="AL489" s="27">
        <v>0</v>
      </c>
      <c r="AM489" s="116">
        <v>31650000</v>
      </c>
      <c r="AN489" s="8"/>
      <c r="AO489" s="319">
        <v>0</v>
      </c>
      <c r="AP489" s="290">
        <v>0</v>
      </c>
      <c r="AQ489" s="290"/>
      <c r="AR489" s="27">
        <f t="shared" si="292"/>
        <v>31650000</v>
      </c>
    </row>
    <row r="490" spans="1:44" s="29" customFormat="1" ht="81" customHeight="1" x14ac:dyDescent="0.25">
      <c r="A490" s="21"/>
      <c r="B490" s="482"/>
      <c r="C490" s="761">
        <v>32</v>
      </c>
      <c r="D490" s="55" t="s">
        <v>916</v>
      </c>
      <c r="E490" s="486" t="s">
        <v>621</v>
      </c>
      <c r="F490" s="767" t="s">
        <v>622</v>
      </c>
      <c r="G490" s="30"/>
      <c r="H490" s="767">
        <v>189</v>
      </c>
      <c r="I490" s="762" t="s">
        <v>623</v>
      </c>
      <c r="J490" s="33" t="s">
        <v>38</v>
      </c>
      <c r="K490" s="33">
        <v>1</v>
      </c>
      <c r="L490" s="877">
        <v>0.25</v>
      </c>
      <c r="M490" s="1011"/>
      <c r="N490" s="949"/>
      <c r="O490" s="943"/>
      <c r="P490" s="767" t="s">
        <v>47</v>
      </c>
      <c r="Q490" s="27">
        <v>0</v>
      </c>
      <c r="R490" s="27">
        <v>0</v>
      </c>
      <c r="S490" s="27">
        <v>0</v>
      </c>
      <c r="T490" s="27">
        <v>0</v>
      </c>
      <c r="U490" s="27">
        <v>0</v>
      </c>
      <c r="V490" s="27">
        <v>0</v>
      </c>
      <c r="W490" s="27">
        <v>0</v>
      </c>
      <c r="X490" s="27"/>
      <c r="Y490" s="27"/>
      <c r="Z490" s="27"/>
      <c r="AA490" s="27">
        <v>0</v>
      </c>
      <c r="AB490" s="27"/>
      <c r="AC490" s="27">
        <v>0</v>
      </c>
      <c r="AD490" s="27">
        <v>0</v>
      </c>
      <c r="AE490" s="27"/>
      <c r="AF490" s="27"/>
      <c r="AG490" s="27"/>
      <c r="AH490" s="27"/>
      <c r="AI490" s="27"/>
      <c r="AJ490" s="27"/>
      <c r="AK490" s="27">
        <v>0</v>
      </c>
      <c r="AL490" s="27">
        <v>0</v>
      </c>
      <c r="AM490" s="110">
        <f>44000000+60000000</f>
        <v>104000000</v>
      </c>
      <c r="AN490" s="11"/>
      <c r="AO490" s="27">
        <v>0</v>
      </c>
      <c r="AP490" s="28">
        <v>0</v>
      </c>
      <c r="AQ490" s="28"/>
      <c r="AR490" s="27">
        <f t="shared" si="292"/>
        <v>104000000</v>
      </c>
    </row>
    <row r="491" spans="1:44" s="165" customFormat="1" ht="15" x14ac:dyDescent="0.25">
      <c r="A491" s="21"/>
      <c r="B491" s="476"/>
      <c r="C491" s="477"/>
      <c r="D491" s="159"/>
      <c r="E491" s="604"/>
      <c r="F491" s="604"/>
      <c r="G491" s="160"/>
      <c r="H491" s="161"/>
      <c r="I491" s="160"/>
      <c r="J491" s="311"/>
      <c r="K491" s="311"/>
      <c r="L491" s="311"/>
      <c r="M491" s="311"/>
      <c r="N491" s="163"/>
      <c r="O491" s="160"/>
      <c r="P491" s="161"/>
      <c r="Q491" s="164">
        <f t="shared" ref="Q491:AB491" si="356">SUM(Q488:Q490)</f>
        <v>0</v>
      </c>
      <c r="R491" s="164">
        <f t="shared" si="356"/>
        <v>0</v>
      </c>
      <c r="S491" s="164">
        <f t="shared" si="356"/>
        <v>0</v>
      </c>
      <c r="T491" s="164">
        <f t="shared" si="356"/>
        <v>0</v>
      </c>
      <c r="U491" s="164">
        <f t="shared" si="356"/>
        <v>0</v>
      </c>
      <c r="V491" s="164">
        <f t="shared" si="356"/>
        <v>0</v>
      </c>
      <c r="W491" s="164">
        <f t="shared" si="356"/>
        <v>0</v>
      </c>
      <c r="X491" s="164">
        <f t="shared" si="356"/>
        <v>0</v>
      </c>
      <c r="Y491" s="164">
        <f t="shared" si="356"/>
        <v>0</v>
      </c>
      <c r="Z491" s="164">
        <f t="shared" si="356"/>
        <v>0</v>
      </c>
      <c r="AA491" s="164">
        <f t="shared" si="356"/>
        <v>0</v>
      </c>
      <c r="AB491" s="164">
        <f t="shared" si="356"/>
        <v>0</v>
      </c>
      <c r="AC491" s="164">
        <f>SUM(AC488:AC490)</f>
        <v>0</v>
      </c>
      <c r="AD491" s="164">
        <f>SUM(AD488:AD490)</f>
        <v>0</v>
      </c>
      <c r="AE491" s="164">
        <f>SUM(AE488:AE490)</f>
        <v>0</v>
      </c>
      <c r="AF491" s="164">
        <f>SUM(AF488:AF490)</f>
        <v>0</v>
      </c>
      <c r="AG491" s="164">
        <f>SUM(AG488:AG490)</f>
        <v>0</v>
      </c>
      <c r="AH491" s="164">
        <f t="shared" ref="AH491:AO491" si="357">SUM(AH488:AH490)</f>
        <v>0</v>
      </c>
      <c r="AI491" s="164">
        <f t="shared" si="357"/>
        <v>0</v>
      </c>
      <c r="AJ491" s="164">
        <f t="shared" si="357"/>
        <v>0</v>
      </c>
      <c r="AK491" s="164">
        <f t="shared" si="357"/>
        <v>0</v>
      </c>
      <c r="AL491" s="164">
        <f t="shared" si="357"/>
        <v>0</v>
      </c>
      <c r="AM491" s="248">
        <f t="shared" si="357"/>
        <v>160000000</v>
      </c>
      <c r="AN491" s="248">
        <f t="shared" si="357"/>
        <v>0</v>
      </c>
      <c r="AO491" s="248">
        <f t="shared" si="357"/>
        <v>0</v>
      </c>
      <c r="AP491" s="164">
        <f>SUM(AP488:AP490)</f>
        <v>0</v>
      </c>
      <c r="AQ491" s="164">
        <f>SUM(AQ488:AQ490)</f>
        <v>0</v>
      </c>
      <c r="AR491" s="164">
        <f t="shared" si="292"/>
        <v>160000000</v>
      </c>
    </row>
    <row r="492" spans="1:44" s="165" customFormat="1" ht="15" x14ac:dyDescent="0.25">
      <c r="A492" s="21"/>
      <c r="B492" s="476"/>
      <c r="C492" s="479"/>
      <c r="D492" s="422"/>
      <c r="E492" s="479"/>
      <c r="F492" s="479"/>
      <c r="G492" s="422"/>
      <c r="H492" s="479"/>
      <c r="I492" s="422"/>
      <c r="J492" s="480"/>
      <c r="K492" s="480"/>
      <c r="L492" s="480"/>
      <c r="M492" s="480"/>
      <c r="N492" s="421"/>
      <c r="O492" s="422"/>
      <c r="P492" s="479"/>
      <c r="Q492" s="103"/>
      <c r="R492" s="103"/>
      <c r="S492" s="103"/>
      <c r="T492" s="103"/>
      <c r="U492" s="103"/>
      <c r="V492" s="103"/>
      <c r="W492" s="103"/>
      <c r="X492" s="103"/>
      <c r="Y492" s="103"/>
      <c r="Z492" s="103"/>
      <c r="AA492" s="103"/>
      <c r="AB492" s="103"/>
      <c r="AC492" s="103"/>
      <c r="AD492" s="103"/>
      <c r="AE492" s="103"/>
      <c r="AF492" s="103"/>
      <c r="AG492" s="103"/>
      <c r="AH492" s="103"/>
      <c r="AI492" s="103"/>
      <c r="AJ492" s="103"/>
      <c r="AK492" s="103"/>
      <c r="AL492" s="103"/>
      <c r="AM492" s="287"/>
      <c r="AN492" s="288"/>
      <c r="AO492" s="103"/>
      <c r="AP492" s="103"/>
      <c r="AQ492" s="103"/>
      <c r="AR492" s="481">
        <f t="shared" si="292"/>
        <v>0</v>
      </c>
    </row>
    <row r="493" spans="1:44" s="165" customFormat="1" ht="15" x14ac:dyDescent="0.25">
      <c r="A493" s="21"/>
      <c r="B493" s="476"/>
      <c r="C493" s="878"/>
      <c r="D493" s="732"/>
      <c r="E493" s="726"/>
      <c r="F493" s="879"/>
      <c r="G493" s="193">
        <v>61</v>
      </c>
      <c r="H493" s="194" t="s">
        <v>624</v>
      </c>
      <c r="I493" s="194"/>
      <c r="J493" s="194"/>
      <c r="K493" s="194"/>
      <c r="L493" s="194"/>
      <c r="M493" s="194"/>
      <c r="N493" s="194"/>
      <c r="O493" s="194"/>
      <c r="P493" s="194"/>
      <c r="Q493" s="194"/>
      <c r="R493" s="194"/>
      <c r="S493" s="194"/>
      <c r="T493" s="194"/>
      <c r="U493" s="194"/>
      <c r="V493" s="194"/>
      <c r="W493" s="194"/>
      <c r="X493" s="194"/>
      <c r="Y493" s="194"/>
      <c r="Z493" s="194"/>
      <c r="AA493" s="194"/>
      <c r="AB493" s="194"/>
      <c r="AC493" s="194"/>
      <c r="AD493" s="194"/>
      <c r="AE493" s="194"/>
      <c r="AF493" s="194"/>
      <c r="AG493" s="194"/>
      <c r="AH493" s="194"/>
      <c r="AI493" s="194"/>
      <c r="AJ493" s="194"/>
      <c r="AK493" s="194"/>
      <c r="AL493" s="194"/>
      <c r="AM493" s="196"/>
      <c r="AN493" s="194"/>
      <c r="AO493" s="194"/>
      <c r="AP493" s="194"/>
      <c r="AQ493" s="194"/>
      <c r="AR493" s="197"/>
    </row>
    <row r="494" spans="1:44" s="165" customFormat="1" ht="54.95" customHeight="1" x14ac:dyDescent="0.25">
      <c r="A494" s="21"/>
      <c r="B494" s="476"/>
      <c r="C494" s="477">
        <v>34</v>
      </c>
      <c r="D494" s="483" t="s">
        <v>625</v>
      </c>
      <c r="E494" s="605" t="s">
        <v>38</v>
      </c>
      <c r="F494" s="604">
        <v>40</v>
      </c>
      <c r="G494" s="24"/>
      <c r="H494" s="767">
        <v>190</v>
      </c>
      <c r="I494" s="762" t="s">
        <v>626</v>
      </c>
      <c r="J494" s="12">
        <v>1</v>
      </c>
      <c r="K494" s="12">
        <v>1</v>
      </c>
      <c r="L494" s="877">
        <v>0.6</v>
      </c>
      <c r="M494" s="762" t="s">
        <v>590</v>
      </c>
      <c r="N494" s="39" t="s">
        <v>627</v>
      </c>
      <c r="O494" s="762" t="s">
        <v>628</v>
      </c>
      <c r="P494" s="767" t="s">
        <v>47</v>
      </c>
      <c r="Q494" s="27"/>
      <c r="R494" s="27"/>
      <c r="S494" s="27"/>
      <c r="T494" s="27"/>
      <c r="U494" s="27"/>
      <c r="V494" s="27"/>
      <c r="W494" s="27"/>
      <c r="X494" s="27"/>
      <c r="Y494" s="27"/>
      <c r="Z494" s="27"/>
      <c r="AA494" s="27"/>
      <c r="AB494" s="27"/>
      <c r="AC494" s="27"/>
      <c r="AD494" s="27"/>
      <c r="AE494" s="257"/>
      <c r="AF494" s="257"/>
      <c r="AG494" s="257"/>
      <c r="AH494" s="257"/>
      <c r="AI494" s="257"/>
      <c r="AJ494" s="257"/>
      <c r="AK494" s="27"/>
      <c r="AL494" s="27"/>
      <c r="AM494" s="108">
        <v>190000000</v>
      </c>
      <c r="AN494" s="15"/>
      <c r="AO494" s="27"/>
      <c r="AP494" s="478"/>
      <c r="AQ494" s="478"/>
      <c r="AR494" s="27">
        <f t="shared" si="292"/>
        <v>190000000</v>
      </c>
    </row>
    <row r="495" spans="1:44" s="165" customFormat="1" ht="15" x14ac:dyDescent="0.25">
      <c r="A495" s="21"/>
      <c r="B495" s="487"/>
      <c r="C495" s="477"/>
      <c r="D495" s="159"/>
      <c r="E495" s="604"/>
      <c r="F495" s="604"/>
      <c r="G495" s="160"/>
      <c r="H495" s="161"/>
      <c r="I495" s="160"/>
      <c r="J495" s="256"/>
      <c r="K495" s="256"/>
      <c r="L495" s="256"/>
      <c r="M495" s="256"/>
      <c r="N495" s="163"/>
      <c r="O495" s="160"/>
      <c r="P495" s="161"/>
      <c r="Q495" s="164">
        <f t="shared" ref="Q495:W495" si="358">SUM(Q494:Q494)</f>
        <v>0</v>
      </c>
      <c r="R495" s="164">
        <f t="shared" si="358"/>
        <v>0</v>
      </c>
      <c r="S495" s="164">
        <f t="shared" si="358"/>
        <v>0</v>
      </c>
      <c r="T495" s="164">
        <f t="shared" si="358"/>
        <v>0</v>
      </c>
      <c r="U495" s="164">
        <f t="shared" si="358"/>
        <v>0</v>
      </c>
      <c r="V495" s="164">
        <f t="shared" si="358"/>
        <v>0</v>
      </c>
      <c r="W495" s="164">
        <f t="shared" si="358"/>
        <v>0</v>
      </c>
      <c r="X495" s="164">
        <f t="shared" ref="X495:AC495" si="359">SUM(X494:X494)</f>
        <v>0</v>
      </c>
      <c r="Y495" s="164">
        <f t="shared" si="359"/>
        <v>0</v>
      </c>
      <c r="Z495" s="164">
        <f t="shared" si="359"/>
        <v>0</v>
      </c>
      <c r="AA495" s="164">
        <f t="shared" si="359"/>
        <v>0</v>
      </c>
      <c r="AB495" s="164">
        <f t="shared" si="359"/>
        <v>0</v>
      </c>
      <c r="AC495" s="164">
        <f t="shared" si="359"/>
        <v>0</v>
      </c>
      <c r="AD495" s="164">
        <f>SUM(AD494:AD494)</f>
        <v>0</v>
      </c>
      <c r="AE495" s="164">
        <f>SUM(AE494:AE494)</f>
        <v>0</v>
      </c>
      <c r="AF495" s="164">
        <f>SUM(AF494:AF494)</f>
        <v>0</v>
      </c>
      <c r="AG495" s="164">
        <f t="shared" ref="AG495:AL495" si="360">SUM(AG494:AG494)</f>
        <v>0</v>
      </c>
      <c r="AH495" s="164">
        <f t="shared" si="360"/>
        <v>0</v>
      </c>
      <c r="AI495" s="164">
        <f t="shared" si="360"/>
        <v>0</v>
      </c>
      <c r="AJ495" s="164">
        <f t="shared" si="360"/>
        <v>0</v>
      </c>
      <c r="AK495" s="164">
        <f t="shared" si="360"/>
        <v>0</v>
      </c>
      <c r="AL495" s="164">
        <f t="shared" si="360"/>
        <v>0</v>
      </c>
      <c r="AM495" s="248">
        <f t="shared" ref="AM495" si="361">SUM(AM494:AM494)</f>
        <v>190000000</v>
      </c>
      <c r="AN495" s="248">
        <f t="shared" ref="AN495:AO495" si="362">SUM(AN494:AN494)</f>
        <v>0</v>
      </c>
      <c r="AO495" s="248">
        <f t="shared" si="362"/>
        <v>0</v>
      </c>
      <c r="AP495" s="164">
        <f>SUM(AP494:AP494)</f>
        <v>0</v>
      </c>
      <c r="AQ495" s="164">
        <f>SUM(AQ494:AQ494)</f>
        <v>0</v>
      </c>
      <c r="AR495" s="164">
        <f t="shared" si="292"/>
        <v>190000000</v>
      </c>
    </row>
    <row r="496" spans="1:44" s="165" customFormat="1" ht="15" x14ac:dyDescent="0.25">
      <c r="A496" s="21"/>
      <c r="B496" s="227"/>
      <c r="C496" s="168"/>
      <c r="D496" s="167"/>
      <c r="E496" s="168"/>
      <c r="F496" s="168"/>
      <c r="G496" s="167"/>
      <c r="H496" s="168"/>
      <c r="I496" s="167"/>
      <c r="J496" s="264"/>
      <c r="K496" s="264"/>
      <c r="L496" s="264"/>
      <c r="M496" s="264"/>
      <c r="N496" s="170"/>
      <c r="O496" s="167"/>
      <c r="P496" s="168"/>
      <c r="Q496" s="171">
        <f t="shared" ref="Q496:W496" si="363">Q495+Q491+Q485+Q479</f>
        <v>0</v>
      </c>
      <c r="R496" s="171">
        <f t="shared" si="363"/>
        <v>0</v>
      </c>
      <c r="S496" s="171">
        <f t="shared" si="363"/>
        <v>0</v>
      </c>
      <c r="T496" s="171">
        <f t="shared" si="363"/>
        <v>0</v>
      </c>
      <c r="U496" s="171">
        <f t="shared" si="363"/>
        <v>0</v>
      </c>
      <c r="V496" s="171">
        <f t="shared" si="363"/>
        <v>0</v>
      </c>
      <c r="W496" s="171">
        <f t="shared" si="363"/>
        <v>0</v>
      </c>
      <c r="X496" s="171">
        <f t="shared" ref="X496:AC496" si="364">X495+X491+X485+X479</f>
        <v>0</v>
      </c>
      <c r="Y496" s="171">
        <f t="shared" si="364"/>
        <v>0</v>
      </c>
      <c r="Z496" s="171">
        <f t="shared" si="364"/>
        <v>0</v>
      </c>
      <c r="AA496" s="171">
        <f t="shared" si="364"/>
        <v>0</v>
      </c>
      <c r="AB496" s="171">
        <f t="shared" si="364"/>
        <v>0</v>
      </c>
      <c r="AC496" s="171">
        <f t="shared" si="364"/>
        <v>0</v>
      </c>
      <c r="AD496" s="171">
        <f>AD495+AD491+AD485+AD479</f>
        <v>0</v>
      </c>
      <c r="AE496" s="171">
        <f>AE495+AE491+AE485+AE479</f>
        <v>0</v>
      </c>
      <c r="AF496" s="171">
        <f>AF495+AF491+AF485+AF479</f>
        <v>0</v>
      </c>
      <c r="AG496" s="171">
        <f t="shared" ref="AG496:AL496" si="365">AG495+AG491+AG485+AG479</f>
        <v>0</v>
      </c>
      <c r="AH496" s="171">
        <f t="shared" si="365"/>
        <v>0</v>
      </c>
      <c r="AI496" s="171">
        <f t="shared" si="365"/>
        <v>0</v>
      </c>
      <c r="AJ496" s="171">
        <f t="shared" si="365"/>
        <v>0</v>
      </c>
      <c r="AK496" s="171">
        <f t="shared" si="365"/>
        <v>0</v>
      </c>
      <c r="AL496" s="171">
        <f t="shared" si="365"/>
        <v>0</v>
      </c>
      <c r="AM496" s="250">
        <f t="shared" ref="AM496" si="366">AM495+AM491+AM485+AM479</f>
        <v>1000000000</v>
      </c>
      <c r="AN496" s="250">
        <f t="shared" ref="AN496:AO496" si="367">AN495+AN491+AN485+AN479</f>
        <v>0</v>
      </c>
      <c r="AO496" s="250">
        <f t="shared" si="367"/>
        <v>0</v>
      </c>
      <c r="AP496" s="171">
        <f>AP495+AP491+AP485+AP479</f>
        <v>0</v>
      </c>
      <c r="AQ496" s="171">
        <f>AQ495+AQ491+AQ485+AQ479</f>
        <v>0</v>
      </c>
      <c r="AR496" s="171">
        <f t="shared" si="292"/>
        <v>1000000000</v>
      </c>
    </row>
    <row r="497" spans="1:44" s="29" customFormat="1" ht="15" x14ac:dyDescent="0.25">
      <c r="A497" s="21"/>
      <c r="B497" s="473"/>
      <c r="C497" s="474"/>
      <c r="D497" s="183"/>
      <c r="E497" s="760"/>
      <c r="F497" s="760"/>
      <c r="G497" s="183"/>
      <c r="H497" s="760"/>
      <c r="I497" s="183"/>
      <c r="J497" s="760"/>
      <c r="K497" s="760"/>
      <c r="L497" s="760"/>
      <c r="M497" s="760"/>
      <c r="N497" s="185"/>
      <c r="O497" s="183"/>
      <c r="P497" s="760"/>
      <c r="Q497" s="186"/>
      <c r="R497" s="186"/>
      <c r="S497" s="186"/>
      <c r="T497" s="186"/>
      <c r="U497" s="186"/>
      <c r="V497" s="186"/>
      <c r="W497" s="186"/>
      <c r="X497" s="186"/>
      <c r="Y497" s="186"/>
      <c r="Z497" s="186"/>
      <c r="AA497" s="186"/>
      <c r="AB497" s="186"/>
      <c r="AC497" s="186"/>
      <c r="AD497" s="186"/>
      <c r="AE497" s="187"/>
      <c r="AF497" s="187"/>
      <c r="AG497" s="187"/>
      <c r="AH497" s="187"/>
      <c r="AI497" s="187"/>
      <c r="AJ497" s="187"/>
      <c r="AK497" s="186"/>
      <c r="AL497" s="186"/>
      <c r="AM497" s="188"/>
      <c r="AN497" s="189"/>
      <c r="AO497" s="186"/>
      <c r="AP497" s="186"/>
      <c r="AQ497" s="186"/>
      <c r="AR497" s="205">
        <f t="shared" si="292"/>
        <v>0</v>
      </c>
    </row>
    <row r="498" spans="1:44" s="29" customFormat="1" x14ac:dyDescent="0.25">
      <c r="A498" s="21"/>
      <c r="B498" s="243">
        <v>18</v>
      </c>
      <c r="C498" s="150" t="s">
        <v>629</v>
      </c>
      <c r="D498" s="149"/>
      <c r="E498" s="149"/>
      <c r="F498" s="149"/>
      <c r="G498" s="149"/>
      <c r="H498" s="150"/>
      <c r="I498" s="149"/>
      <c r="J498" s="149"/>
      <c r="K498" s="149"/>
      <c r="L498" s="149"/>
      <c r="M498" s="149"/>
      <c r="N498" s="151"/>
      <c r="O498" s="149"/>
      <c r="P498" s="149"/>
      <c r="Q498" s="149"/>
      <c r="R498" s="149"/>
      <c r="S498" s="149"/>
      <c r="T498" s="149"/>
      <c r="U498" s="149"/>
      <c r="V498" s="149"/>
      <c r="W498" s="149"/>
      <c r="X498" s="149"/>
      <c r="Y498" s="149"/>
      <c r="Z498" s="149"/>
      <c r="AA498" s="149"/>
      <c r="AB498" s="149"/>
      <c r="AC498" s="149"/>
      <c r="AD498" s="149"/>
      <c r="AE498" s="149"/>
      <c r="AF498" s="149"/>
      <c r="AG498" s="149"/>
      <c r="AH498" s="149"/>
      <c r="AI498" s="149"/>
      <c r="AJ498" s="149"/>
      <c r="AK498" s="149"/>
      <c r="AL498" s="149"/>
      <c r="AM498" s="152"/>
      <c r="AN498" s="149"/>
      <c r="AO498" s="149"/>
      <c r="AP498" s="149"/>
      <c r="AQ498" s="149"/>
      <c r="AR498" s="153"/>
    </row>
    <row r="499" spans="1:44" s="29" customFormat="1" ht="15" x14ac:dyDescent="0.25">
      <c r="A499" s="21"/>
      <c r="B499" s="475"/>
      <c r="C499" s="461"/>
      <c r="D499" s="159"/>
      <c r="E499" s="604"/>
      <c r="F499" s="604"/>
      <c r="G499" s="337">
        <v>62</v>
      </c>
      <c r="H499" s="194" t="s">
        <v>630</v>
      </c>
      <c r="I499" s="194"/>
      <c r="J499" s="194"/>
      <c r="K499" s="194"/>
      <c r="L499" s="194"/>
      <c r="M499" s="194"/>
      <c r="N499" s="194"/>
      <c r="O499" s="194"/>
      <c r="P499" s="194"/>
      <c r="Q499" s="194"/>
      <c r="R499" s="194"/>
      <c r="S499" s="194"/>
      <c r="T499" s="194"/>
      <c r="U499" s="194"/>
      <c r="V499" s="194"/>
      <c r="W499" s="194"/>
      <c r="X499" s="194"/>
      <c r="Y499" s="194"/>
      <c r="Z499" s="194"/>
      <c r="AA499" s="194"/>
      <c r="AB499" s="194"/>
      <c r="AC499" s="194"/>
      <c r="AD499" s="194"/>
      <c r="AE499" s="194"/>
      <c r="AF499" s="194"/>
      <c r="AG499" s="194"/>
      <c r="AH499" s="194"/>
      <c r="AI499" s="194"/>
      <c r="AJ499" s="194"/>
      <c r="AK499" s="194"/>
      <c r="AL499" s="194"/>
      <c r="AM499" s="196"/>
      <c r="AN499" s="194"/>
      <c r="AO499" s="194"/>
      <c r="AP499" s="194"/>
      <c r="AQ499" s="194"/>
      <c r="AR499" s="197"/>
    </row>
    <row r="500" spans="1:44" s="165" customFormat="1" ht="54.95" customHeight="1" x14ac:dyDescent="0.25">
      <c r="A500" s="21"/>
      <c r="B500" s="476"/>
      <c r="C500" s="477">
        <v>22</v>
      </c>
      <c r="D500" s="483" t="s">
        <v>613</v>
      </c>
      <c r="E500" s="605" t="s">
        <v>614</v>
      </c>
      <c r="F500" s="604" t="s">
        <v>615</v>
      </c>
      <c r="G500" s="24"/>
      <c r="H500" s="767">
        <v>191</v>
      </c>
      <c r="I500" s="488" t="s">
        <v>631</v>
      </c>
      <c r="J500" s="767" t="s">
        <v>38</v>
      </c>
      <c r="K500" s="767">
        <v>1</v>
      </c>
      <c r="L500" s="877">
        <v>0.06</v>
      </c>
      <c r="M500" s="762" t="s">
        <v>590</v>
      </c>
      <c r="N500" s="39" t="s">
        <v>632</v>
      </c>
      <c r="O500" s="7" t="s">
        <v>633</v>
      </c>
      <c r="P500" s="58" t="s">
        <v>47</v>
      </c>
      <c r="Q500" s="27">
        <v>0</v>
      </c>
      <c r="R500" s="27">
        <v>0</v>
      </c>
      <c r="S500" s="27">
        <v>0</v>
      </c>
      <c r="T500" s="27">
        <v>0</v>
      </c>
      <c r="U500" s="27">
        <v>0</v>
      </c>
      <c r="V500" s="27">
        <v>0</v>
      </c>
      <c r="W500" s="27">
        <v>0</v>
      </c>
      <c r="X500" s="27"/>
      <c r="Y500" s="27"/>
      <c r="Z500" s="27"/>
      <c r="AA500" s="27">
        <v>0</v>
      </c>
      <c r="AB500" s="27"/>
      <c r="AC500" s="27">
        <v>0</v>
      </c>
      <c r="AD500" s="27">
        <v>0</v>
      </c>
      <c r="AE500" s="257"/>
      <c r="AF500" s="257"/>
      <c r="AG500" s="257"/>
      <c r="AH500" s="257"/>
      <c r="AI500" s="257"/>
      <c r="AJ500" s="257"/>
      <c r="AK500" s="27">
        <v>0</v>
      </c>
      <c r="AL500" s="27">
        <v>0</v>
      </c>
      <c r="AM500" s="112">
        <f>10000000+150000000+1000000000-60000000</f>
        <v>1100000000</v>
      </c>
      <c r="AN500" s="327"/>
      <c r="AO500" s="319">
        <v>0</v>
      </c>
      <c r="AP500" s="290">
        <v>0</v>
      </c>
      <c r="AQ500" s="290"/>
      <c r="AR500" s="27">
        <f t="shared" si="292"/>
        <v>1100000000</v>
      </c>
    </row>
    <row r="501" spans="1:44" s="29" customFormat="1" ht="60" customHeight="1" x14ac:dyDescent="0.25">
      <c r="A501" s="21"/>
      <c r="B501" s="482"/>
      <c r="C501" s="761">
        <v>22</v>
      </c>
      <c r="D501" s="55" t="s">
        <v>613</v>
      </c>
      <c r="E501" s="486" t="s">
        <v>614</v>
      </c>
      <c r="F501" s="767" t="s">
        <v>615</v>
      </c>
      <c r="G501" s="30"/>
      <c r="H501" s="767">
        <v>192</v>
      </c>
      <c r="I501" s="762" t="s">
        <v>634</v>
      </c>
      <c r="J501" s="767">
        <v>1</v>
      </c>
      <c r="K501" s="767">
        <v>1</v>
      </c>
      <c r="L501" s="877">
        <v>0.4</v>
      </c>
      <c r="M501" s="762" t="s">
        <v>590</v>
      </c>
      <c r="N501" s="39" t="s">
        <v>635</v>
      </c>
      <c r="O501" s="762" t="s">
        <v>636</v>
      </c>
      <c r="P501" s="58" t="s">
        <v>47</v>
      </c>
      <c r="Q501" s="27">
        <v>0</v>
      </c>
      <c r="R501" s="27">
        <v>0</v>
      </c>
      <c r="S501" s="27">
        <v>0</v>
      </c>
      <c r="T501" s="27">
        <v>0</v>
      </c>
      <c r="U501" s="27">
        <v>0</v>
      </c>
      <c r="V501" s="27">
        <v>0</v>
      </c>
      <c r="W501" s="27">
        <v>0</v>
      </c>
      <c r="X501" s="27"/>
      <c r="Y501" s="27"/>
      <c r="Z501" s="27"/>
      <c r="AA501" s="27">
        <v>0</v>
      </c>
      <c r="AB501" s="27"/>
      <c r="AC501" s="27">
        <v>0</v>
      </c>
      <c r="AD501" s="27">
        <v>0</v>
      </c>
      <c r="AE501" s="27"/>
      <c r="AF501" s="27"/>
      <c r="AG501" s="27"/>
      <c r="AH501" s="27"/>
      <c r="AI501" s="27"/>
      <c r="AJ501" s="27"/>
      <c r="AK501" s="27">
        <v>0</v>
      </c>
      <c r="AL501" s="27">
        <v>0</v>
      </c>
      <c r="AM501" s="108">
        <f>60000000+15000000</f>
        <v>75000000</v>
      </c>
      <c r="AN501" s="40"/>
      <c r="AO501" s="27">
        <v>0</v>
      </c>
      <c r="AP501" s="28">
        <v>0</v>
      </c>
      <c r="AQ501" s="28"/>
      <c r="AR501" s="27">
        <f t="shared" si="292"/>
        <v>75000000</v>
      </c>
    </row>
    <row r="502" spans="1:44" s="165" customFormat="1" ht="15" x14ac:dyDescent="0.25">
      <c r="A502" s="21"/>
      <c r="B502" s="476"/>
      <c r="C502" s="477"/>
      <c r="D502" s="159"/>
      <c r="E502" s="604"/>
      <c r="F502" s="604"/>
      <c r="G502" s="160"/>
      <c r="H502" s="161"/>
      <c r="I502" s="160"/>
      <c r="J502" s="161"/>
      <c r="K502" s="161"/>
      <c r="L502" s="161"/>
      <c r="M502" s="161"/>
      <c r="N502" s="163"/>
      <c r="O502" s="160"/>
      <c r="P502" s="161"/>
      <c r="Q502" s="164">
        <f t="shared" ref="Q502:AG502" si="368">SUM(Q500:Q501)</f>
        <v>0</v>
      </c>
      <c r="R502" s="164">
        <f t="shared" si="368"/>
        <v>0</v>
      </c>
      <c r="S502" s="164">
        <f t="shared" si="368"/>
        <v>0</v>
      </c>
      <c r="T502" s="164">
        <f t="shared" si="368"/>
        <v>0</v>
      </c>
      <c r="U502" s="164">
        <f t="shared" si="368"/>
        <v>0</v>
      </c>
      <c r="V502" s="164">
        <f t="shared" si="368"/>
        <v>0</v>
      </c>
      <c r="W502" s="164">
        <f t="shared" si="368"/>
        <v>0</v>
      </c>
      <c r="X502" s="164">
        <f t="shared" si="368"/>
        <v>0</v>
      </c>
      <c r="Y502" s="164">
        <f t="shared" si="368"/>
        <v>0</v>
      </c>
      <c r="Z502" s="164">
        <f t="shared" si="368"/>
        <v>0</v>
      </c>
      <c r="AA502" s="164">
        <f t="shared" si="368"/>
        <v>0</v>
      </c>
      <c r="AB502" s="164">
        <f t="shared" si="368"/>
        <v>0</v>
      </c>
      <c r="AC502" s="164">
        <f t="shared" si="368"/>
        <v>0</v>
      </c>
      <c r="AD502" s="164">
        <f t="shared" si="368"/>
        <v>0</v>
      </c>
      <c r="AE502" s="164">
        <f t="shared" si="368"/>
        <v>0</v>
      </c>
      <c r="AF502" s="164">
        <f t="shared" si="368"/>
        <v>0</v>
      </c>
      <c r="AG502" s="164">
        <f t="shared" si="368"/>
        <v>0</v>
      </c>
      <c r="AH502" s="164">
        <f t="shared" ref="AH502:AP502" si="369">SUM(AH500:AH501)</f>
        <v>0</v>
      </c>
      <c r="AI502" s="164">
        <f t="shared" si="369"/>
        <v>0</v>
      </c>
      <c r="AJ502" s="164">
        <f t="shared" si="369"/>
        <v>0</v>
      </c>
      <c r="AK502" s="164">
        <f t="shared" si="369"/>
        <v>0</v>
      </c>
      <c r="AL502" s="164">
        <f t="shared" si="369"/>
        <v>0</v>
      </c>
      <c r="AM502" s="248">
        <f t="shared" si="369"/>
        <v>1175000000</v>
      </c>
      <c r="AN502" s="248">
        <f t="shared" si="369"/>
        <v>0</v>
      </c>
      <c r="AO502" s="248">
        <f t="shared" si="369"/>
        <v>0</v>
      </c>
      <c r="AP502" s="248">
        <f t="shared" si="369"/>
        <v>0</v>
      </c>
      <c r="AQ502" s="248">
        <f t="shared" ref="AQ502" si="370">SUM(AQ500:AQ501)</f>
        <v>0</v>
      </c>
      <c r="AR502" s="164">
        <f t="shared" si="292"/>
        <v>1175000000</v>
      </c>
    </row>
    <row r="503" spans="1:44" s="165" customFormat="1" ht="15" x14ac:dyDescent="0.25">
      <c r="A503" s="21"/>
      <c r="B503" s="476"/>
      <c r="C503" s="479"/>
      <c r="D503" s="422"/>
      <c r="E503" s="479"/>
      <c r="F503" s="479"/>
      <c r="G503" s="422"/>
      <c r="H503" s="479"/>
      <c r="I503" s="422"/>
      <c r="J503" s="480"/>
      <c r="K503" s="480"/>
      <c r="L503" s="480"/>
      <c r="M503" s="480"/>
      <c r="N503" s="421"/>
      <c r="O503" s="422"/>
      <c r="P503" s="479"/>
      <c r="Q503" s="103"/>
      <c r="R503" s="103"/>
      <c r="S503" s="103"/>
      <c r="T503" s="103"/>
      <c r="U503" s="103"/>
      <c r="V503" s="103"/>
      <c r="W503" s="103"/>
      <c r="X503" s="103"/>
      <c r="Y503" s="103"/>
      <c r="Z503" s="103"/>
      <c r="AA503" s="103"/>
      <c r="AB503" s="103"/>
      <c r="AC503" s="103"/>
      <c r="AD503" s="103"/>
      <c r="AE503" s="103"/>
      <c r="AF503" s="103"/>
      <c r="AG503" s="103"/>
      <c r="AH503" s="103"/>
      <c r="AI503" s="103"/>
      <c r="AJ503" s="103"/>
      <c r="AK503" s="103"/>
      <c r="AL503" s="103"/>
      <c r="AM503" s="287"/>
      <c r="AN503" s="288"/>
      <c r="AO503" s="103"/>
      <c r="AP503" s="103"/>
      <c r="AQ503" s="103"/>
      <c r="AR503" s="481">
        <f t="shared" si="292"/>
        <v>0</v>
      </c>
    </row>
    <row r="504" spans="1:44" s="165" customFormat="1" ht="15" x14ac:dyDescent="0.25">
      <c r="A504" s="21"/>
      <c r="B504" s="476"/>
      <c r="C504" s="878"/>
      <c r="D504" s="732"/>
      <c r="E504" s="726"/>
      <c r="F504" s="879"/>
      <c r="G504" s="193">
        <v>63</v>
      </c>
      <c r="H504" s="194" t="s">
        <v>637</v>
      </c>
      <c r="I504" s="194"/>
      <c r="J504" s="194"/>
      <c r="K504" s="194"/>
      <c r="L504" s="194"/>
      <c r="M504" s="194"/>
      <c r="N504" s="194"/>
      <c r="O504" s="194"/>
      <c r="P504" s="194"/>
      <c r="Q504" s="194"/>
      <c r="R504" s="194"/>
      <c r="S504" s="194"/>
      <c r="T504" s="194"/>
      <c r="U504" s="194"/>
      <c r="V504" s="194"/>
      <c r="W504" s="194"/>
      <c r="X504" s="194"/>
      <c r="Y504" s="194"/>
      <c r="Z504" s="194"/>
      <c r="AA504" s="194"/>
      <c r="AB504" s="194"/>
      <c r="AC504" s="194"/>
      <c r="AD504" s="194"/>
      <c r="AE504" s="194"/>
      <c r="AF504" s="194"/>
      <c r="AG504" s="194"/>
      <c r="AH504" s="194"/>
      <c r="AI504" s="194"/>
      <c r="AJ504" s="194"/>
      <c r="AK504" s="194"/>
      <c r="AL504" s="194"/>
      <c r="AM504" s="196"/>
      <c r="AN504" s="194"/>
      <c r="AO504" s="194"/>
      <c r="AP504" s="194"/>
      <c r="AQ504" s="194"/>
      <c r="AR504" s="197"/>
    </row>
    <row r="505" spans="1:44" s="165" customFormat="1" ht="60" customHeight="1" x14ac:dyDescent="0.25">
      <c r="A505" s="21"/>
      <c r="B505" s="476"/>
      <c r="C505" s="477">
        <v>38</v>
      </c>
      <c r="D505" s="7" t="s">
        <v>48</v>
      </c>
      <c r="E505" s="6">
        <v>0</v>
      </c>
      <c r="F505" s="6">
        <v>2</v>
      </c>
      <c r="G505" s="24"/>
      <c r="H505" s="767">
        <v>193</v>
      </c>
      <c r="I505" s="762" t="s">
        <v>638</v>
      </c>
      <c r="J505" s="767">
        <v>1</v>
      </c>
      <c r="K505" s="767">
        <v>1</v>
      </c>
      <c r="L505" s="767">
        <v>0</v>
      </c>
      <c r="M505" s="762" t="s">
        <v>590</v>
      </c>
      <c r="N505" s="39" t="s">
        <v>639</v>
      </c>
      <c r="O505" s="762" t="s">
        <v>640</v>
      </c>
      <c r="P505" s="767" t="s">
        <v>47</v>
      </c>
      <c r="Q505" s="27">
        <v>0</v>
      </c>
      <c r="R505" s="27">
        <v>0</v>
      </c>
      <c r="S505" s="27">
        <v>0</v>
      </c>
      <c r="T505" s="27">
        <v>0</v>
      </c>
      <c r="U505" s="27">
        <v>0</v>
      </c>
      <c r="V505" s="27">
        <v>0</v>
      </c>
      <c r="W505" s="27">
        <v>0</v>
      </c>
      <c r="X505" s="27"/>
      <c r="Y505" s="27"/>
      <c r="Z505" s="27"/>
      <c r="AA505" s="27">
        <v>0</v>
      </c>
      <c r="AB505" s="27"/>
      <c r="AC505" s="27">
        <v>0</v>
      </c>
      <c r="AD505" s="27">
        <v>0</v>
      </c>
      <c r="AE505" s="257"/>
      <c r="AF505" s="257"/>
      <c r="AG505" s="257"/>
      <c r="AH505" s="257"/>
      <c r="AI505" s="257"/>
      <c r="AJ505" s="257"/>
      <c r="AK505" s="27">
        <v>0</v>
      </c>
      <c r="AL505" s="27">
        <v>0</v>
      </c>
      <c r="AM505" s="110">
        <v>15000000</v>
      </c>
      <c r="AN505" s="11"/>
      <c r="AO505" s="27">
        <v>0</v>
      </c>
      <c r="AP505" s="290">
        <v>0</v>
      </c>
      <c r="AQ505" s="290"/>
      <c r="AR505" s="27">
        <f t="shared" si="292"/>
        <v>15000000</v>
      </c>
    </row>
    <row r="506" spans="1:44" s="29" customFormat="1" ht="78.75" customHeight="1" x14ac:dyDescent="0.25">
      <c r="A506" s="21"/>
      <c r="B506" s="482"/>
      <c r="C506" s="761">
        <v>38</v>
      </c>
      <c r="D506" s="762" t="s">
        <v>48</v>
      </c>
      <c r="E506" s="767">
        <v>0</v>
      </c>
      <c r="F506" s="767">
        <v>2</v>
      </c>
      <c r="G506" s="32"/>
      <c r="H506" s="767">
        <v>194</v>
      </c>
      <c r="I506" s="762" t="s">
        <v>641</v>
      </c>
      <c r="J506" s="767">
        <v>1</v>
      </c>
      <c r="K506" s="767">
        <v>1</v>
      </c>
      <c r="L506" s="877">
        <v>0.4</v>
      </c>
      <c r="M506" s="762" t="s">
        <v>590</v>
      </c>
      <c r="N506" s="39" t="s">
        <v>642</v>
      </c>
      <c r="O506" s="762" t="s">
        <v>643</v>
      </c>
      <c r="P506" s="767" t="s">
        <v>47</v>
      </c>
      <c r="Q506" s="27">
        <v>0</v>
      </c>
      <c r="R506" s="27">
        <v>0</v>
      </c>
      <c r="S506" s="27">
        <v>0</v>
      </c>
      <c r="T506" s="27">
        <v>0</v>
      </c>
      <c r="U506" s="27">
        <v>0</v>
      </c>
      <c r="V506" s="27">
        <v>0</v>
      </c>
      <c r="W506" s="27">
        <v>0</v>
      </c>
      <c r="X506" s="27"/>
      <c r="Y506" s="27"/>
      <c r="Z506" s="27"/>
      <c r="AA506" s="27">
        <v>0</v>
      </c>
      <c r="AB506" s="27"/>
      <c r="AC506" s="27">
        <v>0</v>
      </c>
      <c r="AD506" s="27">
        <v>0</v>
      </c>
      <c r="AE506" s="27"/>
      <c r="AF506" s="27"/>
      <c r="AG506" s="27"/>
      <c r="AH506" s="27"/>
      <c r="AI506" s="27"/>
      <c r="AJ506" s="27"/>
      <c r="AK506" s="27">
        <v>0</v>
      </c>
      <c r="AL506" s="27">
        <v>0</v>
      </c>
      <c r="AM506" s="110">
        <f>35000000+55000000</f>
        <v>90000000</v>
      </c>
      <c r="AN506" s="11"/>
      <c r="AO506" s="27">
        <v>0</v>
      </c>
      <c r="AP506" s="28">
        <v>0</v>
      </c>
      <c r="AQ506" s="28"/>
      <c r="AR506" s="27">
        <f t="shared" si="292"/>
        <v>90000000</v>
      </c>
    </row>
    <row r="507" spans="1:44" s="165" customFormat="1" ht="15" x14ac:dyDescent="0.25">
      <c r="A507" s="21"/>
      <c r="B507" s="476"/>
      <c r="C507" s="477"/>
      <c r="D507" s="159"/>
      <c r="E507" s="604"/>
      <c r="F507" s="604"/>
      <c r="G507" s="160"/>
      <c r="H507" s="161"/>
      <c r="I507" s="160"/>
      <c r="J507" s="161"/>
      <c r="K507" s="161"/>
      <c r="L507" s="161"/>
      <c r="M507" s="161"/>
      <c r="N507" s="163"/>
      <c r="O507" s="160"/>
      <c r="P507" s="161"/>
      <c r="Q507" s="164">
        <f t="shared" ref="Q507:AG507" si="371">SUM(Q505:Q506)</f>
        <v>0</v>
      </c>
      <c r="R507" s="164">
        <f t="shared" si="371"/>
        <v>0</v>
      </c>
      <c r="S507" s="164">
        <f t="shared" si="371"/>
        <v>0</v>
      </c>
      <c r="T507" s="164">
        <f t="shared" si="371"/>
        <v>0</v>
      </c>
      <c r="U507" s="164">
        <f t="shared" si="371"/>
        <v>0</v>
      </c>
      <c r="V507" s="164">
        <f t="shared" si="371"/>
        <v>0</v>
      </c>
      <c r="W507" s="164">
        <f t="shared" si="371"/>
        <v>0</v>
      </c>
      <c r="X507" s="164">
        <f t="shared" si="371"/>
        <v>0</v>
      </c>
      <c r="Y507" s="164">
        <f t="shared" si="371"/>
        <v>0</v>
      </c>
      <c r="Z507" s="164">
        <f t="shared" si="371"/>
        <v>0</v>
      </c>
      <c r="AA507" s="164">
        <f t="shared" si="371"/>
        <v>0</v>
      </c>
      <c r="AB507" s="164">
        <f t="shared" si="371"/>
        <v>0</v>
      </c>
      <c r="AC507" s="164">
        <f t="shared" si="371"/>
        <v>0</v>
      </c>
      <c r="AD507" s="164">
        <f t="shared" si="371"/>
        <v>0</v>
      </c>
      <c r="AE507" s="164">
        <f t="shared" si="371"/>
        <v>0</v>
      </c>
      <c r="AF507" s="164">
        <f t="shared" si="371"/>
        <v>0</v>
      </c>
      <c r="AG507" s="164">
        <f t="shared" si="371"/>
        <v>0</v>
      </c>
      <c r="AH507" s="164">
        <f t="shared" ref="AH507:AP507" si="372">SUM(AH505:AH506)</f>
        <v>0</v>
      </c>
      <c r="AI507" s="164">
        <f t="shared" si="372"/>
        <v>0</v>
      </c>
      <c r="AJ507" s="164">
        <f t="shared" si="372"/>
        <v>0</v>
      </c>
      <c r="AK507" s="164">
        <f t="shared" si="372"/>
        <v>0</v>
      </c>
      <c r="AL507" s="164">
        <f t="shared" si="372"/>
        <v>0</v>
      </c>
      <c r="AM507" s="248">
        <f t="shared" si="372"/>
        <v>105000000</v>
      </c>
      <c r="AN507" s="248">
        <f t="shared" si="372"/>
        <v>0</v>
      </c>
      <c r="AO507" s="248">
        <f t="shared" si="372"/>
        <v>0</v>
      </c>
      <c r="AP507" s="248">
        <f t="shared" si="372"/>
        <v>0</v>
      </c>
      <c r="AQ507" s="248">
        <f t="shared" ref="AQ507" si="373">SUM(AQ505:AQ506)</f>
        <v>0</v>
      </c>
      <c r="AR507" s="248">
        <f t="shared" si="292"/>
        <v>105000000</v>
      </c>
    </row>
    <row r="508" spans="1:44" s="29" customFormat="1" ht="15" x14ac:dyDescent="0.25">
      <c r="A508" s="21"/>
      <c r="B508" s="476"/>
      <c r="C508" s="479"/>
      <c r="D508" s="422"/>
      <c r="E508" s="479"/>
      <c r="F508" s="479"/>
      <c r="G508" s="422"/>
      <c r="H508" s="479"/>
      <c r="I508" s="422"/>
      <c r="J508" s="480"/>
      <c r="K508" s="480"/>
      <c r="L508" s="480"/>
      <c r="M508" s="480"/>
      <c r="N508" s="421"/>
      <c r="O508" s="422"/>
      <c r="P508" s="479"/>
      <c r="Q508" s="103"/>
      <c r="R508" s="103"/>
      <c r="S508" s="103"/>
      <c r="T508" s="103"/>
      <c r="U508" s="103"/>
      <c r="V508" s="103"/>
      <c r="W508" s="103"/>
      <c r="X508" s="103"/>
      <c r="Y508" s="103"/>
      <c r="Z508" s="103"/>
      <c r="AA508" s="103"/>
      <c r="AB508" s="103"/>
      <c r="AC508" s="103"/>
      <c r="AD508" s="103"/>
      <c r="AE508" s="103"/>
      <c r="AF508" s="103"/>
      <c r="AG508" s="103"/>
      <c r="AH508" s="103"/>
      <c r="AI508" s="103"/>
      <c r="AJ508" s="103"/>
      <c r="AK508" s="103"/>
      <c r="AL508" s="103"/>
      <c r="AM508" s="287"/>
      <c r="AN508" s="288"/>
      <c r="AO508" s="103"/>
      <c r="AP508" s="103"/>
      <c r="AQ508" s="103"/>
      <c r="AR508" s="481">
        <f t="shared" si="292"/>
        <v>0</v>
      </c>
    </row>
    <row r="509" spans="1:44" s="29" customFormat="1" ht="15" x14ac:dyDescent="0.25">
      <c r="A509" s="21"/>
      <c r="B509" s="476"/>
      <c r="C509" s="878"/>
      <c r="D509" s="732"/>
      <c r="E509" s="726"/>
      <c r="F509" s="879"/>
      <c r="G509" s="193">
        <v>64</v>
      </c>
      <c r="H509" s="194" t="s">
        <v>644</v>
      </c>
      <c r="I509" s="194"/>
      <c r="J509" s="194"/>
      <c r="K509" s="194"/>
      <c r="L509" s="194"/>
      <c r="M509" s="194"/>
      <c r="N509" s="194"/>
      <c r="O509" s="194"/>
      <c r="P509" s="194"/>
      <c r="Q509" s="194"/>
      <c r="R509" s="194"/>
      <c r="S509" s="194"/>
      <c r="T509" s="194"/>
      <c r="U509" s="194"/>
      <c r="V509" s="194"/>
      <c r="W509" s="194"/>
      <c r="X509" s="194"/>
      <c r="Y509" s="194"/>
      <c r="Z509" s="194"/>
      <c r="AA509" s="194"/>
      <c r="AB509" s="194"/>
      <c r="AC509" s="194"/>
      <c r="AD509" s="194"/>
      <c r="AE509" s="194"/>
      <c r="AF509" s="194"/>
      <c r="AG509" s="194"/>
      <c r="AH509" s="194"/>
      <c r="AI509" s="194"/>
      <c r="AJ509" s="194"/>
      <c r="AK509" s="194"/>
      <c r="AL509" s="194"/>
      <c r="AM509" s="196"/>
      <c r="AN509" s="194"/>
      <c r="AO509" s="194"/>
      <c r="AP509" s="194"/>
      <c r="AQ509" s="194"/>
      <c r="AR509" s="197"/>
    </row>
    <row r="510" spans="1:44" s="29" customFormat="1" ht="60" customHeight="1" x14ac:dyDescent="0.25">
      <c r="A510" s="21"/>
      <c r="B510" s="482"/>
      <c r="C510" s="767">
        <v>37</v>
      </c>
      <c r="D510" s="762" t="s">
        <v>645</v>
      </c>
      <c r="E510" s="489" t="s">
        <v>646</v>
      </c>
      <c r="F510" s="490">
        <v>0.6</v>
      </c>
      <c r="G510" s="32"/>
      <c r="H510" s="767">
        <v>195</v>
      </c>
      <c r="I510" s="762" t="s">
        <v>647</v>
      </c>
      <c r="J510" s="767">
        <v>0</v>
      </c>
      <c r="K510" s="767">
        <v>1</v>
      </c>
      <c r="L510" s="877">
        <v>0.48</v>
      </c>
      <c r="M510" s="762" t="s">
        <v>590</v>
      </c>
      <c r="N510" s="39" t="s">
        <v>648</v>
      </c>
      <c r="O510" s="762" t="s">
        <v>649</v>
      </c>
      <c r="P510" s="767" t="s">
        <v>47</v>
      </c>
      <c r="Q510" s="27"/>
      <c r="R510" s="27"/>
      <c r="S510" s="27"/>
      <c r="T510" s="27"/>
      <c r="U510" s="27"/>
      <c r="V510" s="27"/>
      <c r="W510" s="27"/>
      <c r="X510" s="27"/>
      <c r="Y510" s="27"/>
      <c r="Z510" s="27"/>
      <c r="AA510" s="27"/>
      <c r="AB510" s="27"/>
      <c r="AC510" s="27"/>
      <c r="AD510" s="27"/>
      <c r="AE510" s="27"/>
      <c r="AF510" s="27"/>
      <c r="AG510" s="27"/>
      <c r="AH510" s="27"/>
      <c r="AI510" s="27"/>
      <c r="AJ510" s="27"/>
      <c r="AK510" s="27"/>
      <c r="AL510" s="27"/>
      <c r="AM510" s="110">
        <f>60000000+40000000</f>
        <v>100000000</v>
      </c>
      <c r="AN510" s="11"/>
      <c r="AO510" s="27"/>
      <c r="AP510" s="28"/>
      <c r="AQ510" s="28"/>
      <c r="AR510" s="27">
        <f t="shared" si="292"/>
        <v>100000000</v>
      </c>
    </row>
    <row r="511" spans="1:44" s="165" customFormat="1" ht="15" x14ac:dyDescent="0.25">
      <c r="A511" s="21"/>
      <c r="B511" s="476"/>
      <c r="C511" s="477"/>
      <c r="D511" s="159"/>
      <c r="E511" s="604"/>
      <c r="F511" s="604"/>
      <c r="G511" s="160"/>
      <c r="H511" s="161"/>
      <c r="I511" s="160"/>
      <c r="J511" s="161"/>
      <c r="K511" s="161"/>
      <c r="L511" s="161"/>
      <c r="M511" s="161"/>
      <c r="N511" s="163"/>
      <c r="O511" s="160"/>
      <c r="P511" s="161"/>
      <c r="Q511" s="164">
        <f t="shared" ref="Q511:AI511" si="374">SUM(Q510:Q510)</f>
        <v>0</v>
      </c>
      <c r="R511" s="164">
        <f t="shared" si="374"/>
        <v>0</v>
      </c>
      <c r="S511" s="164">
        <f t="shared" si="374"/>
        <v>0</v>
      </c>
      <c r="T511" s="164">
        <f t="shared" si="374"/>
        <v>0</v>
      </c>
      <c r="U511" s="164">
        <f t="shared" si="374"/>
        <v>0</v>
      </c>
      <c r="V511" s="164">
        <f t="shared" si="374"/>
        <v>0</v>
      </c>
      <c r="W511" s="164">
        <f t="shared" si="374"/>
        <v>0</v>
      </c>
      <c r="X511" s="164">
        <f t="shared" si="374"/>
        <v>0</v>
      </c>
      <c r="Y511" s="164">
        <f t="shared" si="374"/>
        <v>0</v>
      </c>
      <c r="Z511" s="164">
        <f t="shared" si="374"/>
        <v>0</v>
      </c>
      <c r="AA511" s="164">
        <f t="shared" si="374"/>
        <v>0</v>
      </c>
      <c r="AB511" s="164">
        <f t="shared" si="374"/>
        <v>0</v>
      </c>
      <c r="AC511" s="164">
        <f t="shared" si="374"/>
        <v>0</v>
      </c>
      <c r="AD511" s="164">
        <f t="shared" si="374"/>
        <v>0</v>
      </c>
      <c r="AE511" s="164">
        <f t="shared" si="374"/>
        <v>0</v>
      </c>
      <c r="AF511" s="164">
        <f t="shared" si="374"/>
        <v>0</v>
      </c>
      <c r="AG511" s="164">
        <f t="shared" si="374"/>
        <v>0</v>
      </c>
      <c r="AH511" s="164">
        <f t="shared" si="374"/>
        <v>0</v>
      </c>
      <c r="AI511" s="164">
        <f t="shared" si="374"/>
        <v>0</v>
      </c>
      <c r="AJ511" s="164">
        <f t="shared" ref="AJ511:AO511" si="375">SUM(AJ510:AJ510)</f>
        <v>0</v>
      </c>
      <c r="AK511" s="164">
        <f t="shared" si="375"/>
        <v>0</v>
      </c>
      <c r="AL511" s="164">
        <f t="shared" si="375"/>
        <v>0</v>
      </c>
      <c r="AM511" s="248">
        <f t="shared" si="375"/>
        <v>100000000</v>
      </c>
      <c r="AN511" s="248">
        <f t="shared" si="375"/>
        <v>0</v>
      </c>
      <c r="AO511" s="248">
        <f t="shared" si="375"/>
        <v>0</v>
      </c>
      <c r="AP511" s="164">
        <f>SUM(AP510:AP510)</f>
        <v>0</v>
      </c>
      <c r="AQ511" s="164">
        <f>SUM(AQ510:AQ510)</f>
        <v>0</v>
      </c>
      <c r="AR511" s="164">
        <f t="shared" si="292"/>
        <v>100000000</v>
      </c>
    </row>
    <row r="512" spans="1:44" s="165" customFormat="1" ht="15" x14ac:dyDescent="0.25">
      <c r="A512" s="21"/>
      <c r="B512" s="476"/>
      <c r="C512" s="479"/>
      <c r="D512" s="422"/>
      <c r="E512" s="479"/>
      <c r="F512" s="479"/>
      <c r="G512" s="422"/>
      <c r="H512" s="479"/>
      <c r="I512" s="422"/>
      <c r="J512" s="480"/>
      <c r="K512" s="480"/>
      <c r="L512" s="480"/>
      <c r="M512" s="480"/>
      <c r="N512" s="421"/>
      <c r="O512" s="422"/>
      <c r="P512" s="479"/>
      <c r="Q512" s="103"/>
      <c r="R512" s="103"/>
      <c r="S512" s="103"/>
      <c r="T512" s="103"/>
      <c r="U512" s="103"/>
      <c r="V512" s="103"/>
      <c r="W512" s="103"/>
      <c r="X512" s="103"/>
      <c r="Y512" s="103"/>
      <c r="Z512" s="103"/>
      <c r="AA512" s="103"/>
      <c r="AB512" s="103"/>
      <c r="AC512" s="103"/>
      <c r="AD512" s="103"/>
      <c r="AE512" s="103"/>
      <c r="AF512" s="103"/>
      <c r="AG512" s="103"/>
      <c r="AH512" s="103"/>
      <c r="AI512" s="103"/>
      <c r="AJ512" s="103"/>
      <c r="AK512" s="103"/>
      <c r="AL512" s="103"/>
      <c r="AM512" s="287"/>
      <c r="AN512" s="288"/>
      <c r="AO512" s="103"/>
      <c r="AP512" s="103"/>
      <c r="AQ512" s="103"/>
      <c r="AR512" s="481">
        <f t="shared" si="292"/>
        <v>0</v>
      </c>
    </row>
    <row r="513" spans="1:44" s="165" customFormat="1" ht="15" x14ac:dyDescent="0.25">
      <c r="A513" s="21"/>
      <c r="B513" s="476"/>
      <c r="C513" s="878"/>
      <c r="D513" s="732"/>
      <c r="E513" s="726"/>
      <c r="F513" s="726"/>
      <c r="G513" s="337">
        <v>65</v>
      </c>
      <c r="H513" s="194" t="s">
        <v>650</v>
      </c>
      <c r="I513" s="194"/>
      <c r="J513" s="194"/>
      <c r="K513" s="194"/>
      <c r="L513" s="194"/>
      <c r="M513" s="194"/>
      <c r="N513" s="194"/>
      <c r="O513" s="194"/>
      <c r="P513" s="194"/>
      <c r="Q513" s="194"/>
      <c r="R513" s="194"/>
      <c r="S513" s="194"/>
      <c r="T513" s="194"/>
      <c r="U513" s="194"/>
      <c r="V513" s="194"/>
      <c r="W513" s="194"/>
      <c r="X513" s="194"/>
      <c r="Y513" s="194"/>
      <c r="Z513" s="194"/>
      <c r="AA513" s="194"/>
      <c r="AB513" s="194"/>
      <c r="AC513" s="194"/>
      <c r="AD513" s="194"/>
      <c r="AE513" s="194"/>
      <c r="AF513" s="194"/>
      <c r="AG513" s="194"/>
      <c r="AH513" s="194"/>
      <c r="AI513" s="194"/>
      <c r="AJ513" s="194"/>
      <c r="AK513" s="194"/>
      <c r="AL513" s="194"/>
      <c r="AM513" s="196"/>
      <c r="AN513" s="194"/>
      <c r="AO513" s="194"/>
      <c r="AP513" s="194"/>
      <c r="AQ513" s="194"/>
      <c r="AR513" s="197"/>
    </row>
    <row r="514" spans="1:44" s="29" customFormat="1" ht="60" customHeight="1" x14ac:dyDescent="0.25">
      <c r="A514" s="21"/>
      <c r="B514" s="482"/>
      <c r="C514" s="761" t="s">
        <v>651</v>
      </c>
      <c r="D514" s="55" t="s">
        <v>917</v>
      </c>
      <c r="E514" s="486" t="s">
        <v>652</v>
      </c>
      <c r="F514" s="491" t="s">
        <v>653</v>
      </c>
      <c r="G514" s="37"/>
      <c r="H514" s="767">
        <v>196</v>
      </c>
      <c r="I514" s="762" t="s">
        <v>654</v>
      </c>
      <c r="J514" s="767">
        <v>0</v>
      </c>
      <c r="K514" s="767">
        <v>1</v>
      </c>
      <c r="L514" s="877">
        <v>0.9</v>
      </c>
      <c r="M514" s="762" t="s">
        <v>590</v>
      </c>
      <c r="N514" s="39" t="s">
        <v>655</v>
      </c>
      <c r="O514" s="762" t="s">
        <v>656</v>
      </c>
      <c r="P514" s="767" t="s">
        <v>47</v>
      </c>
      <c r="Q514" s="27">
        <v>0</v>
      </c>
      <c r="R514" s="27">
        <v>0</v>
      </c>
      <c r="S514" s="27">
        <v>0</v>
      </c>
      <c r="T514" s="27">
        <v>0</v>
      </c>
      <c r="U514" s="27">
        <v>0</v>
      </c>
      <c r="V514" s="27">
        <v>0</v>
      </c>
      <c r="W514" s="27">
        <v>0</v>
      </c>
      <c r="X514" s="27"/>
      <c r="Y514" s="27"/>
      <c r="Z514" s="27"/>
      <c r="AA514" s="27">
        <v>0</v>
      </c>
      <c r="AB514" s="27"/>
      <c r="AC514" s="27">
        <v>0</v>
      </c>
      <c r="AD514" s="27">
        <v>0</v>
      </c>
      <c r="AE514" s="27"/>
      <c r="AF514" s="27"/>
      <c r="AG514" s="27"/>
      <c r="AH514" s="27"/>
      <c r="AI514" s="27"/>
      <c r="AJ514" s="27"/>
      <c r="AK514" s="27">
        <v>0</v>
      </c>
      <c r="AL514" s="27">
        <v>0</v>
      </c>
      <c r="AM514" s="108">
        <f>21000000+49000000</f>
        <v>70000000</v>
      </c>
      <c r="AN514" s="15"/>
      <c r="AO514" s="27">
        <v>0</v>
      </c>
      <c r="AP514" s="28">
        <v>0</v>
      </c>
      <c r="AQ514" s="28"/>
      <c r="AR514" s="27">
        <f t="shared" si="292"/>
        <v>70000000</v>
      </c>
    </row>
    <row r="515" spans="1:44" s="165" customFormat="1" ht="15" x14ac:dyDescent="0.25">
      <c r="A515" s="21"/>
      <c r="B515" s="476"/>
      <c r="C515" s="741"/>
      <c r="D515" s="733"/>
      <c r="E515" s="751"/>
      <c r="F515" s="751"/>
      <c r="G515" s="412"/>
      <c r="H515" s="161"/>
      <c r="I515" s="160"/>
      <c r="J515" s="161"/>
      <c r="K515" s="161"/>
      <c r="L515" s="161"/>
      <c r="M515" s="161"/>
      <c r="N515" s="163"/>
      <c r="O515" s="160"/>
      <c r="P515" s="161"/>
      <c r="Q515" s="164">
        <f t="shared" ref="Q515:AG515" si="376">SUM(Q514)</f>
        <v>0</v>
      </c>
      <c r="R515" s="164">
        <f t="shared" si="376"/>
        <v>0</v>
      </c>
      <c r="S515" s="164">
        <f t="shared" si="376"/>
        <v>0</v>
      </c>
      <c r="T515" s="164">
        <f t="shared" si="376"/>
        <v>0</v>
      </c>
      <c r="U515" s="164">
        <f t="shared" si="376"/>
        <v>0</v>
      </c>
      <c r="V515" s="164">
        <f t="shared" si="376"/>
        <v>0</v>
      </c>
      <c r="W515" s="164">
        <f t="shared" si="376"/>
        <v>0</v>
      </c>
      <c r="X515" s="164">
        <f t="shared" si="376"/>
        <v>0</v>
      </c>
      <c r="Y515" s="164">
        <f t="shared" si="376"/>
        <v>0</v>
      </c>
      <c r="Z515" s="164">
        <f t="shared" si="376"/>
        <v>0</v>
      </c>
      <c r="AA515" s="164">
        <f t="shared" si="376"/>
        <v>0</v>
      </c>
      <c r="AB515" s="164">
        <f t="shared" si="376"/>
        <v>0</v>
      </c>
      <c r="AC515" s="164">
        <f t="shared" si="376"/>
        <v>0</v>
      </c>
      <c r="AD515" s="164">
        <f t="shared" si="376"/>
        <v>0</v>
      </c>
      <c r="AE515" s="164">
        <f t="shared" si="376"/>
        <v>0</v>
      </c>
      <c r="AF515" s="164">
        <f t="shared" si="376"/>
        <v>0</v>
      </c>
      <c r="AG515" s="164">
        <f t="shared" si="376"/>
        <v>0</v>
      </c>
      <c r="AH515" s="164">
        <f t="shared" ref="AH515:AP515" si="377">SUM(AH514)</f>
        <v>0</v>
      </c>
      <c r="AI515" s="164">
        <f t="shared" si="377"/>
        <v>0</v>
      </c>
      <c r="AJ515" s="164">
        <f t="shared" si="377"/>
        <v>0</v>
      </c>
      <c r="AK515" s="164">
        <f t="shared" si="377"/>
        <v>0</v>
      </c>
      <c r="AL515" s="164">
        <f t="shared" si="377"/>
        <v>0</v>
      </c>
      <c r="AM515" s="248">
        <f t="shared" si="377"/>
        <v>70000000</v>
      </c>
      <c r="AN515" s="248">
        <f t="shared" si="377"/>
        <v>0</v>
      </c>
      <c r="AO515" s="248">
        <f t="shared" si="377"/>
        <v>0</v>
      </c>
      <c r="AP515" s="248">
        <f t="shared" si="377"/>
        <v>0</v>
      </c>
      <c r="AQ515" s="248">
        <f t="shared" ref="AQ515" si="378">SUM(AQ514)</f>
        <v>0</v>
      </c>
      <c r="AR515" s="164">
        <f t="shared" si="292"/>
        <v>70000000</v>
      </c>
    </row>
    <row r="516" spans="1:44" s="165" customFormat="1" ht="21" customHeight="1" x14ac:dyDescent="0.25">
      <c r="A516" s="21"/>
      <c r="B516" s="476"/>
      <c r="C516" s="479"/>
      <c r="D516" s="422"/>
      <c r="E516" s="479"/>
      <c r="F516" s="479"/>
      <c r="G516" s="422"/>
      <c r="H516" s="479"/>
      <c r="I516" s="422"/>
      <c r="J516" s="480"/>
      <c r="K516" s="480"/>
      <c r="L516" s="480"/>
      <c r="M516" s="480"/>
      <c r="N516" s="421"/>
      <c r="O516" s="422"/>
      <c r="P516" s="479"/>
      <c r="Q516" s="103"/>
      <c r="R516" s="103"/>
      <c r="S516" s="103"/>
      <c r="T516" s="103"/>
      <c r="U516" s="103"/>
      <c r="V516" s="103"/>
      <c r="W516" s="103"/>
      <c r="X516" s="103"/>
      <c r="Y516" s="103"/>
      <c r="Z516" s="103"/>
      <c r="AA516" s="103"/>
      <c r="AB516" s="103"/>
      <c r="AC516" s="103"/>
      <c r="AD516" s="103"/>
      <c r="AE516" s="103"/>
      <c r="AF516" s="103"/>
      <c r="AG516" s="103"/>
      <c r="AH516" s="103"/>
      <c r="AI516" s="103"/>
      <c r="AJ516" s="103"/>
      <c r="AK516" s="103"/>
      <c r="AL516" s="103"/>
      <c r="AM516" s="287"/>
      <c r="AN516" s="288"/>
      <c r="AO516" s="103"/>
      <c r="AP516" s="103"/>
      <c r="AQ516" s="103"/>
      <c r="AR516" s="481">
        <f t="shared" si="292"/>
        <v>0</v>
      </c>
    </row>
    <row r="517" spans="1:44" s="165" customFormat="1" ht="15" x14ac:dyDescent="0.25">
      <c r="A517" s="21"/>
      <c r="B517" s="476"/>
      <c r="C517" s="878"/>
      <c r="D517" s="732"/>
      <c r="E517" s="726"/>
      <c r="F517" s="879"/>
      <c r="G517" s="193">
        <v>66</v>
      </c>
      <c r="H517" s="194" t="s">
        <v>657</v>
      </c>
      <c r="I517" s="194"/>
      <c r="J517" s="194"/>
      <c r="K517" s="194"/>
      <c r="L517" s="194"/>
      <c r="M517" s="194"/>
      <c r="N517" s="194"/>
      <c r="O517" s="194"/>
      <c r="P517" s="194"/>
      <c r="Q517" s="194"/>
      <c r="R517" s="194"/>
      <c r="S517" s="194"/>
      <c r="T517" s="194"/>
      <c r="U517" s="194"/>
      <c r="V517" s="194"/>
      <c r="W517" s="194"/>
      <c r="X517" s="194"/>
      <c r="Y517" s="194"/>
      <c r="Z517" s="194"/>
      <c r="AA517" s="194"/>
      <c r="AB517" s="194"/>
      <c r="AC517" s="194"/>
      <c r="AD517" s="194"/>
      <c r="AE517" s="194"/>
      <c r="AF517" s="194"/>
      <c r="AG517" s="194"/>
      <c r="AH517" s="194"/>
      <c r="AI517" s="194"/>
      <c r="AJ517" s="194"/>
      <c r="AK517" s="194"/>
      <c r="AL517" s="194"/>
      <c r="AM517" s="196"/>
      <c r="AN517" s="194"/>
      <c r="AO517" s="194"/>
      <c r="AP517" s="194"/>
      <c r="AQ517" s="194"/>
      <c r="AR517" s="197"/>
    </row>
    <row r="518" spans="1:44" s="29" customFormat="1" ht="60" customHeight="1" x14ac:dyDescent="0.25">
      <c r="A518" s="21"/>
      <c r="B518" s="482"/>
      <c r="C518" s="761">
        <v>21</v>
      </c>
      <c r="D518" s="55" t="s">
        <v>918</v>
      </c>
      <c r="E518" s="486" t="s">
        <v>658</v>
      </c>
      <c r="F518" s="491">
        <v>0.27</v>
      </c>
      <c r="G518" s="32"/>
      <c r="H518" s="761">
        <v>197</v>
      </c>
      <c r="I518" s="762" t="s">
        <v>659</v>
      </c>
      <c r="J518" s="767">
        <v>1</v>
      </c>
      <c r="K518" s="767">
        <v>1</v>
      </c>
      <c r="L518" s="767">
        <v>0.08</v>
      </c>
      <c r="M518" s="762" t="s">
        <v>590</v>
      </c>
      <c r="N518" s="39" t="s">
        <v>660</v>
      </c>
      <c r="O518" s="762" t="s">
        <v>661</v>
      </c>
      <c r="P518" s="767" t="s">
        <v>47</v>
      </c>
      <c r="Q518" s="27"/>
      <c r="R518" s="27"/>
      <c r="S518" s="27"/>
      <c r="T518" s="27"/>
      <c r="U518" s="27"/>
      <c r="V518" s="27"/>
      <c r="W518" s="27"/>
      <c r="X518" s="27"/>
      <c r="Y518" s="27"/>
      <c r="Z518" s="27"/>
      <c r="AA518" s="27"/>
      <c r="AB518" s="27"/>
      <c r="AC518" s="27"/>
      <c r="AD518" s="27"/>
      <c r="AE518" s="27"/>
      <c r="AF518" s="27"/>
      <c r="AG518" s="27"/>
      <c r="AH518" s="27"/>
      <c r="AI518" s="27"/>
      <c r="AJ518" s="27"/>
      <c r="AK518" s="27"/>
      <c r="AL518" s="27"/>
      <c r="AM518" s="108">
        <f>42000000+40000000</f>
        <v>82000000</v>
      </c>
      <c r="AN518" s="40"/>
      <c r="AO518" s="27"/>
      <c r="AP518" s="28"/>
      <c r="AQ518" s="28"/>
      <c r="AR518" s="27">
        <f t="shared" si="292"/>
        <v>82000000</v>
      </c>
    </row>
    <row r="519" spans="1:44" s="165" customFormat="1" ht="15" x14ac:dyDescent="0.25">
      <c r="A519" s="21"/>
      <c r="B519" s="487"/>
      <c r="C519" s="477"/>
      <c r="D519" s="159"/>
      <c r="E519" s="604"/>
      <c r="F519" s="604"/>
      <c r="G519" s="160"/>
      <c r="H519" s="161"/>
      <c r="I519" s="160"/>
      <c r="J519" s="161"/>
      <c r="K519" s="161"/>
      <c r="L519" s="161"/>
      <c r="M519" s="161"/>
      <c r="N519" s="163"/>
      <c r="O519" s="160"/>
      <c r="P519" s="161"/>
      <c r="Q519" s="164">
        <f t="shared" ref="Q519:W519" si="379">SUM(Q518:Q518)</f>
        <v>0</v>
      </c>
      <c r="R519" s="164">
        <f t="shared" si="379"/>
        <v>0</v>
      </c>
      <c r="S519" s="164">
        <f t="shared" si="379"/>
        <v>0</v>
      </c>
      <c r="T519" s="164">
        <f t="shared" si="379"/>
        <v>0</v>
      </c>
      <c r="U519" s="164">
        <f t="shared" si="379"/>
        <v>0</v>
      </c>
      <c r="V519" s="164">
        <f t="shared" si="379"/>
        <v>0</v>
      </c>
      <c r="W519" s="164">
        <f t="shared" si="379"/>
        <v>0</v>
      </c>
      <c r="X519" s="164">
        <f t="shared" ref="X519:AI519" si="380">SUM(X518:X518)</f>
        <v>0</v>
      </c>
      <c r="Y519" s="164">
        <f t="shared" si="380"/>
        <v>0</v>
      </c>
      <c r="Z519" s="164">
        <f t="shared" si="380"/>
        <v>0</v>
      </c>
      <c r="AA519" s="164">
        <f t="shared" si="380"/>
        <v>0</v>
      </c>
      <c r="AB519" s="164">
        <f t="shared" si="380"/>
        <v>0</v>
      </c>
      <c r="AC519" s="164">
        <f t="shared" si="380"/>
        <v>0</v>
      </c>
      <c r="AD519" s="164">
        <f t="shared" si="380"/>
        <v>0</v>
      </c>
      <c r="AE519" s="164">
        <f t="shared" si="380"/>
        <v>0</v>
      </c>
      <c r="AF519" s="164">
        <f t="shared" si="380"/>
        <v>0</v>
      </c>
      <c r="AG519" s="164">
        <f t="shared" si="380"/>
        <v>0</v>
      </c>
      <c r="AH519" s="164">
        <f t="shared" si="380"/>
        <v>0</v>
      </c>
      <c r="AI519" s="164">
        <f t="shared" si="380"/>
        <v>0</v>
      </c>
      <c r="AJ519" s="164">
        <f t="shared" ref="AJ519:AM519" si="381">SUM(AJ518:AJ518)</f>
        <v>0</v>
      </c>
      <c r="AK519" s="164">
        <f t="shared" si="381"/>
        <v>0</v>
      </c>
      <c r="AL519" s="164">
        <f t="shared" si="381"/>
        <v>0</v>
      </c>
      <c r="AM519" s="248">
        <f t="shared" si="381"/>
        <v>82000000</v>
      </c>
      <c r="AN519" s="248">
        <f t="shared" ref="AN519:AP519" si="382">SUM(AN518:AN518)</f>
        <v>0</v>
      </c>
      <c r="AO519" s="248">
        <f t="shared" si="382"/>
        <v>0</v>
      </c>
      <c r="AP519" s="248">
        <f t="shared" si="382"/>
        <v>0</v>
      </c>
      <c r="AQ519" s="248">
        <f t="shared" ref="AQ519" si="383">SUM(AQ518:AQ518)</f>
        <v>0</v>
      </c>
      <c r="AR519" s="164">
        <f t="shared" si="292"/>
        <v>82000000</v>
      </c>
    </row>
    <row r="520" spans="1:44" s="165" customFormat="1" ht="15" x14ac:dyDescent="0.25">
      <c r="A520" s="21"/>
      <c r="B520" s="227"/>
      <c r="C520" s="168"/>
      <c r="D520" s="167"/>
      <c r="E520" s="168"/>
      <c r="F520" s="168"/>
      <c r="G520" s="167"/>
      <c r="H520" s="168"/>
      <c r="I520" s="167"/>
      <c r="J520" s="168"/>
      <c r="K520" s="168"/>
      <c r="L520" s="168"/>
      <c r="M520" s="168"/>
      <c r="N520" s="170"/>
      <c r="O520" s="167"/>
      <c r="P520" s="168"/>
      <c r="Q520" s="171">
        <f t="shared" ref="Q520:W520" si="384">Q519+Q515+Q511+Q507+Q502</f>
        <v>0</v>
      </c>
      <c r="R520" s="171">
        <f t="shared" si="384"/>
        <v>0</v>
      </c>
      <c r="S520" s="171">
        <f t="shared" si="384"/>
        <v>0</v>
      </c>
      <c r="T520" s="171">
        <f t="shared" si="384"/>
        <v>0</v>
      </c>
      <c r="U520" s="171">
        <f t="shared" si="384"/>
        <v>0</v>
      </c>
      <c r="V520" s="171">
        <f t="shared" si="384"/>
        <v>0</v>
      </c>
      <c r="W520" s="171">
        <f t="shared" si="384"/>
        <v>0</v>
      </c>
      <c r="X520" s="171">
        <f t="shared" ref="X520:AI520" si="385">X519+X515+X511+X507+X502</f>
        <v>0</v>
      </c>
      <c r="Y520" s="171">
        <f t="shared" si="385"/>
        <v>0</v>
      </c>
      <c r="Z520" s="171">
        <f t="shared" si="385"/>
        <v>0</v>
      </c>
      <c r="AA520" s="171">
        <f t="shared" si="385"/>
        <v>0</v>
      </c>
      <c r="AB520" s="171">
        <f t="shared" si="385"/>
        <v>0</v>
      </c>
      <c r="AC520" s="171">
        <f t="shared" si="385"/>
        <v>0</v>
      </c>
      <c r="AD520" s="171">
        <f t="shared" si="385"/>
        <v>0</v>
      </c>
      <c r="AE520" s="171">
        <f t="shared" si="385"/>
        <v>0</v>
      </c>
      <c r="AF520" s="171">
        <f t="shared" si="385"/>
        <v>0</v>
      </c>
      <c r="AG520" s="171">
        <f t="shared" si="385"/>
        <v>0</v>
      </c>
      <c r="AH520" s="171">
        <f t="shared" si="385"/>
        <v>0</v>
      </c>
      <c r="AI520" s="171">
        <f t="shared" si="385"/>
        <v>0</v>
      </c>
      <c r="AJ520" s="171">
        <f t="shared" ref="AJ520:AM520" si="386">AJ519+AJ515+AJ511+AJ507+AJ502</f>
        <v>0</v>
      </c>
      <c r="AK520" s="171">
        <f t="shared" si="386"/>
        <v>0</v>
      </c>
      <c r="AL520" s="171">
        <f t="shared" si="386"/>
        <v>0</v>
      </c>
      <c r="AM520" s="250">
        <f t="shared" si="386"/>
        <v>1532000000</v>
      </c>
      <c r="AN520" s="250">
        <f t="shared" ref="AN520:AP520" si="387">AN519+AN515+AN511+AN507+AN502</f>
        <v>0</v>
      </c>
      <c r="AO520" s="250">
        <f t="shared" si="387"/>
        <v>0</v>
      </c>
      <c r="AP520" s="250">
        <f t="shared" si="387"/>
        <v>0</v>
      </c>
      <c r="AQ520" s="250">
        <f t="shared" ref="AQ520" si="388">AQ519+AQ515+AQ511+AQ507+AQ502</f>
        <v>0</v>
      </c>
      <c r="AR520" s="171">
        <f t="shared" si="292"/>
        <v>1532000000</v>
      </c>
    </row>
    <row r="521" spans="1:44" s="165" customFormat="1" ht="15" x14ac:dyDescent="0.25">
      <c r="A521" s="21"/>
      <c r="B521" s="473"/>
      <c r="C521" s="474"/>
      <c r="D521" s="183"/>
      <c r="E521" s="760"/>
      <c r="F521" s="760"/>
      <c r="G521" s="183"/>
      <c r="H521" s="760"/>
      <c r="I521" s="183"/>
      <c r="J521" s="760"/>
      <c r="K521" s="760"/>
      <c r="L521" s="760"/>
      <c r="M521" s="760"/>
      <c r="N521" s="185"/>
      <c r="O521" s="183"/>
      <c r="P521" s="760"/>
      <c r="Q521" s="186"/>
      <c r="R521" s="186"/>
      <c r="S521" s="186"/>
      <c r="T521" s="186"/>
      <c r="U521" s="186"/>
      <c r="V521" s="186"/>
      <c r="W521" s="186"/>
      <c r="X521" s="186"/>
      <c r="Y521" s="186"/>
      <c r="Z521" s="186"/>
      <c r="AA521" s="186"/>
      <c r="AB521" s="186"/>
      <c r="AC521" s="186"/>
      <c r="AD521" s="186"/>
      <c r="AE521" s="186"/>
      <c r="AF521" s="186"/>
      <c r="AG521" s="186"/>
      <c r="AH521" s="186"/>
      <c r="AI521" s="186"/>
      <c r="AJ521" s="186"/>
      <c r="AK521" s="186"/>
      <c r="AL521" s="186"/>
      <c r="AM521" s="188"/>
      <c r="AN521" s="189"/>
      <c r="AO521" s="186"/>
      <c r="AP521" s="186"/>
      <c r="AQ521" s="186"/>
      <c r="AR521" s="205">
        <f t="shared" si="292"/>
        <v>0</v>
      </c>
    </row>
    <row r="522" spans="1:44" s="165" customFormat="1" x14ac:dyDescent="0.25">
      <c r="A522" s="21"/>
      <c r="B522" s="243">
        <v>19</v>
      </c>
      <c r="C522" s="150" t="s">
        <v>662</v>
      </c>
      <c r="D522" s="149"/>
      <c r="E522" s="149"/>
      <c r="F522" s="149"/>
      <c r="G522" s="149"/>
      <c r="H522" s="150"/>
      <c r="I522" s="149"/>
      <c r="J522" s="149"/>
      <c r="K522" s="149"/>
      <c r="L522" s="149"/>
      <c r="M522" s="149"/>
      <c r="N522" s="151"/>
      <c r="O522" s="149"/>
      <c r="P522" s="149"/>
      <c r="Q522" s="149"/>
      <c r="R522" s="149"/>
      <c r="S522" s="149"/>
      <c r="T522" s="149"/>
      <c r="U522" s="149"/>
      <c r="V522" s="149"/>
      <c r="W522" s="149"/>
      <c r="X522" s="149"/>
      <c r="Y522" s="149"/>
      <c r="Z522" s="149"/>
      <c r="AA522" s="149"/>
      <c r="AB522" s="149"/>
      <c r="AC522" s="149"/>
      <c r="AD522" s="149"/>
      <c r="AE522" s="149"/>
      <c r="AF522" s="149"/>
      <c r="AG522" s="149"/>
      <c r="AH522" s="149"/>
      <c r="AI522" s="149"/>
      <c r="AJ522" s="149"/>
      <c r="AK522" s="149"/>
      <c r="AL522" s="149"/>
      <c r="AM522" s="152"/>
      <c r="AN522" s="149"/>
      <c r="AO522" s="149"/>
      <c r="AP522" s="149"/>
      <c r="AQ522" s="149"/>
      <c r="AR522" s="153"/>
    </row>
    <row r="523" spans="1:44" s="165" customFormat="1" ht="15" x14ac:dyDescent="0.25">
      <c r="A523" s="21"/>
      <c r="B523" s="475"/>
      <c r="C523" s="492"/>
      <c r="D523" s="159"/>
      <c r="E523" s="604"/>
      <c r="F523" s="604"/>
      <c r="G523" s="337">
        <v>67</v>
      </c>
      <c r="H523" s="194" t="s">
        <v>663</v>
      </c>
      <c r="I523" s="194"/>
      <c r="J523" s="194"/>
      <c r="K523" s="194"/>
      <c r="L523" s="194"/>
      <c r="M523" s="194"/>
      <c r="N523" s="194"/>
      <c r="O523" s="194"/>
      <c r="P523" s="194"/>
      <c r="Q523" s="194"/>
      <c r="R523" s="194"/>
      <c r="S523" s="194"/>
      <c r="T523" s="194"/>
      <c r="U523" s="194"/>
      <c r="V523" s="194"/>
      <c r="W523" s="194"/>
      <c r="X523" s="194"/>
      <c r="Y523" s="194"/>
      <c r="Z523" s="194"/>
      <c r="AA523" s="194"/>
      <c r="AB523" s="194"/>
      <c r="AC523" s="194"/>
      <c r="AD523" s="194"/>
      <c r="AE523" s="194"/>
      <c r="AF523" s="194"/>
      <c r="AG523" s="194"/>
      <c r="AH523" s="194"/>
      <c r="AI523" s="194"/>
      <c r="AJ523" s="194"/>
      <c r="AK523" s="194"/>
      <c r="AL523" s="194"/>
      <c r="AM523" s="196"/>
      <c r="AN523" s="194"/>
      <c r="AO523" s="194"/>
      <c r="AP523" s="194"/>
      <c r="AQ523" s="194"/>
      <c r="AR523" s="197"/>
    </row>
    <row r="524" spans="1:44" s="49" customFormat="1" ht="63.75" customHeight="1" x14ac:dyDescent="0.25">
      <c r="A524" s="21"/>
      <c r="B524" s="482"/>
      <c r="C524" s="993">
        <v>35</v>
      </c>
      <c r="D524" s="939" t="s">
        <v>664</v>
      </c>
      <c r="E524" s="939" t="s">
        <v>665</v>
      </c>
      <c r="F524" s="939" t="s">
        <v>666</v>
      </c>
      <c r="G524" s="24"/>
      <c r="H524" s="760">
        <v>198</v>
      </c>
      <c r="I524" s="762" t="s">
        <v>667</v>
      </c>
      <c r="J524" s="767">
        <v>1</v>
      </c>
      <c r="K524" s="767">
        <v>1</v>
      </c>
      <c r="L524" s="877">
        <v>0.5</v>
      </c>
      <c r="M524" s="941" t="s">
        <v>590</v>
      </c>
      <c r="N524" s="948" t="s">
        <v>668</v>
      </c>
      <c r="O524" s="941" t="s">
        <v>669</v>
      </c>
      <c r="P524" s="767" t="s">
        <v>47</v>
      </c>
      <c r="Q524" s="27">
        <v>0</v>
      </c>
      <c r="R524" s="27">
        <v>0</v>
      </c>
      <c r="S524" s="27">
        <v>0</v>
      </c>
      <c r="T524" s="27">
        <v>0</v>
      </c>
      <c r="U524" s="27">
        <v>0</v>
      </c>
      <c r="V524" s="27">
        <v>0</v>
      </c>
      <c r="W524" s="27">
        <v>0</v>
      </c>
      <c r="X524" s="27"/>
      <c r="Y524" s="27"/>
      <c r="Z524" s="27"/>
      <c r="AA524" s="27">
        <v>0</v>
      </c>
      <c r="AB524" s="27"/>
      <c r="AC524" s="27">
        <v>0</v>
      </c>
      <c r="AD524" s="27">
        <v>0</v>
      </c>
      <c r="AE524" s="27"/>
      <c r="AF524" s="27"/>
      <c r="AG524" s="27"/>
      <c r="AH524" s="27"/>
      <c r="AI524" s="27"/>
      <c r="AJ524" s="27"/>
      <c r="AK524" s="27">
        <v>0</v>
      </c>
      <c r="AL524" s="27">
        <v>0</v>
      </c>
      <c r="AM524" s="110">
        <f>70000000+40000000</f>
        <v>110000000</v>
      </c>
      <c r="AN524" s="11"/>
      <c r="AO524" s="27">
        <v>0</v>
      </c>
      <c r="AP524" s="60">
        <v>0</v>
      </c>
      <c r="AQ524" s="60"/>
      <c r="AR524" s="27">
        <f t="shared" si="292"/>
        <v>110000000</v>
      </c>
    </row>
    <row r="525" spans="1:44" s="49" customFormat="1" ht="59.25" customHeight="1" x14ac:dyDescent="0.25">
      <c r="A525" s="21"/>
      <c r="B525" s="476"/>
      <c r="C525" s="1003"/>
      <c r="D525" s="940"/>
      <c r="E525" s="940"/>
      <c r="F525" s="940"/>
      <c r="G525" s="30"/>
      <c r="H525" s="6">
        <v>199</v>
      </c>
      <c r="I525" s="7" t="s">
        <v>670</v>
      </c>
      <c r="J525" s="6">
        <v>0</v>
      </c>
      <c r="K525" s="767">
        <v>4</v>
      </c>
      <c r="L525" s="877">
        <v>0.2</v>
      </c>
      <c r="M525" s="942"/>
      <c r="N525" s="959"/>
      <c r="O525" s="942"/>
      <c r="P525" s="767" t="s">
        <v>42</v>
      </c>
      <c r="Q525" s="27"/>
      <c r="R525" s="27"/>
      <c r="S525" s="27"/>
      <c r="T525" s="27"/>
      <c r="U525" s="27"/>
      <c r="V525" s="27"/>
      <c r="W525" s="27"/>
      <c r="X525" s="27"/>
      <c r="Y525" s="27"/>
      <c r="Z525" s="27"/>
      <c r="AA525" s="27"/>
      <c r="AB525" s="27"/>
      <c r="AC525" s="27"/>
      <c r="AD525" s="27"/>
      <c r="AE525" s="257"/>
      <c r="AF525" s="257"/>
      <c r="AG525" s="257"/>
      <c r="AH525" s="257"/>
      <c r="AI525" s="257"/>
      <c r="AJ525" s="257"/>
      <c r="AK525" s="27"/>
      <c r="AL525" s="27"/>
      <c r="AM525" s="110">
        <v>10000000</v>
      </c>
      <c r="AN525" s="11"/>
      <c r="AO525" s="27"/>
      <c r="AP525" s="60"/>
      <c r="AQ525" s="60"/>
      <c r="AR525" s="27">
        <f t="shared" ref="AR525:AR588" si="389">Q525+R525+S525+T525+U525+V525+W525+X525+Y525+Z525+AA525+AB525+AC525+AD525+AE525+AF525+AG525+AH525+AI525+AJ525+AK525+AL525+AM525+AN525+AO525+AP525+AQ525</f>
        <v>10000000</v>
      </c>
    </row>
    <row r="526" spans="1:44" s="165" customFormat="1" ht="33" customHeight="1" x14ac:dyDescent="0.25">
      <c r="A526" s="21"/>
      <c r="B526" s="476"/>
      <c r="C526" s="1003"/>
      <c r="D526" s="940"/>
      <c r="E526" s="940"/>
      <c r="F526" s="940"/>
      <c r="G526" s="30"/>
      <c r="H526" s="760">
        <v>200</v>
      </c>
      <c r="I526" s="762" t="s">
        <v>671</v>
      </c>
      <c r="J526" s="767">
        <v>12</v>
      </c>
      <c r="K526" s="767">
        <v>12</v>
      </c>
      <c r="L526" s="880">
        <v>12</v>
      </c>
      <c r="M526" s="942"/>
      <c r="N526" s="959"/>
      <c r="O526" s="942"/>
      <c r="P526" s="767" t="s">
        <v>47</v>
      </c>
      <c r="Q526" s="27">
        <v>0</v>
      </c>
      <c r="R526" s="11">
        <f>2780000000*0.3+392182142+6517252</f>
        <v>1232699394</v>
      </c>
      <c r="S526" s="27">
        <v>0</v>
      </c>
      <c r="T526" s="27">
        <v>0</v>
      </c>
      <c r="U526" s="27">
        <v>0</v>
      </c>
      <c r="V526" s="27">
        <v>0</v>
      </c>
      <c r="W526" s="27">
        <v>0</v>
      </c>
      <c r="X526" s="27"/>
      <c r="Y526" s="27"/>
      <c r="Z526" s="27"/>
      <c r="AA526" s="27">
        <v>0</v>
      </c>
      <c r="AB526" s="27"/>
      <c r="AC526" s="27">
        <v>0</v>
      </c>
      <c r="AD526" s="27">
        <v>0</v>
      </c>
      <c r="AE526" s="257"/>
      <c r="AF526" s="257"/>
      <c r="AG526" s="257"/>
      <c r="AH526" s="257"/>
      <c r="AI526" s="257"/>
      <c r="AJ526" s="257"/>
      <c r="AK526" s="27">
        <v>0</v>
      </c>
      <c r="AL526" s="27">
        <v>0</v>
      </c>
      <c r="AM526" s="108">
        <v>0</v>
      </c>
      <c r="AN526" s="40"/>
      <c r="AO526" s="27">
        <v>0</v>
      </c>
      <c r="AP526" s="290">
        <v>0</v>
      </c>
      <c r="AQ526" s="290"/>
      <c r="AR526" s="27">
        <f t="shared" si="389"/>
        <v>1232699394</v>
      </c>
    </row>
    <row r="527" spans="1:44" s="165" customFormat="1" ht="36.75" customHeight="1" x14ac:dyDescent="0.25">
      <c r="A527" s="21"/>
      <c r="B527" s="476"/>
      <c r="C527" s="994"/>
      <c r="D527" s="1002"/>
      <c r="E527" s="1002"/>
      <c r="F527" s="1002"/>
      <c r="G527" s="32"/>
      <c r="H527" s="760">
        <v>201</v>
      </c>
      <c r="I527" s="762" t="s">
        <v>672</v>
      </c>
      <c r="J527" s="12">
        <v>14</v>
      </c>
      <c r="K527" s="12">
        <v>14</v>
      </c>
      <c r="L527" s="671">
        <v>14</v>
      </c>
      <c r="M527" s="943"/>
      <c r="N527" s="949"/>
      <c r="O527" s="943"/>
      <c r="P527" s="767" t="s">
        <v>47</v>
      </c>
      <c r="Q527" s="27">
        <v>0</v>
      </c>
      <c r="R527" s="11">
        <f xml:space="preserve"> 2780000000*0.7+915091664+15206923</f>
        <v>2876298587</v>
      </c>
      <c r="S527" s="27">
        <v>0</v>
      </c>
      <c r="T527" s="27">
        <v>0</v>
      </c>
      <c r="U527" s="27">
        <v>0</v>
      </c>
      <c r="V527" s="27">
        <v>0</v>
      </c>
      <c r="W527" s="27">
        <v>0</v>
      </c>
      <c r="X527" s="27"/>
      <c r="Y527" s="27"/>
      <c r="Z527" s="27"/>
      <c r="AA527" s="27">
        <v>0</v>
      </c>
      <c r="AB527" s="27"/>
      <c r="AC527" s="27">
        <v>0</v>
      </c>
      <c r="AD527" s="27">
        <v>0</v>
      </c>
      <c r="AE527" s="257"/>
      <c r="AF527" s="257"/>
      <c r="AG527" s="257"/>
      <c r="AH527" s="257"/>
      <c r="AI527" s="257"/>
      <c r="AJ527" s="257"/>
      <c r="AK527" s="27">
        <v>0</v>
      </c>
      <c r="AL527" s="27">
        <v>0</v>
      </c>
      <c r="AM527" s="108">
        <v>0</v>
      </c>
      <c r="AN527" s="40"/>
      <c r="AO527" s="27">
        <v>0</v>
      </c>
      <c r="AP527" s="290">
        <v>0</v>
      </c>
      <c r="AQ527" s="290"/>
      <c r="AR527" s="27">
        <f t="shared" si="389"/>
        <v>2876298587</v>
      </c>
    </row>
    <row r="528" spans="1:44" s="165" customFormat="1" ht="15" x14ac:dyDescent="0.25">
      <c r="A528" s="21"/>
      <c r="B528" s="487"/>
      <c r="C528" s="6"/>
      <c r="D528" s="159"/>
      <c r="E528" s="604"/>
      <c r="F528" s="604"/>
      <c r="G528" s="160"/>
      <c r="H528" s="161"/>
      <c r="I528" s="160"/>
      <c r="J528" s="256"/>
      <c r="K528" s="256"/>
      <c r="L528" s="256"/>
      <c r="M528" s="256"/>
      <c r="N528" s="163"/>
      <c r="O528" s="493"/>
      <c r="P528" s="161"/>
      <c r="Q528" s="164">
        <f t="shared" ref="Q528:W528" si="390">SUM(Q524:Q527)</f>
        <v>0</v>
      </c>
      <c r="R528" s="164">
        <f t="shared" si="390"/>
        <v>4108997981</v>
      </c>
      <c r="S528" s="164">
        <f t="shared" si="390"/>
        <v>0</v>
      </c>
      <c r="T528" s="164">
        <f t="shared" si="390"/>
        <v>0</v>
      </c>
      <c r="U528" s="164">
        <f t="shared" si="390"/>
        <v>0</v>
      </c>
      <c r="V528" s="164">
        <f t="shared" si="390"/>
        <v>0</v>
      </c>
      <c r="W528" s="164">
        <f t="shared" si="390"/>
        <v>0</v>
      </c>
      <c r="X528" s="164">
        <f t="shared" ref="X528:AD528" si="391">SUM(X524:X527)</f>
        <v>0</v>
      </c>
      <c r="Y528" s="164">
        <f t="shared" si="391"/>
        <v>0</v>
      </c>
      <c r="Z528" s="164">
        <f t="shared" si="391"/>
        <v>0</v>
      </c>
      <c r="AA528" s="164">
        <f t="shared" si="391"/>
        <v>0</v>
      </c>
      <c r="AB528" s="164">
        <f t="shared" si="391"/>
        <v>0</v>
      </c>
      <c r="AC528" s="164">
        <f t="shared" si="391"/>
        <v>0</v>
      </c>
      <c r="AD528" s="164">
        <f t="shared" si="391"/>
        <v>0</v>
      </c>
      <c r="AE528" s="164">
        <f>SUM(AE524:AE527)</f>
        <v>0</v>
      </c>
      <c r="AF528" s="164">
        <f>SUM(AF524:AF527)</f>
        <v>0</v>
      </c>
      <c r="AG528" s="164">
        <f>SUM(AG524:AG527)</f>
        <v>0</v>
      </c>
      <c r="AH528" s="164">
        <f t="shared" ref="AH528:AM528" si="392">SUM(AH524:AH527)</f>
        <v>0</v>
      </c>
      <c r="AI528" s="164">
        <f t="shared" si="392"/>
        <v>0</v>
      </c>
      <c r="AJ528" s="164">
        <f t="shared" si="392"/>
        <v>0</v>
      </c>
      <c r="AK528" s="164">
        <f t="shared" si="392"/>
        <v>0</v>
      </c>
      <c r="AL528" s="164">
        <f t="shared" si="392"/>
        <v>0</v>
      </c>
      <c r="AM528" s="248">
        <f t="shared" si="392"/>
        <v>120000000</v>
      </c>
      <c r="AN528" s="248">
        <f t="shared" ref="AN528:AP528" si="393">SUM(AN524:AN527)</f>
        <v>0</v>
      </c>
      <c r="AO528" s="248">
        <f t="shared" si="393"/>
        <v>0</v>
      </c>
      <c r="AP528" s="248">
        <f t="shared" si="393"/>
        <v>0</v>
      </c>
      <c r="AQ528" s="248">
        <f t="shared" ref="AQ528" si="394">SUM(AQ524:AQ527)</f>
        <v>0</v>
      </c>
      <c r="AR528" s="164">
        <f t="shared" si="389"/>
        <v>4228997981</v>
      </c>
    </row>
    <row r="529" spans="1:44" s="165" customFormat="1" ht="15" x14ac:dyDescent="0.25">
      <c r="A529" s="158"/>
      <c r="B529" s="227"/>
      <c r="C529" s="168"/>
      <c r="D529" s="167"/>
      <c r="E529" s="168"/>
      <c r="F529" s="168"/>
      <c r="G529" s="167"/>
      <c r="H529" s="168"/>
      <c r="I529" s="167"/>
      <c r="J529" s="264"/>
      <c r="K529" s="264"/>
      <c r="L529" s="264"/>
      <c r="M529" s="264"/>
      <c r="N529" s="170"/>
      <c r="O529" s="494"/>
      <c r="P529" s="168"/>
      <c r="Q529" s="171">
        <f t="shared" ref="Q529:W529" si="395">Q528</f>
        <v>0</v>
      </c>
      <c r="R529" s="171">
        <f t="shared" si="395"/>
        <v>4108997981</v>
      </c>
      <c r="S529" s="171">
        <f t="shared" si="395"/>
        <v>0</v>
      </c>
      <c r="T529" s="171">
        <f t="shared" si="395"/>
        <v>0</v>
      </c>
      <c r="U529" s="171">
        <f t="shared" si="395"/>
        <v>0</v>
      </c>
      <c r="V529" s="171">
        <f t="shared" si="395"/>
        <v>0</v>
      </c>
      <c r="W529" s="171">
        <f t="shared" si="395"/>
        <v>0</v>
      </c>
      <c r="X529" s="171">
        <f t="shared" ref="X529:AD529" si="396">X528</f>
        <v>0</v>
      </c>
      <c r="Y529" s="171">
        <f t="shared" si="396"/>
        <v>0</v>
      </c>
      <c r="Z529" s="171">
        <f t="shared" si="396"/>
        <v>0</v>
      </c>
      <c r="AA529" s="171">
        <f t="shared" si="396"/>
        <v>0</v>
      </c>
      <c r="AB529" s="171">
        <f t="shared" si="396"/>
        <v>0</v>
      </c>
      <c r="AC529" s="171">
        <f t="shared" si="396"/>
        <v>0</v>
      </c>
      <c r="AD529" s="171">
        <f t="shared" si="396"/>
        <v>0</v>
      </c>
      <c r="AE529" s="171">
        <f>AE528</f>
        <v>0</v>
      </c>
      <c r="AF529" s="171">
        <f>AF528</f>
        <v>0</v>
      </c>
      <c r="AG529" s="171">
        <f>AG528</f>
        <v>0</v>
      </c>
      <c r="AH529" s="171">
        <f t="shared" ref="AH529:AM529" si="397">AH528</f>
        <v>0</v>
      </c>
      <c r="AI529" s="171">
        <f t="shared" si="397"/>
        <v>0</v>
      </c>
      <c r="AJ529" s="171">
        <f t="shared" si="397"/>
        <v>0</v>
      </c>
      <c r="AK529" s="171">
        <f t="shared" si="397"/>
        <v>0</v>
      </c>
      <c r="AL529" s="171">
        <f t="shared" si="397"/>
        <v>0</v>
      </c>
      <c r="AM529" s="250">
        <f t="shared" si="397"/>
        <v>120000000</v>
      </c>
      <c r="AN529" s="250">
        <f t="shared" ref="AN529:AP529" si="398">AN528</f>
        <v>0</v>
      </c>
      <c r="AO529" s="250">
        <f t="shared" si="398"/>
        <v>0</v>
      </c>
      <c r="AP529" s="250">
        <f t="shared" si="398"/>
        <v>0</v>
      </c>
      <c r="AQ529" s="250">
        <f t="shared" ref="AQ529" si="399">AQ528</f>
        <v>0</v>
      </c>
      <c r="AR529" s="171">
        <f t="shared" si="389"/>
        <v>4228997981</v>
      </c>
    </row>
    <row r="530" spans="1:44" s="165" customFormat="1" ht="15" x14ac:dyDescent="0.25">
      <c r="A530" s="172"/>
      <c r="B530" s="172"/>
      <c r="C530" s="173"/>
      <c r="D530" s="172"/>
      <c r="E530" s="173"/>
      <c r="F530" s="173"/>
      <c r="G530" s="172"/>
      <c r="H530" s="173"/>
      <c r="I530" s="172"/>
      <c r="J530" s="266"/>
      <c r="K530" s="266"/>
      <c r="L530" s="266"/>
      <c r="M530" s="266"/>
      <c r="N530" s="175"/>
      <c r="O530" s="495"/>
      <c r="P530" s="173"/>
      <c r="Q530" s="176">
        <f t="shared" ref="Q530:W530" si="400">Q529+Q520+Q496+Q474</f>
        <v>0</v>
      </c>
      <c r="R530" s="176">
        <f t="shared" si="400"/>
        <v>4108997981</v>
      </c>
      <c r="S530" s="176">
        <f t="shared" si="400"/>
        <v>0</v>
      </c>
      <c r="T530" s="176">
        <f t="shared" si="400"/>
        <v>0</v>
      </c>
      <c r="U530" s="176">
        <f t="shared" si="400"/>
        <v>0</v>
      </c>
      <c r="V530" s="176">
        <f t="shared" si="400"/>
        <v>0</v>
      </c>
      <c r="W530" s="176">
        <f t="shared" si="400"/>
        <v>0</v>
      </c>
      <c r="X530" s="176">
        <f t="shared" ref="X530:AD530" si="401">X529+X520+X496+X474</f>
        <v>0</v>
      </c>
      <c r="Y530" s="176">
        <f t="shared" si="401"/>
        <v>0</v>
      </c>
      <c r="Z530" s="176">
        <f t="shared" si="401"/>
        <v>0</v>
      </c>
      <c r="AA530" s="176">
        <f t="shared" si="401"/>
        <v>0</v>
      </c>
      <c r="AB530" s="176">
        <f t="shared" si="401"/>
        <v>0</v>
      </c>
      <c r="AC530" s="176">
        <f t="shared" si="401"/>
        <v>0</v>
      </c>
      <c r="AD530" s="176">
        <f t="shared" si="401"/>
        <v>0</v>
      </c>
      <c r="AE530" s="176">
        <f>AE529+AE520+AE496+AE474</f>
        <v>0</v>
      </c>
      <c r="AF530" s="176">
        <f>AF529+AF520+AF496+AF474</f>
        <v>0</v>
      </c>
      <c r="AG530" s="176">
        <f>AG529+AG520+AG496+AG474</f>
        <v>0</v>
      </c>
      <c r="AH530" s="176">
        <f t="shared" ref="AH530:AM530" si="402">AH529+AH520+AH496+AH474</f>
        <v>0</v>
      </c>
      <c r="AI530" s="176">
        <f t="shared" si="402"/>
        <v>0</v>
      </c>
      <c r="AJ530" s="176">
        <f t="shared" si="402"/>
        <v>0</v>
      </c>
      <c r="AK530" s="176">
        <f t="shared" si="402"/>
        <v>0</v>
      </c>
      <c r="AL530" s="176">
        <f t="shared" si="402"/>
        <v>0</v>
      </c>
      <c r="AM530" s="252">
        <f t="shared" si="402"/>
        <v>2912000000</v>
      </c>
      <c r="AN530" s="252">
        <f t="shared" ref="AN530:AP530" si="403">AN529+AN520+AN496+AN474</f>
        <v>0</v>
      </c>
      <c r="AO530" s="252">
        <f t="shared" si="403"/>
        <v>0</v>
      </c>
      <c r="AP530" s="252">
        <f t="shared" si="403"/>
        <v>0</v>
      </c>
      <c r="AQ530" s="252">
        <f t="shared" ref="AQ530" si="404">AQ529+AQ520+AQ496+AQ474</f>
        <v>0</v>
      </c>
      <c r="AR530" s="176">
        <f t="shared" si="389"/>
        <v>7020997981</v>
      </c>
    </row>
    <row r="531" spans="1:44" s="165" customFormat="1" x14ac:dyDescent="0.25">
      <c r="A531" s="177"/>
      <c r="B531" s="177"/>
      <c r="C531" s="178"/>
      <c r="D531" s="177"/>
      <c r="E531" s="178"/>
      <c r="F531" s="178"/>
      <c r="G531" s="177"/>
      <c r="H531" s="178"/>
      <c r="I531" s="496"/>
      <c r="J531" s="179"/>
      <c r="K531" s="179"/>
      <c r="L531" s="179"/>
      <c r="M531" s="179"/>
      <c r="N531" s="180"/>
      <c r="O531" s="177"/>
      <c r="P531" s="178"/>
      <c r="Q531" s="181">
        <f t="shared" ref="Q531:W531" si="405">+Q530</f>
        <v>0</v>
      </c>
      <c r="R531" s="181">
        <f t="shared" si="405"/>
        <v>4108997981</v>
      </c>
      <c r="S531" s="181">
        <f t="shared" si="405"/>
        <v>0</v>
      </c>
      <c r="T531" s="181">
        <f t="shared" si="405"/>
        <v>0</v>
      </c>
      <c r="U531" s="181">
        <f t="shared" si="405"/>
        <v>0</v>
      </c>
      <c r="V531" s="181">
        <f t="shared" si="405"/>
        <v>0</v>
      </c>
      <c r="W531" s="181">
        <f t="shared" si="405"/>
        <v>0</v>
      </c>
      <c r="X531" s="181">
        <f t="shared" ref="X531:AD531" si="406">+X530</f>
        <v>0</v>
      </c>
      <c r="Y531" s="181">
        <f t="shared" si="406"/>
        <v>0</v>
      </c>
      <c r="Z531" s="181">
        <f t="shared" si="406"/>
        <v>0</v>
      </c>
      <c r="AA531" s="181">
        <f t="shared" si="406"/>
        <v>0</v>
      </c>
      <c r="AB531" s="181">
        <f t="shared" si="406"/>
        <v>0</v>
      </c>
      <c r="AC531" s="181">
        <f t="shared" si="406"/>
        <v>0</v>
      </c>
      <c r="AD531" s="181">
        <f t="shared" si="406"/>
        <v>0</v>
      </c>
      <c r="AE531" s="181">
        <f>+AE530</f>
        <v>0</v>
      </c>
      <c r="AF531" s="181">
        <f>+AF530</f>
        <v>0</v>
      </c>
      <c r="AG531" s="181">
        <f>+AG530</f>
        <v>0</v>
      </c>
      <c r="AH531" s="181">
        <f t="shared" ref="AH531:AM531" si="407">+AH530</f>
        <v>0</v>
      </c>
      <c r="AI531" s="181">
        <f t="shared" si="407"/>
        <v>0</v>
      </c>
      <c r="AJ531" s="181">
        <f t="shared" si="407"/>
        <v>0</v>
      </c>
      <c r="AK531" s="181">
        <f t="shared" si="407"/>
        <v>0</v>
      </c>
      <c r="AL531" s="181">
        <f t="shared" si="407"/>
        <v>0</v>
      </c>
      <c r="AM531" s="254">
        <f t="shared" si="407"/>
        <v>2912000000</v>
      </c>
      <c r="AN531" s="254">
        <f t="shared" ref="AN531:AP531" si="408">+AN530</f>
        <v>0</v>
      </c>
      <c r="AO531" s="254">
        <f t="shared" si="408"/>
        <v>0</v>
      </c>
      <c r="AP531" s="254">
        <f t="shared" si="408"/>
        <v>0</v>
      </c>
      <c r="AQ531" s="254">
        <f t="shared" ref="AQ531" si="409">+AQ530</f>
        <v>0</v>
      </c>
      <c r="AR531" s="497">
        <f t="shared" si="389"/>
        <v>7020997981</v>
      </c>
    </row>
    <row r="532" spans="1:44" s="29" customFormat="1" ht="15" x14ac:dyDescent="0.25">
      <c r="A532" s="182"/>
      <c r="B532" s="183"/>
      <c r="C532" s="760"/>
      <c r="D532" s="183"/>
      <c r="E532" s="760"/>
      <c r="F532" s="760"/>
      <c r="G532" s="183"/>
      <c r="H532" s="760"/>
      <c r="I532" s="299"/>
      <c r="J532" s="184"/>
      <c r="K532" s="184"/>
      <c r="L532" s="184"/>
      <c r="M532" s="184"/>
      <c r="N532" s="185"/>
      <c r="O532" s="183"/>
      <c r="P532" s="760"/>
      <c r="Q532" s="186"/>
      <c r="R532" s="186"/>
      <c r="S532" s="186"/>
      <c r="T532" s="186"/>
      <c r="U532" s="186"/>
      <c r="V532" s="186"/>
      <c r="W532" s="186"/>
      <c r="X532" s="186"/>
      <c r="Y532" s="186"/>
      <c r="Z532" s="186"/>
      <c r="AA532" s="186"/>
      <c r="AB532" s="186"/>
      <c r="AC532" s="186"/>
      <c r="AD532" s="186"/>
      <c r="AE532" s="187"/>
      <c r="AF532" s="187"/>
      <c r="AG532" s="187"/>
      <c r="AH532" s="187"/>
      <c r="AI532" s="187"/>
      <c r="AJ532" s="187"/>
      <c r="AK532" s="186"/>
      <c r="AL532" s="186"/>
      <c r="AM532" s="188"/>
      <c r="AN532" s="189"/>
      <c r="AO532" s="186"/>
      <c r="AP532" s="186"/>
      <c r="AQ532" s="186"/>
      <c r="AR532" s="498"/>
    </row>
    <row r="533" spans="1:44" s="49" customFormat="1" ht="20.25" x14ac:dyDescent="0.25">
      <c r="A533" s="135" t="s">
        <v>673</v>
      </c>
      <c r="B533" s="136"/>
      <c r="C533" s="137"/>
      <c r="D533" s="136"/>
      <c r="E533" s="136"/>
      <c r="F533" s="136"/>
      <c r="G533" s="136"/>
      <c r="H533" s="137"/>
      <c r="I533" s="136"/>
      <c r="J533" s="136"/>
      <c r="K533" s="136"/>
      <c r="L533" s="136"/>
      <c r="M533" s="136"/>
      <c r="N533" s="138"/>
      <c r="O533" s="136"/>
      <c r="P533" s="137"/>
      <c r="Q533" s="136"/>
      <c r="R533" s="136"/>
      <c r="S533" s="136"/>
      <c r="T533" s="136"/>
      <c r="U533" s="136"/>
      <c r="V533" s="136"/>
      <c r="W533" s="136"/>
      <c r="X533" s="136"/>
      <c r="Y533" s="136"/>
      <c r="Z533" s="136"/>
      <c r="AA533" s="136"/>
      <c r="AB533" s="136"/>
      <c r="AC533" s="136"/>
      <c r="AD533" s="136"/>
      <c r="AE533" s="136"/>
      <c r="AF533" s="136"/>
      <c r="AG533" s="136"/>
      <c r="AH533" s="136"/>
      <c r="AI533" s="136"/>
      <c r="AJ533" s="136"/>
      <c r="AK533" s="136"/>
      <c r="AL533" s="136"/>
      <c r="AM533" s="139"/>
      <c r="AN533" s="140"/>
      <c r="AO533" s="136"/>
      <c r="AP533" s="136"/>
      <c r="AQ533" s="136"/>
      <c r="AR533" s="141"/>
    </row>
    <row r="534" spans="1:44" s="49" customFormat="1" ht="20.25" x14ac:dyDescent="0.25">
      <c r="A534" s="826">
        <v>5</v>
      </c>
      <c r="B534" s="142" t="s">
        <v>33</v>
      </c>
      <c r="C534" s="143"/>
      <c r="D534" s="142"/>
      <c r="E534" s="142"/>
      <c r="F534" s="142"/>
      <c r="G534" s="142"/>
      <c r="H534" s="143"/>
      <c r="I534" s="142"/>
      <c r="J534" s="142"/>
      <c r="K534" s="142"/>
      <c r="L534" s="142"/>
      <c r="M534" s="142"/>
      <c r="N534" s="144"/>
      <c r="O534" s="142"/>
      <c r="P534" s="142"/>
      <c r="Q534" s="142"/>
      <c r="R534" s="142"/>
      <c r="S534" s="142"/>
      <c r="T534" s="142"/>
      <c r="U534" s="142"/>
      <c r="V534" s="142"/>
      <c r="W534" s="142"/>
      <c r="X534" s="142"/>
      <c r="Y534" s="142"/>
      <c r="Z534" s="142"/>
      <c r="AA534" s="142"/>
      <c r="AB534" s="142"/>
      <c r="AC534" s="142"/>
      <c r="AD534" s="142"/>
      <c r="AE534" s="142"/>
      <c r="AF534" s="142"/>
      <c r="AG534" s="142"/>
      <c r="AH534" s="142"/>
      <c r="AI534" s="142"/>
      <c r="AJ534" s="142"/>
      <c r="AK534" s="142"/>
      <c r="AL534" s="142"/>
      <c r="AM534" s="145"/>
      <c r="AN534" s="142"/>
      <c r="AO534" s="142"/>
      <c r="AP534" s="142"/>
      <c r="AQ534" s="142"/>
      <c r="AR534" s="146"/>
    </row>
    <row r="535" spans="1:44" s="49" customFormat="1" ht="20.25" x14ac:dyDescent="0.25">
      <c r="A535" s="190"/>
      <c r="B535" s="243">
        <v>26</v>
      </c>
      <c r="C535" s="150" t="s">
        <v>61</v>
      </c>
      <c r="D535" s="149"/>
      <c r="E535" s="149"/>
      <c r="F535" s="149"/>
      <c r="G535" s="149"/>
      <c r="H535" s="150"/>
      <c r="I535" s="149"/>
      <c r="J535" s="149"/>
      <c r="K535" s="149"/>
      <c r="L535" s="149"/>
      <c r="M535" s="149"/>
      <c r="N535" s="151"/>
      <c r="O535" s="149"/>
      <c r="P535" s="149"/>
      <c r="Q535" s="149"/>
      <c r="R535" s="149"/>
      <c r="S535" s="149"/>
      <c r="T535" s="149"/>
      <c r="U535" s="149"/>
      <c r="V535" s="149"/>
      <c r="W535" s="149"/>
      <c r="X535" s="149"/>
      <c r="Y535" s="149"/>
      <c r="Z535" s="149"/>
      <c r="AA535" s="149"/>
      <c r="AB535" s="149"/>
      <c r="AC535" s="149"/>
      <c r="AD535" s="149"/>
      <c r="AE535" s="149"/>
      <c r="AF535" s="149"/>
      <c r="AG535" s="149"/>
      <c r="AH535" s="149"/>
      <c r="AI535" s="149"/>
      <c r="AJ535" s="149"/>
      <c r="AK535" s="149"/>
      <c r="AL535" s="149"/>
      <c r="AM535" s="152"/>
      <c r="AN535" s="149"/>
      <c r="AO535" s="149"/>
      <c r="AP535" s="149"/>
      <c r="AQ535" s="149"/>
      <c r="AR535" s="153"/>
    </row>
    <row r="536" spans="1:44" s="49" customFormat="1" ht="20.25" x14ac:dyDescent="0.25">
      <c r="A536" s="21"/>
      <c r="B536" s="190"/>
      <c r="C536" s="760"/>
      <c r="D536" s="183"/>
      <c r="E536" s="760"/>
      <c r="F536" s="761"/>
      <c r="G536" s="337">
        <v>83</v>
      </c>
      <c r="H536" s="194" t="s">
        <v>62</v>
      </c>
      <c r="I536" s="194"/>
      <c r="J536" s="337"/>
      <c r="K536" s="194"/>
      <c r="L536" s="194"/>
      <c r="M536" s="337"/>
      <c r="N536" s="194"/>
      <c r="O536" s="194"/>
      <c r="P536" s="337"/>
      <c r="Q536" s="194"/>
      <c r="R536" s="194"/>
      <c r="S536" s="194"/>
      <c r="T536" s="194"/>
      <c r="U536" s="194"/>
      <c r="V536" s="194"/>
      <c r="W536" s="194"/>
      <c r="X536" s="194"/>
      <c r="Y536" s="194"/>
      <c r="Z536" s="194"/>
      <c r="AA536" s="194"/>
      <c r="AB536" s="194"/>
      <c r="AC536" s="194"/>
      <c r="AD536" s="194"/>
      <c r="AE536" s="194"/>
      <c r="AF536" s="194"/>
      <c r="AG536" s="194"/>
      <c r="AH536" s="194"/>
      <c r="AI536" s="194"/>
      <c r="AJ536" s="194"/>
      <c r="AK536" s="194"/>
      <c r="AL536" s="194"/>
      <c r="AM536" s="196"/>
      <c r="AN536" s="194"/>
      <c r="AO536" s="194"/>
      <c r="AP536" s="194"/>
      <c r="AQ536" s="194"/>
      <c r="AR536" s="197"/>
    </row>
    <row r="537" spans="1:44" s="501" customFormat="1" ht="76.5" customHeight="1" x14ac:dyDescent="0.25">
      <c r="A537" s="21"/>
      <c r="B537" s="21"/>
      <c r="C537" s="761">
        <v>37</v>
      </c>
      <c r="D537" s="483" t="s">
        <v>674</v>
      </c>
      <c r="E537" s="484">
        <v>0.54610000000000003</v>
      </c>
      <c r="F537" s="499">
        <v>0.6</v>
      </c>
      <c r="G537" s="32"/>
      <c r="H537" s="767">
        <v>243</v>
      </c>
      <c r="I537" s="7" t="s">
        <v>675</v>
      </c>
      <c r="J537" s="500" t="s">
        <v>38</v>
      </c>
      <c r="K537" s="25">
        <v>6</v>
      </c>
      <c r="L537" s="25">
        <v>0</v>
      </c>
      <c r="M537" s="762" t="s">
        <v>446</v>
      </c>
      <c r="N537" s="39" t="s">
        <v>676</v>
      </c>
      <c r="O537" s="762" t="s">
        <v>677</v>
      </c>
      <c r="P537" s="6" t="s">
        <v>42</v>
      </c>
      <c r="Q537" s="319"/>
      <c r="R537" s="319"/>
      <c r="S537" s="319"/>
      <c r="T537" s="319"/>
      <c r="U537" s="319"/>
      <c r="V537" s="319"/>
      <c r="W537" s="319"/>
      <c r="X537" s="319"/>
      <c r="Y537" s="319"/>
      <c r="Z537" s="319"/>
      <c r="AA537" s="319"/>
      <c r="AB537" s="319"/>
      <c r="AC537" s="319"/>
      <c r="AD537" s="319"/>
      <c r="AE537" s="257"/>
      <c r="AF537" s="257"/>
      <c r="AG537" s="257"/>
      <c r="AH537" s="257"/>
      <c r="AI537" s="257"/>
      <c r="AJ537" s="257"/>
      <c r="AK537" s="319"/>
      <c r="AL537" s="319"/>
      <c r="AM537" s="110">
        <v>100000000</v>
      </c>
      <c r="AN537" s="11"/>
      <c r="AO537" s="319"/>
      <c r="AP537" s="290"/>
      <c r="AQ537" s="290"/>
      <c r="AR537" s="27">
        <f t="shared" si="389"/>
        <v>100000000</v>
      </c>
    </row>
    <row r="538" spans="1:44" s="165" customFormat="1" ht="15" x14ac:dyDescent="0.25">
      <c r="A538" s="21"/>
      <c r="B538" s="158"/>
      <c r="C538" s="717"/>
      <c r="D538" s="733"/>
      <c r="E538" s="751"/>
      <c r="F538" s="751"/>
      <c r="G538" s="502"/>
      <c r="H538" s="503"/>
      <c r="I538" s="160"/>
      <c r="J538" s="162"/>
      <c r="K538" s="162"/>
      <c r="L538" s="162"/>
      <c r="M538" s="162"/>
      <c r="N538" s="163"/>
      <c r="O538" s="160"/>
      <c r="P538" s="161"/>
      <c r="Q538" s="164">
        <f t="shared" ref="Q538:W538" si="410">SUM(Q537:Q537)</f>
        <v>0</v>
      </c>
      <c r="R538" s="164">
        <f t="shared" si="410"/>
        <v>0</v>
      </c>
      <c r="S538" s="164">
        <f t="shared" si="410"/>
        <v>0</v>
      </c>
      <c r="T538" s="164">
        <f t="shared" si="410"/>
        <v>0</v>
      </c>
      <c r="U538" s="164">
        <f t="shared" si="410"/>
        <v>0</v>
      </c>
      <c r="V538" s="164">
        <f t="shared" si="410"/>
        <v>0</v>
      </c>
      <c r="W538" s="164">
        <f t="shared" si="410"/>
        <v>0</v>
      </c>
      <c r="X538" s="164">
        <f t="shared" ref="X538:AC538" si="411">SUM(X537:X537)</f>
        <v>0</v>
      </c>
      <c r="Y538" s="164">
        <f t="shared" si="411"/>
        <v>0</v>
      </c>
      <c r="Z538" s="164">
        <f t="shared" si="411"/>
        <v>0</v>
      </c>
      <c r="AA538" s="164">
        <f t="shared" si="411"/>
        <v>0</v>
      </c>
      <c r="AB538" s="164">
        <f t="shared" si="411"/>
        <v>0</v>
      </c>
      <c r="AC538" s="164">
        <f t="shared" si="411"/>
        <v>0</v>
      </c>
      <c r="AD538" s="164">
        <f>SUM(AD537:AD537)</f>
        <v>0</v>
      </c>
      <c r="AE538" s="164">
        <f>SUM(AE537:AE537)</f>
        <v>0</v>
      </c>
      <c r="AF538" s="164">
        <f>SUM(AF537:AF537)</f>
        <v>0</v>
      </c>
      <c r="AG538" s="164">
        <f t="shared" ref="AG538:AK538" si="412">SUM(AG537:AG537)</f>
        <v>0</v>
      </c>
      <c r="AH538" s="164">
        <f t="shared" si="412"/>
        <v>0</v>
      </c>
      <c r="AI538" s="164">
        <f t="shared" si="412"/>
        <v>0</v>
      </c>
      <c r="AJ538" s="164">
        <f t="shared" si="412"/>
        <v>0</v>
      </c>
      <c r="AK538" s="164">
        <f t="shared" si="412"/>
        <v>0</v>
      </c>
      <c r="AL538" s="164">
        <f t="shared" ref="AL538:AM538" si="413">SUM(AL537:AL537)</f>
        <v>0</v>
      </c>
      <c r="AM538" s="248">
        <f t="shared" si="413"/>
        <v>100000000</v>
      </c>
      <c r="AN538" s="248">
        <f t="shared" ref="AN538:AP538" si="414">SUM(AN537:AN537)</f>
        <v>0</v>
      </c>
      <c r="AO538" s="248">
        <f t="shared" si="414"/>
        <v>0</v>
      </c>
      <c r="AP538" s="248">
        <f t="shared" si="414"/>
        <v>0</v>
      </c>
      <c r="AQ538" s="248">
        <f t="shared" ref="AQ538" si="415">SUM(AQ537:AQ537)</f>
        <v>0</v>
      </c>
      <c r="AR538" s="164">
        <f t="shared" si="389"/>
        <v>100000000</v>
      </c>
    </row>
    <row r="539" spans="1:44" s="165" customFormat="1" ht="15" x14ac:dyDescent="0.25">
      <c r="A539" s="158"/>
      <c r="B539" s="227"/>
      <c r="C539" s="168"/>
      <c r="D539" s="167"/>
      <c r="E539" s="168"/>
      <c r="F539" s="168"/>
      <c r="G539" s="167"/>
      <c r="H539" s="168"/>
      <c r="I539" s="167"/>
      <c r="J539" s="169"/>
      <c r="K539" s="169"/>
      <c r="L539" s="169"/>
      <c r="M539" s="169"/>
      <c r="N539" s="170"/>
      <c r="O539" s="167"/>
      <c r="P539" s="168"/>
      <c r="Q539" s="171">
        <f t="shared" ref="Q539:W541" si="416">Q538</f>
        <v>0</v>
      </c>
      <c r="R539" s="171">
        <f t="shared" si="416"/>
        <v>0</v>
      </c>
      <c r="S539" s="171">
        <f t="shared" si="416"/>
        <v>0</v>
      </c>
      <c r="T539" s="171">
        <f t="shared" si="416"/>
        <v>0</v>
      </c>
      <c r="U539" s="171">
        <f t="shared" si="416"/>
        <v>0</v>
      </c>
      <c r="V539" s="171">
        <f t="shared" si="416"/>
        <v>0</v>
      </c>
      <c r="W539" s="171">
        <f t="shared" si="416"/>
        <v>0</v>
      </c>
      <c r="X539" s="171">
        <f t="shared" ref="X539:AC539" si="417">X538</f>
        <v>0</v>
      </c>
      <c r="Y539" s="171">
        <f t="shared" si="417"/>
        <v>0</v>
      </c>
      <c r="Z539" s="171">
        <f t="shared" si="417"/>
        <v>0</v>
      </c>
      <c r="AA539" s="171">
        <f t="shared" si="417"/>
        <v>0</v>
      </c>
      <c r="AB539" s="171">
        <f t="shared" si="417"/>
        <v>0</v>
      </c>
      <c r="AC539" s="171">
        <f t="shared" si="417"/>
        <v>0</v>
      </c>
      <c r="AD539" s="171">
        <f t="shared" ref="AD539:AF541" si="418">AD538</f>
        <v>0</v>
      </c>
      <c r="AE539" s="171">
        <f t="shared" si="418"/>
        <v>0</v>
      </c>
      <c r="AF539" s="171">
        <f t="shared" si="418"/>
        <v>0</v>
      </c>
      <c r="AG539" s="171">
        <f t="shared" ref="AG539:AK539" si="419">AG538</f>
        <v>0</v>
      </c>
      <c r="AH539" s="171">
        <f t="shared" si="419"/>
        <v>0</v>
      </c>
      <c r="AI539" s="171">
        <f t="shared" si="419"/>
        <v>0</v>
      </c>
      <c r="AJ539" s="171">
        <f t="shared" si="419"/>
        <v>0</v>
      </c>
      <c r="AK539" s="171">
        <f t="shared" si="419"/>
        <v>0</v>
      </c>
      <c r="AL539" s="171">
        <f t="shared" ref="AL539:AL541" si="420">AL538</f>
        <v>0</v>
      </c>
      <c r="AM539" s="250">
        <f t="shared" ref="AM539:AP541" si="421">AM538</f>
        <v>100000000</v>
      </c>
      <c r="AN539" s="250">
        <f t="shared" si="421"/>
        <v>0</v>
      </c>
      <c r="AO539" s="250">
        <f t="shared" si="421"/>
        <v>0</v>
      </c>
      <c r="AP539" s="250">
        <f t="shared" si="421"/>
        <v>0</v>
      </c>
      <c r="AQ539" s="250">
        <f t="shared" ref="AQ539" si="422">AQ538</f>
        <v>0</v>
      </c>
      <c r="AR539" s="171">
        <f t="shared" si="389"/>
        <v>100000000</v>
      </c>
    </row>
    <row r="540" spans="1:44" s="165" customFormat="1" ht="15" x14ac:dyDescent="0.25">
      <c r="A540" s="172"/>
      <c r="B540" s="172"/>
      <c r="C540" s="173"/>
      <c r="D540" s="172"/>
      <c r="E540" s="173"/>
      <c r="F540" s="173"/>
      <c r="G540" s="172"/>
      <c r="H540" s="173"/>
      <c r="I540" s="172"/>
      <c r="J540" s="174"/>
      <c r="K540" s="174"/>
      <c r="L540" s="174"/>
      <c r="M540" s="174"/>
      <c r="N540" s="175"/>
      <c r="O540" s="172"/>
      <c r="P540" s="173"/>
      <c r="Q540" s="176">
        <f t="shared" si="416"/>
        <v>0</v>
      </c>
      <c r="R540" s="176">
        <f t="shared" si="416"/>
        <v>0</v>
      </c>
      <c r="S540" s="176">
        <f t="shared" si="416"/>
        <v>0</v>
      </c>
      <c r="T540" s="176">
        <f t="shared" si="416"/>
        <v>0</v>
      </c>
      <c r="U540" s="176">
        <f t="shared" si="416"/>
        <v>0</v>
      </c>
      <c r="V540" s="176">
        <f t="shared" si="416"/>
        <v>0</v>
      </c>
      <c r="W540" s="176">
        <f t="shared" si="416"/>
        <v>0</v>
      </c>
      <c r="X540" s="176">
        <f t="shared" ref="X540:AC540" si="423">X539</f>
        <v>0</v>
      </c>
      <c r="Y540" s="176">
        <f t="shared" si="423"/>
        <v>0</v>
      </c>
      <c r="Z540" s="176">
        <f t="shared" si="423"/>
        <v>0</v>
      </c>
      <c r="AA540" s="176">
        <f t="shared" si="423"/>
        <v>0</v>
      </c>
      <c r="AB540" s="176">
        <f t="shared" si="423"/>
        <v>0</v>
      </c>
      <c r="AC540" s="176">
        <f t="shared" si="423"/>
        <v>0</v>
      </c>
      <c r="AD540" s="176">
        <f t="shared" si="418"/>
        <v>0</v>
      </c>
      <c r="AE540" s="176">
        <f t="shared" si="418"/>
        <v>0</v>
      </c>
      <c r="AF540" s="176">
        <f t="shared" si="418"/>
        <v>0</v>
      </c>
      <c r="AG540" s="176">
        <f t="shared" ref="AG540:AK540" si="424">AG539</f>
        <v>0</v>
      </c>
      <c r="AH540" s="176">
        <f t="shared" si="424"/>
        <v>0</v>
      </c>
      <c r="AI540" s="176">
        <f t="shared" si="424"/>
        <v>0</v>
      </c>
      <c r="AJ540" s="176">
        <f t="shared" si="424"/>
        <v>0</v>
      </c>
      <c r="AK540" s="176">
        <f t="shared" si="424"/>
        <v>0</v>
      </c>
      <c r="AL540" s="176">
        <f t="shared" si="420"/>
        <v>0</v>
      </c>
      <c r="AM540" s="252">
        <f t="shared" si="421"/>
        <v>100000000</v>
      </c>
      <c r="AN540" s="252">
        <f t="shared" si="421"/>
        <v>0</v>
      </c>
      <c r="AO540" s="252">
        <f t="shared" si="421"/>
        <v>0</v>
      </c>
      <c r="AP540" s="252">
        <f t="shared" si="421"/>
        <v>0</v>
      </c>
      <c r="AQ540" s="252">
        <f t="shared" ref="AQ540" si="425">AQ539</f>
        <v>0</v>
      </c>
      <c r="AR540" s="176">
        <f t="shared" si="389"/>
        <v>100000000</v>
      </c>
    </row>
    <row r="541" spans="1:44" s="165" customFormat="1" ht="15" x14ac:dyDescent="0.25">
      <c r="A541" s="177"/>
      <c r="B541" s="177"/>
      <c r="C541" s="178"/>
      <c r="D541" s="177"/>
      <c r="E541" s="178"/>
      <c r="F541" s="178"/>
      <c r="G541" s="177"/>
      <c r="H541" s="178"/>
      <c r="I541" s="177"/>
      <c r="J541" s="179"/>
      <c r="K541" s="179"/>
      <c r="L541" s="179"/>
      <c r="M541" s="179"/>
      <c r="N541" s="180"/>
      <c r="O541" s="177"/>
      <c r="P541" s="178"/>
      <c r="Q541" s="181">
        <f t="shared" si="416"/>
        <v>0</v>
      </c>
      <c r="R541" s="181">
        <f t="shared" si="416"/>
        <v>0</v>
      </c>
      <c r="S541" s="181">
        <f t="shared" si="416"/>
        <v>0</v>
      </c>
      <c r="T541" s="181">
        <f t="shared" si="416"/>
        <v>0</v>
      </c>
      <c r="U541" s="181">
        <f t="shared" si="416"/>
        <v>0</v>
      </c>
      <c r="V541" s="181">
        <f t="shared" si="416"/>
        <v>0</v>
      </c>
      <c r="W541" s="181">
        <f t="shared" si="416"/>
        <v>0</v>
      </c>
      <c r="X541" s="181">
        <f t="shared" ref="X541:AC541" si="426">X540</f>
        <v>0</v>
      </c>
      <c r="Y541" s="181">
        <f t="shared" si="426"/>
        <v>0</v>
      </c>
      <c r="Z541" s="181">
        <f t="shared" si="426"/>
        <v>0</v>
      </c>
      <c r="AA541" s="181">
        <f t="shared" si="426"/>
        <v>0</v>
      </c>
      <c r="AB541" s="181">
        <f t="shared" si="426"/>
        <v>0</v>
      </c>
      <c r="AC541" s="181">
        <f t="shared" si="426"/>
        <v>0</v>
      </c>
      <c r="AD541" s="181">
        <f t="shared" si="418"/>
        <v>0</v>
      </c>
      <c r="AE541" s="181">
        <f t="shared" si="418"/>
        <v>0</v>
      </c>
      <c r="AF541" s="181">
        <f t="shared" si="418"/>
        <v>0</v>
      </c>
      <c r="AG541" s="181">
        <f t="shared" ref="AG541:AK541" si="427">AG540</f>
        <v>0</v>
      </c>
      <c r="AH541" s="181">
        <f t="shared" si="427"/>
        <v>0</v>
      </c>
      <c r="AI541" s="181">
        <f t="shared" si="427"/>
        <v>0</v>
      </c>
      <c r="AJ541" s="181">
        <f t="shared" si="427"/>
        <v>0</v>
      </c>
      <c r="AK541" s="181">
        <f t="shared" si="427"/>
        <v>0</v>
      </c>
      <c r="AL541" s="181">
        <f t="shared" si="420"/>
        <v>0</v>
      </c>
      <c r="AM541" s="254">
        <f t="shared" si="421"/>
        <v>100000000</v>
      </c>
      <c r="AN541" s="254">
        <f t="shared" si="421"/>
        <v>0</v>
      </c>
      <c r="AO541" s="254">
        <f t="shared" si="421"/>
        <v>0</v>
      </c>
      <c r="AP541" s="254">
        <f t="shared" si="421"/>
        <v>0</v>
      </c>
      <c r="AQ541" s="254">
        <f t="shared" ref="AQ541" si="428">AQ540</f>
        <v>0</v>
      </c>
      <c r="AR541" s="181">
        <f t="shared" si="389"/>
        <v>100000000</v>
      </c>
    </row>
    <row r="542" spans="1:44" s="29" customFormat="1" ht="15" x14ac:dyDescent="0.25">
      <c r="A542" s="182"/>
      <c r="B542" s="183"/>
      <c r="C542" s="760"/>
      <c r="D542" s="183"/>
      <c r="E542" s="760"/>
      <c r="F542" s="760"/>
      <c r="G542" s="183"/>
      <c r="H542" s="760"/>
      <c r="I542" s="183"/>
      <c r="J542" s="184"/>
      <c r="K542" s="184"/>
      <c r="L542" s="184"/>
      <c r="M542" s="184"/>
      <c r="N542" s="185"/>
      <c r="O542" s="183"/>
      <c r="P542" s="760"/>
      <c r="Q542" s="186"/>
      <c r="R542" s="186"/>
      <c r="S542" s="186"/>
      <c r="T542" s="186"/>
      <c r="U542" s="186"/>
      <c r="V542" s="186"/>
      <c r="W542" s="186"/>
      <c r="X542" s="186"/>
      <c r="Y542" s="186"/>
      <c r="Z542" s="186"/>
      <c r="AA542" s="186"/>
      <c r="AB542" s="186"/>
      <c r="AC542" s="186"/>
      <c r="AD542" s="186"/>
      <c r="AE542" s="187"/>
      <c r="AF542" s="187"/>
      <c r="AG542" s="187"/>
      <c r="AH542" s="187"/>
      <c r="AI542" s="187"/>
      <c r="AJ542" s="187"/>
      <c r="AK542" s="186"/>
      <c r="AL542" s="186"/>
      <c r="AM542" s="188"/>
      <c r="AN542" s="189"/>
      <c r="AO542" s="186"/>
      <c r="AP542" s="186"/>
      <c r="AQ542" s="186"/>
      <c r="AR542" s="205"/>
    </row>
    <row r="543" spans="1:44" s="165" customFormat="1" ht="20.25" x14ac:dyDescent="0.25">
      <c r="A543" s="135" t="s">
        <v>678</v>
      </c>
      <c r="B543" s="136"/>
      <c r="C543" s="137"/>
      <c r="D543" s="136"/>
      <c r="E543" s="136"/>
      <c r="F543" s="136"/>
      <c r="G543" s="136"/>
      <c r="H543" s="137"/>
      <c r="I543" s="136"/>
      <c r="J543" s="136"/>
      <c r="K543" s="136"/>
      <c r="L543" s="136"/>
      <c r="M543" s="136"/>
      <c r="N543" s="138"/>
      <c r="O543" s="136"/>
      <c r="P543" s="137"/>
      <c r="Q543" s="136"/>
      <c r="R543" s="136"/>
      <c r="S543" s="136"/>
      <c r="T543" s="136"/>
      <c r="U543" s="136"/>
      <c r="V543" s="136"/>
      <c r="W543" s="136"/>
      <c r="X543" s="136"/>
      <c r="Y543" s="136"/>
      <c r="Z543" s="136"/>
      <c r="AA543" s="136"/>
      <c r="AB543" s="136"/>
      <c r="AC543" s="136"/>
      <c r="AD543" s="136"/>
      <c r="AE543" s="136"/>
      <c r="AF543" s="136"/>
      <c r="AG543" s="136"/>
      <c r="AH543" s="136"/>
      <c r="AI543" s="136"/>
      <c r="AJ543" s="136"/>
      <c r="AK543" s="136"/>
      <c r="AL543" s="136"/>
      <c r="AM543" s="139"/>
      <c r="AN543" s="140"/>
      <c r="AO543" s="136"/>
      <c r="AP543" s="136"/>
      <c r="AQ543" s="136"/>
      <c r="AR543" s="141"/>
    </row>
    <row r="544" spans="1:44" s="29" customFormat="1" x14ac:dyDescent="0.25">
      <c r="A544" s="826">
        <v>3</v>
      </c>
      <c r="B544" s="142" t="s">
        <v>431</v>
      </c>
      <c r="C544" s="143"/>
      <c r="D544" s="142"/>
      <c r="E544" s="142"/>
      <c r="F544" s="142"/>
      <c r="G544" s="142"/>
      <c r="H544" s="143"/>
      <c r="I544" s="142"/>
      <c r="J544" s="142"/>
      <c r="K544" s="142"/>
      <c r="L544" s="142"/>
      <c r="M544" s="142"/>
      <c r="N544" s="144"/>
      <c r="O544" s="142"/>
      <c r="P544" s="142"/>
      <c r="Q544" s="142"/>
      <c r="R544" s="142"/>
      <c r="S544" s="142"/>
      <c r="T544" s="142"/>
      <c r="U544" s="142"/>
      <c r="V544" s="142"/>
      <c r="W544" s="142"/>
      <c r="X544" s="142"/>
      <c r="Y544" s="142"/>
      <c r="Z544" s="142"/>
      <c r="AA544" s="142"/>
      <c r="AB544" s="142"/>
      <c r="AC544" s="142"/>
      <c r="AD544" s="142"/>
      <c r="AE544" s="142"/>
      <c r="AF544" s="142"/>
      <c r="AG544" s="142"/>
      <c r="AH544" s="142"/>
      <c r="AI544" s="142"/>
      <c r="AJ544" s="142"/>
      <c r="AK544" s="142"/>
      <c r="AL544" s="142"/>
      <c r="AM544" s="145"/>
      <c r="AN544" s="142"/>
      <c r="AO544" s="142"/>
      <c r="AP544" s="142"/>
      <c r="AQ544" s="142"/>
      <c r="AR544" s="146"/>
    </row>
    <row r="545" spans="1:44" s="29" customFormat="1" x14ac:dyDescent="0.25">
      <c r="A545" s="190"/>
      <c r="B545" s="243">
        <v>11</v>
      </c>
      <c r="C545" s="150" t="s">
        <v>432</v>
      </c>
      <c r="D545" s="149"/>
      <c r="E545" s="149"/>
      <c r="F545" s="149"/>
      <c r="G545" s="149"/>
      <c r="H545" s="150"/>
      <c r="I545" s="149"/>
      <c r="J545" s="149"/>
      <c r="K545" s="149"/>
      <c r="L545" s="149"/>
      <c r="M545" s="149"/>
      <c r="N545" s="151"/>
      <c r="O545" s="149"/>
      <c r="P545" s="149"/>
      <c r="Q545" s="149"/>
      <c r="R545" s="149"/>
      <c r="S545" s="149"/>
      <c r="T545" s="149"/>
      <c r="U545" s="149"/>
      <c r="V545" s="149"/>
      <c r="W545" s="149"/>
      <c r="X545" s="149"/>
      <c r="Y545" s="149"/>
      <c r="Z545" s="149"/>
      <c r="AA545" s="149"/>
      <c r="AB545" s="149"/>
      <c r="AC545" s="149"/>
      <c r="AD545" s="149"/>
      <c r="AE545" s="149"/>
      <c r="AF545" s="149"/>
      <c r="AG545" s="149"/>
      <c r="AH545" s="149"/>
      <c r="AI545" s="149"/>
      <c r="AJ545" s="149"/>
      <c r="AK545" s="149"/>
      <c r="AL545" s="149"/>
      <c r="AM545" s="152"/>
      <c r="AN545" s="149"/>
      <c r="AO545" s="149"/>
      <c r="AP545" s="149"/>
      <c r="AQ545" s="149"/>
      <c r="AR545" s="153"/>
    </row>
    <row r="546" spans="1:44" s="29" customFormat="1" ht="15" x14ac:dyDescent="0.25">
      <c r="A546" s="21"/>
      <c r="B546" s="190"/>
      <c r="C546" s="830"/>
      <c r="D546" s="829"/>
      <c r="E546" s="830"/>
      <c r="F546" s="774"/>
      <c r="G546" s="337">
        <v>35</v>
      </c>
      <c r="H546" s="194" t="s">
        <v>679</v>
      </c>
      <c r="I546" s="194"/>
      <c r="J546" s="194"/>
      <c r="K546" s="194"/>
      <c r="L546" s="194"/>
      <c r="M546" s="194"/>
      <c r="N546" s="194"/>
      <c r="O546" s="194"/>
      <c r="P546" s="194"/>
      <c r="Q546" s="194"/>
      <c r="R546" s="194"/>
      <c r="S546" s="194"/>
      <c r="T546" s="194"/>
      <c r="U546" s="194"/>
      <c r="V546" s="194"/>
      <c r="W546" s="194"/>
      <c r="X546" s="194"/>
      <c r="Y546" s="194"/>
      <c r="Z546" s="194"/>
      <c r="AA546" s="194"/>
      <c r="AB546" s="194"/>
      <c r="AC546" s="194"/>
      <c r="AD546" s="194"/>
      <c r="AE546" s="194"/>
      <c r="AF546" s="194"/>
      <c r="AG546" s="194"/>
      <c r="AH546" s="194"/>
      <c r="AI546" s="194"/>
      <c r="AJ546" s="194"/>
      <c r="AK546" s="194"/>
      <c r="AL546" s="194"/>
      <c r="AM546" s="196"/>
      <c r="AN546" s="194"/>
      <c r="AO546" s="194"/>
      <c r="AP546" s="194"/>
      <c r="AQ546" s="194"/>
      <c r="AR546" s="400">
        <f t="shared" si="389"/>
        <v>0</v>
      </c>
    </row>
    <row r="547" spans="1:44" s="165" customFormat="1" ht="94.5" customHeight="1" x14ac:dyDescent="0.25">
      <c r="A547" s="21"/>
      <c r="B547" s="20"/>
      <c r="C547" s="504"/>
      <c r="D547" s="505"/>
      <c r="E547" s="505"/>
      <c r="F547" s="505"/>
      <c r="G547" s="867"/>
      <c r="H547" s="761">
        <v>127</v>
      </c>
      <c r="I547" s="762" t="s">
        <v>680</v>
      </c>
      <c r="J547" s="767" t="s">
        <v>38</v>
      </c>
      <c r="K547" s="767">
        <v>1</v>
      </c>
      <c r="L547" s="767">
        <v>0.8</v>
      </c>
      <c r="M547" s="924" t="s">
        <v>681</v>
      </c>
      <c r="N547" s="1005" t="s">
        <v>682</v>
      </c>
      <c r="O547" s="941" t="s">
        <v>683</v>
      </c>
      <c r="P547" s="767" t="s">
        <v>47</v>
      </c>
      <c r="Q547" s="27">
        <v>0</v>
      </c>
      <c r="R547" s="27">
        <v>0</v>
      </c>
      <c r="S547" s="27">
        <v>0</v>
      </c>
      <c r="T547" s="27">
        <v>0</v>
      </c>
      <c r="U547" s="27">
        <v>0</v>
      </c>
      <c r="V547" s="27">
        <v>0</v>
      </c>
      <c r="W547" s="27">
        <v>0</v>
      </c>
      <c r="X547" s="15">
        <v>104940000</v>
      </c>
      <c r="Y547" s="5"/>
      <c r="Z547" s="5"/>
      <c r="AA547" s="319">
        <v>0</v>
      </c>
      <c r="AB547" s="319"/>
      <c r="AC547" s="319">
        <v>0</v>
      </c>
      <c r="AD547" s="319">
        <v>0</v>
      </c>
      <c r="AE547" s="257"/>
      <c r="AF547" s="257"/>
      <c r="AG547" s="257"/>
      <c r="AH547" s="257"/>
      <c r="AI547" s="257"/>
      <c r="AJ547" s="257"/>
      <c r="AK547" s="319">
        <v>0</v>
      </c>
      <c r="AL547" s="319">
        <v>0</v>
      </c>
      <c r="AM547" s="506">
        <v>0</v>
      </c>
      <c r="AN547" s="507"/>
      <c r="AO547" s="319">
        <v>0</v>
      </c>
      <c r="AP547" s="290">
        <v>0</v>
      </c>
      <c r="AQ547" s="290"/>
      <c r="AR547" s="525">
        <f t="shared" si="389"/>
        <v>104940000</v>
      </c>
    </row>
    <row r="548" spans="1:44" s="165" customFormat="1" ht="31.5" customHeight="1" x14ac:dyDescent="0.25">
      <c r="A548" s="21"/>
      <c r="B548" s="20"/>
      <c r="C548" s="750">
        <v>24</v>
      </c>
      <c r="D548" s="730" t="s">
        <v>684</v>
      </c>
      <c r="E548" s="728" t="s">
        <v>685</v>
      </c>
      <c r="F548" s="728" t="s">
        <v>685</v>
      </c>
      <c r="G548" s="97"/>
      <c r="H548" s="761">
        <v>128</v>
      </c>
      <c r="I548" s="762" t="s">
        <v>686</v>
      </c>
      <c r="J548" s="767">
        <v>1</v>
      </c>
      <c r="K548" s="767">
        <v>1</v>
      </c>
      <c r="L548" s="767">
        <v>0.6</v>
      </c>
      <c r="M548" s="925"/>
      <c r="N548" s="1006"/>
      <c r="O548" s="942"/>
      <c r="P548" s="767" t="s">
        <v>47</v>
      </c>
      <c r="Q548" s="27">
        <v>0</v>
      </c>
      <c r="R548" s="27">
        <v>0</v>
      </c>
      <c r="S548" s="27">
        <v>0</v>
      </c>
      <c r="T548" s="27">
        <v>0</v>
      </c>
      <c r="U548" s="27">
        <v>0</v>
      </c>
      <c r="V548" s="27">
        <v>0</v>
      </c>
      <c r="W548" s="27">
        <v>0</v>
      </c>
      <c r="X548" s="5">
        <v>25750000</v>
      </c>
      <c r="Y548" s="5"/>
      <c r="Z548" s="5"/>
      <c r="AA548" s="319">
        <v>0</v>
      </c>
      <c r="AB548" s="319"/>
      <c r="AC548" s="319">
        <v>0</v>
      </c>
      <c r="AD548" s="319">
        <v>0</v>
      </c>
      <c r="AE548" s="257"/>
      <c r="AF548" s="257"/>
      <c r="AG548" s="257"/>
      <c r="AH548" s="257"/>
      <c r="AI548" s="257"/>
      <c r="AJ548" s="257"/>
      <c r="AK548" s="319">
        <v>0</v>
      </c>
      <c r="AL548" s="319">
        <v>0</v>
      </c>
      <c r="AM548" s="506">
        <v>0</v>
      </c>
      <c r="AN548" s="507"/>
      <c r="AO548" s="319">
        <v>0</v>
      </c>
      <c r="AP548" s="290">
        <v>0</v>
      </c>
      <c r="AQ548" s="290"/>
      <c r="AR548" s="525">
        <f t="shared" si="389"/>
        <v>25750000</v>
      </c>
    </row>
    <row r="549" spans="1:44" s="165" customFormat="1" ht="71.25" customHeight="1" x14ac:dyDescent="0.25">
      <c r="A549" s="21"/>
      <c r="B549" s="20"/>
      <c r="C549" s="747"/>
      <c r="D549" s="749"/>
      <c r="E549" s="751"/>
      <c r="F549" s="751"/>
      <c r="G549" s="99"/>
      <c r="H549" s="761">
        <v>129</v>
      </c>
      <c r="I549" s="762" t="s">
        <v>687</v>
      </c>
      <c r="J549" s="767" t="s">
        <v>38</v>
      </c>
      <c r="K549" s="767">
        <v>6</v>
      </c>
      <c r="L549" s="767">
        <v>1</v>
      </c>
      <c r="M549" s="926"/>
      <c r="N549" s="1007"/>
      <c r="O549" s="943"/>
      <c r="P549" s="767" t="s">
        <v>47</v>
      </c>
      <c r="Q549" s="27">
        <v>0</v>
      </c>
      <c r="R549" s="27">
        <v>0</v>
      </c>
      <c r="S549" s="27">
        <v>0</v>
      </c>
      <c r="T549" s="27">
        <v>0</v>
      </c>
      <c r="U549" s="27">
        <v>0</v>
      </c>
      <c r="V549" s="27">
        <v>0</v>
      </c>
      <c r="W549" s="27">
        <v>0</v>
      </c>
      <c r="X549" s="5">
        <v>58709999.999999993</v>
      </c>
      <c r="Y549" s="5"/>
      <c r="Z549" s="5"/>
      <c r="AA549" s="319">
        <v>0</v>
      </c>
      <c r="AB549" s="319"/>
      <c r="AC549" s="319">
        <v>0</v>
      </c>
      <c r="AD549" s="319">
        <v>0</v>
      </c>
      <c r="AE549" s="257"/>
      <c r="AF549" s="257"/>
      <c r="AG549" s="257"/>
      <c r="AH549" s="257"/>
      <c r="AI549" s="257"/>
      <c r="AJ549" s="257"/>
      <c r="AK549" s="319">
        <v>0</v>
      </c>
      <c r="AL549" s="319">
        <v>0</v>
      </c>
      <c r="AM549" s="506">
        <v>0</v>
      </c>
      <c r="AN549" s="507"/>
      <c r="AO549" s="319">
        <v>0</v>
      </c>
      <c r="AP549" s="290">
        <v>0</v>
      </c>
      <c r="AQ549" s="290"/>
      <c r="AR549" s="525">
        <f t="shared" si="389"/>
        <v>58709999.999999993</v>
      </c>
    </row>
    <row r="550" spans="1:44" s="165" customFormat="1" ht="15" x14ac:dyDescent="0.25">
      <c r="A550" s="21"/>
      <c r="B550" s="158"/>
      <c r="C550" s="717"/>
      <c r="D550" s="733"/>
      <c r="E550" s="751"/>
      <c r="F550" s="751"/>
      <c r="G550" s="160"/>
      <c r="H550" s="161"/>
      <c r="I550" s="160"/>
      <c r="J550" s="161"/>
      <c r="K550" s="161"/>
      <c r="L550" s="161"/>
      <c r="M550" s="161"/>
      <c r="N550" s="163"/>
      <c r="O550" s="160"/>
      <c r="P550" s="161"/>
      <c r="Q550" s="164">
        <f t="shared" ref="Q550:X550" si="429">SUM(Q547:Q549)</f>
        <v>0</v>
      </c>
      <c r="R550" s="164">
        <f t="shared" si="429"/>
        <v>0</v>
      </c>
      <c r="S550" s="164">
        <f t="shared" si="429"/>
        <v>0</v>
      </c>
      <c r="T550" s="164">
        <f t="shared" si="429"/>
        <v>0</v>
      </c>
      <c r="U550" s="164">
        <f t="shared" si="429"/>
        <v>0</v>
      </c>
      <c r="V550" s="164">
        <f t="shared" si="429"/>
        <v>0</v>
      </c>
      <c r="W550" s="164">
        <f t="shared" si="429"/>
        <v>0</v>
      </c>
      <c r="X550" s="164">
        <f t="shared" si="429"/>
        <v>189400000</v>
      </c>
      <c r="Y550" s="164"/>
      <c r="Z550" s="164"/>
      <c r="AA550" s="164">
        <f>SUM(AA547:AA549)</f>
        <v>0</v>
      </c>
      <c r="AB550" s="164"/>
      <c r="AC550" s="164">
        <f>SUM(AC547:AC549)</f>
        <v>0</v>
      </c>
      <c r="AD550" s="164">
        <f>SUM(AD547:AD549)</f>
        <v>0</v>
      </c>
      <c r="AE550" s="164">
        <f>SUM(AE547:AE549)</f>
        <v>0</v>
      </c>
      <c r="AF550" s="164">
        <f>SUM(AF547:AF549)</f>
        <v>0</v>
      </c>
      <c r="AG550" s="164"/>
      <c r="AH550" s="164">
        <f t="shared" ref="AH550:AM550" si="430">SUM(AH547:AH549)</f>
        <v>0</v>
      </c>
      <c r="AI550" s="164">
        <f t="shared" si="430"/>
        <v>0</v>
      </c>
      <c r="AJ550" s="164">
        <f t="shared" si="430"/>
        <v>0</v>
      </c>
      <c r="AK550" s="164">
        <f t="shared" si="430"/>
        <v>0</v>
      </c>
      <c r="AL550" s="164">
        <f t="shared" si="430"/>
        <v>0</v>
      </c>
      <c r="AM550" s="248">
        <f t="shared" si="430"/>
        <v>0</v>
      </c>
      <c r="AN550" s="164"/>
      <c r="AO550" s="164">
        <f>SUM(AO547:AO549)</f>
        <v>0</v>
      </c>
      <c r="AP550" s="164">
        <f>SUM(AP547:AP549)</f>
        <v>0</v>
      </c>
      <c r="AQ550" s="164">
        <f>SUM(AQ547:AQ549)</f>
        <v>0</v>
      </c>
      <c r="AR550" s="394">
        <f t="shared" si="389"/>
        <v>189400000</v>
      </c>
    </row>
    <row r="551" spans="1:44" s="165" customFormat="1" ht="15" x14ac:dyDescent="0.25">
      <c r="A551" s="21"/>
      <c r="B551" s="227"/>
      <c r="C551" s="168"/>
      <c r="D551" s="167"/>
      <c r="E551" s="168"/>
      <c r="F551" s="168"/>
      <c r="G551" s="167"/>
      <c r="H551" s="168"/>
      <c r="I551" s="167"/>
      <c r="J551" s="168"/>
      <c r="K551" s="168"/>
      <c r="L551" s="168"/>
      <c r="M551" s="168"/>
      <c r="N551" s="170"/>
      <c r="O551" s="167"/>
      <c r="P551" s="168"/>
      <c r="Q551" s="171">
        <f t="shared" ref="Q551:X551" si="431">Q550</f>
        <v>0</v>
      </c>
      <c r="R551" s="171">
        <f t="shared" si="431"/>
        <v>0</v>
      </c>
      <c r="S551" s="171">
        <f t="shared" si="431"/>
        <v>0</v>
      </c>
      <c r="T551" s="171">
        <f t="shared" si="431"/>
        <v>0</v>
      </c>
      <c r="U551" s="171">
        <f t="shared" si="431"/>
        <v>0</v>
      </c>
      <c r="V551" s="171">
        <f t="shared" si="431"/>
        <v>0</v>
      </c>
      <c r="W551" s="171">
        <f t="shared" si="431"/>
        <v>0</v>
      </c>
      <c r="X551" s="171">
        <f t="shared" si="431"/>
        <v>189400000</v>
      </c>
      <c r="Y551" s="171"/>
      <c r="Z551" s="171"/>
      <c r="AA551" s="171">
        <f>AA550</f>
        <v>0</v>
      </c>
      <c r="AB551" s="171"/>
      <c r="AC551" s="171">
        <f>AC550</f>
        <v>0</v>
      </c>
      <c r="AD551" s="171">
        <f>AD550</f>
        <v>0</v>
      </c>
      <c r="AE551" s="171">
        <f>AE550</f>
        <v>0</v>
      </c>
      <c r="AF551" s="171">
        <f>AF550</f>
        <v>0</v>
      </c>
      <c r="AG551" s="171"/>
      <c r="AH551" s="171">
        <f t="shared" ref="AH551:AM551" si="432">AH550</f>
        <v>0</v>
      </c>
      <c r="AI551" s="171">
        <f t="shared" si="432"/>
        <v>0</v>
      </c>
      <c r="AJ551" s="171">
        <f t="shared" si="432"/>
        <v>0</v>
      </c>
      <c r="AK551" s="171">
        <f t="shared" si="432"/>
        <v>0</v>
      </c>
      <c r="AL551" s="171">
        <f t="shared" si="432"/>
        <v>0</v>
      </c>
      <c r="AM551" s="250">
        <f t="shared" si="432"/>
        <v>0</v>
      </c>
      <c r="AN551" s="171"/>
      <c r="AO551" s="171">
        <f>AO550</f>
        <v>0</v>
      </c>
      <c r="AP551" s="171">
        <f>AP550</f>
        <v>0</v>
      </c>
      <c r="AQ551" s="171">
        <f>AQ550</f>
        <v>0</v>
      </c>
      <c r="AR551" s="395">
        <f t="shared" si="389"/>
        <v>189400000</v>
      </c>
    </row>
    <row r="552" spans="1:44" s="29" customFormat="1" ht="15" x14ac:dyDescent="0.25">
      <c r="A552" s="21"/>
      <c r="B552" s="183"/>
      <c r="C552" s="760"/>
      <c r="D552" s="183"/>
      <c r="E552" s="760"/>
      <c r="F552" s="760"/>
      <c r="G552" s="183"/>
      <c r="H552" s="760"/>
      <c r="I552" s="183"/>
      <c r="J552" s="760"/>
      <c r="K552" s="760"/>
      <c r="L552" s="830"/>
      <c r="M552" s="830"/>
      <c r="N552" s="833"/>
      <c r="O552" s="829"/>
      <c r="P552" s="760"/>
      <c r="Q552" s="186"/>
      <c r="R552" s="186"/>
      <c r="S552" s="186"/>
      <c r="T552" s="186"/>
      <c r="U552" s="186"/>
      <c r="V552" s="186"/>
      <c r="W552" s="186"/>
      <c r="X552" s="186"/>
      <c r="Y552" s="186"/>
      <c r="Z552" s="186"/>
      <c r="AA552" s="186"/>
      <c r="AB552" s="186"/>
      <c r="AC552" s="186"/>
      <c r="AD552" s="186"/>
      <c r="AE552" s="186"/>
      <c r="AF552" s="186"/>
      <c r="AG552" s="186"/>
      <c r="AH552" s="186"/>
      <c r="AI552" s="186"/>
      <c r="AJ552" s="186"/>
      <c r="AK552" s="186"/>
      <c r="AL552" s="186"/>
      <c r="AM552" s="188"/>
      <c r="AN552" s="186"/>
      <c r="AO552" s="186"/>
      <c r="AP552" s="186"/>
      <c r="AQ552" s="186"/>
      <c r="AR552" s="710"/>
    </row>
    <row r="553" spans="1:44" s="29" customFormat="1" x14ac:dyDescent="0.25">
      <c r="A553" s="21"/>
      <c r="B553" s="881">
        <v>12</v>
      </c>
      <c r="C553" s="148" t="s">
        <v>688</v>
      </c>
      <c r="D553" s="149"/>
      <c r="E553" s="149"/>
      <c r="F553" s="149"/>
      <c r="G553" s="149"/>
      <c r="H553" s="150"/>
      <c r="I553" s="149"/>
      <c r="J553" s="149"/>
      <c r="K553" s="149"/>
      <c r="L553" s="149"/>
      <c r="M553" s="149"/>
      <c r="N553" s="151"/>
      <c r="O553" s="149"/>
      <c r="P553" s="149"/>
      <c r="Q553" s="149"/>
      <c r="R553" s="149"/>
      <c r="S553" s="149"/>
      <c r="T553" s="149"/>
      <c r="U553" s="149"/>
      <c r="V553" s="149"/>
      <c r="W553" s="149"/>
      <c r="X553" s="149"/>
      <c r="Y553" s="149"/>
      <c r="Z553" s="149"/>
      <c r="AA553" s="149"/>
      <c r="AB553" s="149"/>
      <c r="AC553" s="149"/>
      <c r="AD553" s="149"/>
      <c r="AE553" s="149"/>
      <c r="AF553" s="149"/>
      <c r="AG553" s="149"/>
      <c r="AH553" s="149"/>
      <c r="AI553" s="149"/>
      <c r="AJ553" s="149"/>
      <c r="AK553" s="149"/>
      <c r="AL553" s="149"/>
      <c r="AM553" s="152"/>
      <c r="AN553" s="149"/>
      <c r="AO553" s="149"/>
      <c r="AP553" s="149"/>
      <c r="AQ553" s="149"/>
      <c r="AR553" s="711"/>
    </row>
    <row r="554" spans="1:44" s="29" customFormat="1" ht="15" x14ac:dyDescent="0.25">
      <c r="A554" s="20"/>
      <c r="B554" s="21"/>
      <c r="C554" s="760"/>
      <c r="D554" s="183"/>
      <c r="E554" s="760"/>
      <c r="F554" s="761"/>
      <c r="G554" s="337">
        <v>36</v>
      </c>
      <c r="H554" s="194" t="s">
        <v>689</v>
      </c>
      <c r="I554" s="194"/>
      <c r="J554" s="194"/>
      <c r="K554" s="194"/>
      <c r="L554" s="194"/>
      <c r="M554" s="194"/>
      <c r="N554" s="194"/>
      <c r="O554" s="194"/>
      <c r="P554" s="194"/>
      <c r="Q554" s="194"/>
      <c r="R554" s="194"/>
      <c r="S554" s="194"/>
      <c r="T554" s="194"/>
      <c r="U554" s="194"/>
      <c r="V554" s="194"/>
      <c r="W554" s="194"/>
      <c r="X554" s="194"/>
      <c r="Y554" s="194"/>
      <c r="Z554" s="194"/>
      <c r="AA554" s="194"/>
      <c r="AB554" s="194"/>
      <c r="AC554" s="194"/>
      <c r="AD554" s="194"/>
      <c r="AE554" s="194"/>
      <c r="AF554" s="194"/>
      <c r="AG554" s="194"/>
      <c r="AH554" s="194"/>
      <c r="AI554" s="194"/>
      <c r="AJ554" s="194"/>
      <c r="AK554" s="194"/>
      <c r="AL554" s="194"/>
      <c r="AM554" s="196"/>
      <c r="AN554" s="194"/>
      <c r="AO554" s="194"/>
      <c r="AP554" s="194"/>
      <c r="AQ554" s="194"/>
      <c r="AR554" s="400"/>
    </row>
    <row r="555" spans="1:44" s="165" customFormat="1" ht="42" customHeight="1" x14ac:dyDescent="0.25">
      <c r="A555" s="20"/>
      <c r="B555" s="21"/>
      <c r="C555" s="912">
        <v>3</v>
      </c>
      <c r="D555" s="999" t="s">
        <v>364</v>
      </c>
      <c r="E555" s="937" t="s">
        <v>149</v>
      </c>
      <c r="F555" s="937" t="s">
        <v>150</v>
      </c>
      <c r="G555" s="924"/>
      <c r="H555" s="767">
        <v>130</v>
      </c>
      <c r="I555" s="762" t="s">
        <v>690</v>
      </c>
      <c r="J555" s="318">
        <v>0</v>
      </c>
      <c r="K555" s="767">
        <v>1</v>
      </c>
      <c r="L555" s="663">
        <v>0.5</v>
      </c>
      <c r="M555" s="993">
        <v>2</v>
      </c>
      <c r="N555" s="948" t="s">
        <v>691</v>
      </c>
      <c r="O555" s="941" t="s">
        <v>692</v>
      </c>
      <c r="P555" s="767" t="s">
        <v>47</v>
      </c>
      <c r="Q555" s="27">
        <v>0</v>
      </c>
      <c r="R555" s="27">
        <v>0</v>
      </c>
      <c r="S555" s="27">
        <v>0</v>
      </c>
      <c r="T555" s="27">
        <v>0</v>
      </c>
      <c r="U555" s="27">
        <v>0</v>
      </c>
      <c r="V555" s="27">
        <v>0</v>
      </c>
      <c r="W555" s="27">
        <v>0</v>
      </c>
      <c r="X555" s="508">
        <v>30900000</v>
      </c>
      <c r="Y555" s="509"/>
      <c r="Z555" s="509"/>
      <c r="AA555" s="319">
        <v>0</v>
      </c>
      <c r="AB555" s="319"/>
      <c r="AC555" s="319">
        <v>0</v>
      </c>
      <c r="AD555" s="319">
        <v>0</v>
      </c>
      <c r="AE555" s="257"/>
      <c r="AF555" s="257"/>
      <c r="AG555" s="257"/>
      <c r="AH555" s="257"/>
      <c r="AI555" s="257"/>
      <c r="AJ555" s="257"/>
      <c r="AK555" s="319">
        <v>0</v>
      </c>
      <c r="AL555" s="319">
        <v>0</v>
      </c>
      <c r="AM555" s="506">
        <v>0</v>
      </c>
      <c r="AN555" s="507"/>
      <c r="AO555" s="319">
        <v>0</v>
      </c>
      <c r="AP555" s="290">
        <v>0</v>
      </c>
      <c r="AQ555" s="290"/>
      <c r="AR555" s="525">
        <f t="shared" si="389"/>
        <v>30900000</v>
      </c>
    </row>
    <row r="556" spans="1:44" s="165" customFormat="1" ht="70.5" customHeight="1" x14ac:dyDescent="0.25">
      <c r="A556" s="20"/>
      <c r="B556" s="21"/>
      <c r="C556" s="914"/>
      <c r="D556" s="1001"/>
      <c r="E556" s="1008"/>
      <c r="F556" s="1008"/>
      <c r="G556" s="926"/>
      <c r="H556" s="767">
        <v>131</v>
      </c>
      <c r="I556" s="762" t="s">
        <v>693</v>
      </c>
      <c r="J556" s="767">
        <v>0</v>
      </c>
      <c r="K556" s="767">
        <v>2</v>
      </c>
      <c r="L556" s="510">
        <v>0.6</v>
      </c>
      <c r="M556" s="994"/>
      <c r="N556" s="949"/>
      <c r="O556" s="943"/>
      <c r="P556" s="767" t="s">
        <v>42</v>
      </c>
      <c r="Q556" s="27">
        <v>0</v>
      </c>
      <c r="R556" s="27">
        <v>0</v>
      </c>
      <c r="S556" s="27">
        <v>0</v>
      </c>
      <c r="T556" s="27">
        <v>0</v>
      </c>
      <c r="U556" s="27">
        <v>0</v>
      </c>
      <c r="V556" s="27">
        <v>0</v>
      </c>
      <c r="W556" s="27">
        <v>0</v>
      </c>
      <c r="X556" s="508">
        <v>123600000</v>
      </c>
      <c r="Y556" s="509"/>
      <c r="Z556" s="509"/>
      <c r="AA556" s="319">
        <v>0</v>
      </c>
      <c r="AB556" s="319"/>
      <c r="AC556" s="319">
        <v>0</v>
      </c>
      <c r="AD556" s="319">
        <v>0</v>
      </c>
      <c r="AE556" s="257"/>
      <c r="AF556" s="257"/>
      <c r="AG556" s="257"/>
      <c r="AH556" s="257"/>
      <c r="AI556" s="257"/>
      <c r="AJ556" s="257"/>
      <c r="AK556" s="319">
        <v>0</v>
      </c>
      <c r="AL556" s="319">
        <v>0</v>
      </c>
      <c r="AM556" s="506">
        <v>0</v>
      </c>
      <c r="AN556" s="507"/>
      <c r="AO556" s="319">
        <v>0</v>
      </c>
      <c r="AP556" s="290">
        <v>0</v>
      </c>
      <c r="AQ556" s="290"/>
      <c r="AR556" s="525">
        <f t="shared" si="389"/>
        <v>123600000</v>
      </c>
    </row>
    <row r="557" spans="1:44" s="165" customFormat="1" ht="15" x14ac:dyDescent="0.25">
      <c r="A557" s="20"/>
      <c r="B557" s="21"/>
      <c r="C557" s="761"/>
      <c r="D557" s="159"/>
      <c r="E557" s="604"/>
      <c r="F557" s="604"/>
      <c r="G557" s="160"/>
      <c r="H557" s="161"/>
      <c r="I557" s="160"/>
      <c r="J557" s="161"/>
      <c r="K557" s="161"/>
      <c r="L557" s="161"/>
      <c r="M557" s="161"/>
      <c r="N557" s="163"/>
      <c r="O557" s="160"/>
      <c r="P557" s="161"/>
      <c r="Q557" s="164">
        <f t="shared" ref="Q557:X557" si="433">SUM(Q555:Q556)</f>
        <v>0</v>
      </c>
      <c r="R557" s="164">
        <f t="shared" si="433"/>
        <v>0</v>
      </c>
      <c r="S557" s="164">
        <f t="shared" si="433"/>
        <v>0</v>
      </c>
      <c r="T557" s="164">
        <f t="shared" si="433"/>
        <v>0</v>
      </c>
      <c r="U557" s="164">
        <f t="shared" si="433"/>
        <v>0</v>
      </c>
      <c r="V557" s="164">
        <f t="shared" si="433"/>
        <v>0</v>
      </c>
      <c r="W557" s="164">
        <f t="shared" si="433"/>
        <v>0</v>
      </c>
      <c r="X557" s="164">
        <f t="shared" si="433"/>
        <v>154500000</v>
      </c>
      <c r="Y557" s="164"/>
      <c r="Z557" s="164"/>
      <c r="AA557" s="164">
        <f>SUM(AA555:AA556)</f>
        <v>0</v>
      </c>
      <c r="AB557" s="164"/>
      <c r="AC557" s="164">
        <f>SUM(AC555:AC556)</f>
        <v>0</v>
      </c>
      <c r="AD557" s="164">
        <f>SUM(AD555:AD556)</f>
        <v>0</v>
      </c>
      <c r="AE557" s="164">
        <f>SUM(AE555:AE556)</f>
        <v>0</v>
      </c>
      <c r="AF557" s="164">
        <f>SUM(AF555:AF556)</f>
        <v>0</v>
      </c>
      <c r="AG557" s="164">
        <f t="shared" ref="AG557:AJ557" si="434">SUM(AG555:AG556)</f>
        <v>0</v>
      </c>
      <c r="AH557" s="164">
        <f t="shared" si="434"/>
        <v>0</v>
      </c>
      <c r="AI557" s="164">
        <f t="shared" si="434"/>
        <v>0</v>
      </c>
      <c r="AJ557" s="164">
        <f t="shared" si="434"/>
        <v>0</v>
      </c>
      <c r="AK557" s="164">
        <f t="shared" ref="AK557:AP557" si="435">SUM(AK555:AK556)</f>
        <v>0</v>
      </c>
      <c r="AL557" s="164">
        <f t="shared" si="435"/>
        <v>0</v>
      </c>
      <c r="AM557" s="248">
        <f t="shared" si="435"/>
        <v>0</v>
      </c>
      <c r="AN557" s="248">
        <f t="shared" si="435"/>
        <v>0</v>
      </c>
      <c r="AO557" s="248">
        <f t="shared" si="435"/>
        <v>0</v>
      </c>
      <c r="AP557" s="248">
        <f t="shared" si="435"/>
        <v>0</v>
      </c>
      <c r="AQ557" s="248">
        <f t="shared" ref="AQ557" si="436">SUM(AQ555:AQ556)</f>
        <v>0</v>
      </c>
      <c r="AR557" s="394">
        <f t="shared" si="389"/>
        <v>154500000</v>
      </c>
    </row>
    <row r="558" spans="1:44" s="29" customFormat="1" ht="15" x14ac:dyDescent="0.25">
      <c r="A558" s="20"/>
      <c r="B558" s="21"/>
      <c r="C558" s="760"/>
      <c r="D558" s="183"/>
      <c r="E558" s="760"/>
      <c r="F558" s="760"/>
      <c r="G558" s="183"/>
      <c r="H558" s="760"/>
      <c r="I558" s="183"/>
      <c r="J558" s="760"/>
      <c r="K558" s="760"/>
      <c r="L558" s="830"/>
      <c r="M558" s="830"/>
      <c r="N558" s="833"/>
      <c r="O558" s="829"/>
      <c r="P558" s="760"/>
      <c r="Q558" s="186"/>
      <c r="R558" s="186"/>
      <c r="S558" s="186"/>
      <c r="T558" s="186"/>
      <c r="U558" s="186"/>
      <c r="V558" s="186"/>
      <c r="W558" s="186"/>
      <c r="X558" s="186"/>
      <c r="Y558" s="186"/>
      <c r="Z558" s="186"/>
      <c r="AA558" s="186"/>
      <c r="AB558" s="186"/>
      <c r="AC558" s="186"/>
      <c r="AD558" s="186"/>
      <c r="AE558" s="186"/>
      <c r="AF558" s="186"/>
      <c r="AG558" s="186"/>
      <c r="AH558" s="186"/>
      <c r="AI558" s="186"/>
      <c r="AJ558" s="186"/>
      <c r="AK558" s="186"/>
      <c r="AL558" s="186"/>
      <c r="AM558" s="188"/>
      <c r="AN558" s="189"/>
      <c r="AO558" s="186"/>
      <c r="AP558" s="186"/>
      <c r="AQ558" s="186"/>
      <c r="AR558" s="710"/>
    </row>
    <row r="559" spans="1:44" s="165" customFormat="1" ht="15" x14ac:dyDescent="0.25">
      <c r="A559" s="20"/>
      <c r="B559" s="21"/>
      <c r="C559" s="760"/>
      <c r="D559" s="159"/>
      <c r="E559" s="604"/>
      <c r="F559" s="604"/>
      <c r="G559" s="337">
        <v>37</v>
      </c>
      <c r="H559" s="194" t="s">
        <v>694</v>
      </c>
      <c r="I559" s="194"/>
      <c r="J559" s="194"/>
      <c r="K559" s="194"/>
      <c r="L559" s="194"/>
      <c r="M559" s="194"/>
      <c r="N559" s="194"/>
      <c r="O559" s="194"/>
      <c r="P559" s="194"/>
      <c r="Q559" s="194"/>
      <c r="R559" s="194"/>
      <c r="S559" s="194"/>
      <c r="T559" s="194"/>
      <c r="U559" s="194"/>
      <c r="V559" s="194"/>
      <c r="W559" s="194"/>
      <c r="X559" s="194"/>
      <c r="Y559" s="194"/>
      <c r="Z559" s="194"/>
      <c r="AA559" s="194"/>
      <c r="AB559" s="194"/>
      <c r="AC559" s="194"/>
      <c r="AD559" s="194"/>
      <c r="AE559" s="194"/>
      <c r="AF559" s="194"/>
      <c r="AG559" s="194"/>
      <c r="AH559" s="194"/>
      <c r="AI559" s="194"/>
      <c r="AJ559" s="194"/>
      <c r="AK559" s="194"/>
      <c r="AL559" s="194"/>
      <c r="AM559" s="196"/>
      <c r="AN559" s="194"/>
      <c r="AO559" s="194"/>
      <c r="AP559" s="194"/>
      <c r="AQ559" s="194"/>
      <c r="AR559" s="400"/>
    </row>
    <row r="560" spans="1:44" s="165" customFormat="1" ht="70.5" customHeight="1" x14ac:dyDescent="0.25">
      <c r="A560" s="20"/>
      <c r="B560" s="21"/>
      <c r="C560" s="760">
        <v>22</v>
      </c>
      <c r="D560" s="483" t="s">
        <v>695</v>
      </c>
      <c r="E560" s="605" t="s">
        <v>614</v>
      </c>
      <c r="F560" s="605" t="s">
        <v>696</v>
      </c>
      <c r="G560" s="24"/>
      <c r="H560" s="761">
        <v>132</v>
      </c>
      <c r="I560" s="762" t="s">
        <v>697</v>
      </c>
      <c r="J560" s="767" t="s">
        <v>38</v>
      </c>
      <c r="K560" s="511">
        <v>8</v>
      </c>
      <c r="L560" s="511">
        <v>12</v>
      </c>
      <c r="M560" s="924" t="s">
        <v>681</v>
      </c>
      <c r="N560" s="948" t="s">
        <v>698</v>
      </c>
      <c r="O560" s="941" t="s">
        <v>699</v>
      </c>
      <c r="P560" s="767" t="s">
        <v>42</v>
      </c>
      <c r="Q560" s="27">
        <v>0</v>
      </c>
      <c r="R560" s="27">
        <v>0</v>
      </c>
      <c r="S560" s="27">
        <v>0</v>
      </c>
      <c r="T560" s="27">
        <v>0</v>
      </c>
      <c r="U560" s="27">
        <v>0</v>
      </c>
      <c r="V560" s="27">
        <v>0</v>
      </c>
      <c r="W560" s="27">
        <v>0</v>
      </c>
      <c r="X560" s="15">
        <v>43100000</v>
      </c>
      <c r="Y560" s="15"/>
      <c r="Z560" s="15"/>
      <c r="AA560" s="27">
        <v>0</v>
      </c>
      <c r="AB560" s="27"/>
      <c r="AC560" s="319">
        <v>0</v>
      </c>
      <c r="AD560" s="319">
        <v>0</v>
      </c>
      <c r="AE560" s="257"/>
      <c r="AF560" s="257"/>
      <c r="AG560" s="257"/>
      <c r="AH560" s="257"/>
      <c r="AI560" s="257"/>
      <c r="AJ560" s="257"/>
      <c r="AK560" s="319">
        <v>0</v>
      </c>
      <c r="AL560" s="319">
        <v>0</v>
      </c>
      <c r="AM560" s="506">
        <v>0</v>
      </c>
      <c r="AN560" s="507"/>
      <c r="AO560" s="319">
        <v>0</v>
      </c>
      <c r="AP560" s="290">
        <v>0</v>
      </c>
      <c r="AQ560" s="290"/>
      <c r="AR560" s="525">
        <f t="shared" si="389"/>
        <v>43100000</v>
      </c>
    </row>
    <row r="561" spans="1:44" s="165" customFormat="1" ht="83.25" customHeight="1" x14ac:dyDescent="0.25">
      <c r="A561" s="20"/>
      <c r="B561" s="21"/>
      <c r="C561" s="760">
        <v>31</v>
      </c>
      <c r="D561" s="512" t="s">
        <v>919</v>
      </c>
      <c r="E561" s="484">
        <v>0.249</v>
      </c>
      <c r="F561" s="513">
        <v>0.2</v>
      </c>
      <c r="G561" s="30"/>
      <c r="H561" s="761">
        <v>133</v>
      </c>
      <c r="I561" s="762" t="s">
        <v>700</v>
      </c>
      <c r="J561" s="767">
        <v>0</v>
      </c>
      <c r="K561" s="511">
        <v>12</v>
      </c>
      <c r="L561" s="511">
        <v>12</v>
      </c>
      <c r="M561" s="925"/>
      <c r="N561" s="959"/>
      <c r="O561" s="942"/>
      <c r="P561" s="767" t="s">
        <v>47</v>
      </c>
      <c r="Q561" s="27">
        <v>0</v>
      </c>
      <c r="R561" s="27">
        <v>0</v>
      </c>
      <c r="S561" s="27">
        <v>0</v>
      </c>
      <c r="T561" s="27">
        <v>0</v>
      </c>
      <c r="U561" s="27">
        <v>0</v>
      </c>
      <c r="V561" s="27">
        <v>0</v>
      </c>
      <c r="W561" s="27">
        <v>0</v>
      </c>
      <c r="X561" s="15">
        <v>25750000</v>
      </c>
      <c r="Y561" s="15"/>
      <c r="Z561" s="15"/>
      <c r="AA561" s="27">
        <v>0</v>
      </c>
      <c r="AB561" s="27"/>
      <c r="AC561" s="319">
        <v>0</v>
      </c>
      <c r="AD561" s="319">
        <v>0</v>
      </c>
      <c r="AE561" s="257"/>
      <c r="AF561" s="257"/>
      <c r="AG561" s="257"/>
      <c r="AH561" s="257"/>
      <c r="AI561" s="257"/>
      <c r="AJ561" s="257"/>
      <c r="AK561" s="319">
        <v>0</v>
      </c>
      <c r="AL561" s="319">
        <v>0</v>
      </c>
      <c r="AM561" s="506">
        <v>0</v>
      </c>
      <c r="AN561" s="507"/>
      <c r="AO561" s="319">
        <v>0</v>
      </c>
      <c r="AP561" s="290">
        <v>0</v>
      </c>
      <c r="AQ561" s="290"/>
      <c r="AR561" s="525">
        <f t="shared" si="389"/>
        <v>25750000</v>
      </c>
    </row>
    <row r="562" spans="1:44" s="165" customFormat="1" ht="76.5" customHeight="1" x14ac:dyDescent="0.25">
      <c r="A562" s="20"/>
      <c r="B562" s="21"/>
      <c r="C562" s="830">
        <v>33</v>
      </c>
      <c r="D562" s="742" t="s">
        <v>701</v>
      </c>
      <c r="E562" s="722">
        <v>0</v>
      </c>
      <c r="F562" s="718">
        <v>0</v>
      </c>
      <c r="G562" s="30"/>
      <c r="H562" s="767">
        <v>134</v>
      </c>
      <c r="I562" s="762" t="s">
        <v>702</v>
      </c>
      <c r="J562" s="54">
        <v>3600</v>
      </c>
      <c r="K562" s="511">
        <v>4800</v>
      </c>
      <c r="L562" s="511">
        <v>2450</v>
      </c>
      <c r="M562" s="925"/>
      <c r="N562" s="959"/>
      <c r="O562" s="942"/>
      <c r="P562" s="767" t="s">
        <v>47</v>
      </c>
      <c r="Q562" s="27">
        <v>0</v>
      </c>
      <c r="R562" s="27">
        <v>0</v>
      </c>
      <c r="S562" s="27">
        <v>0</v>
      </c>
      <c r="T562" s="27">
        <v>0</v>
      </c>
      <c r="U562" s="27">
        <v>0</v>
      </c>
      <c r="V562" s="27">
        <v>0</v>
      </c>
      <c r="W562" s="27">
        <v>0</v>
      </c>
      <c r="X562" s="15">
        <v>54000000</v>
      </c>
      <c r="Y562" s="15"/>
      <c r="Z562" s="15"/>
      <c r="AA562" s="27">
        <v>0</v>
      </c>
      <c r="AB562" s="27"/>
      <c r="AC562" s="319">
        <v>0</v>
      </c>
      <c r="AD562" s="319">
        <v>0</v>
      </c>
      <c r="AE562" s="257"/>
      <c r="AF562" s="257"/>
      <c r="AG562" s="257"/>
      <c r="AH562" s="257"/>
      <c r="AI562" s="257"/>
      <c r="AJ562" s="257"/>
      <c r="AK562" s="319">
        <v>0</v>
      </c>
      <c r="AL562" s="319">
        <v>0</v>
      </c>
      <c r="AM562" s="506">
        <v>0</v>
      </c>
      <c r="AN562" s="507"/>
      <c r="AO562" s="319">
        <v>0</v>
      </c>
      <c r="AP562" s="290">
        <v>0</v>
      </c>
      <c r="AQ562" s="290"/>
      <c r="AR562" s="525">
        <f t="shared" si="389"/>
        <v>54000000</v>
      </c>
    </row>
    <row r="563" spans="1:44" s="165" customFormat="1" ht="84.75" customHeight="1" x14ac:dyDescent="0.25">
      <c r="A563" s="20"/>
      <c r="B563" s="21"/>
      <c r="C563" s="717">
        <v>31</v>
      </c>
      <c r="D563" s="762" t="s">
        <v>619</v>
      </c>
      <c r="E563" s="514">
        <v>0.249</v>
      </c>
      <c r="F563" s="80">
        <v>0.2</v>
      </c>
      <c r="G563" s="32"/>
      <c r="H563" s="767">
        <v>135</v>
      </c>
      <c r="I563" s="762" t="s">
        <v>703</v>
      </c>
      <c r="J563" s="54">
        <v>12</v>
      </c>
      <c r="K563" s="511">
        <v>12</v>
      </c>
      <c r="L563" s="511">
        <v>5</v>
      </c>
      <c r="M563" s="926"/>
      <c r="N563" s="949"/>
      <c r="O563" s="943"/>
      <c r="P563" s="767" t="s">
        <v>47</v>
      </c>
      <c r="Q563" s="27"/>
      <c r="R563" s="27"/>
      <c r="S563" s="27"/>
      <c r="T563" s="27"/>
      <c r="U563" s="27"/>
      <c r="V563" s="27"/>
      <c r="W563" s="27"/>
      <c r="X563" s="15">
        <v>25750000</v>
      </c>
      <c r="Y563" s="15"/>
      <c r="Z563" s="15"/>
      <c r="AA563" s="27"/>
      <c r="AB563" s="27"/>
      <c r="AC563" s="319"/>
      <c r="AD563" s="319"/>
      <c r="AE563" s="257"/>
      <c r="AF563" s="257"/>
      <c r="AG563" s="257"/>
      <c r="AH563" s="257"/>
      <c r="AI563" s="257"/>
      <c r="AJ563" s="257"/>
      <c r="AK563" s="319"/>
      <c r="AL563" s="319"/>
      <c r="AM563" s="506"/>
      <c r="AN563" s="507"/>
      <c r="AO563" s="319">
        <v>0</v>
      </c>
      <c r="AP563" s="103"/>
      <c r="AQ563" s="27"/>
      <c r="AR563" s="525">
        <f t="shared" si="389"/>
        <v>25750000</v>
      </c>
    </row>
    <row r="564" spans="1:44" s="165" customFormat="1" ht="15" x14ac:dyDescent="0.25">
      <c r="A564" s="20"/>
      <c r="B564" s="21"/>
      <c r="C564" s="761"/>
      <c r="D564" s="733"/>
      <c r="E564" s="751"/>
      <c r="F564" s="751"/>
      <c r="G564" s="160"/>
      <c r="H564" s="161"/>
      <c r="I564" s="160"/>
      <c r="J564" s="515"/>
      <c r="K564" s="515"/>
      <c r="L564" s="515"/>
      <c r="M564" s="515"/>
      <c r="N564" s="163"/>
      <c r="O564" s="160"/>
      <c r="P564" s="161"/>
      <c r="Q564" s="164">
        <f t="shared" ref="Q564:AA564" si="437">SUM(Q560:Q563)</f>
        <v>0</v>
      </c>
      <c r="R564" s="164">
        <f t="shared" si="437"/>
        <v>0</v>
      </c>
      <c r="S564" s="164">
        <f t="shared" si="437"/>
        <v>0</v>
      </c>
      <c r="T564" s="164">
        <f t="shared" si="437"/>
        <v>0</v>
      </c>
      <c r="U564" s="164">
        <f t="shared" si="437"/>
        <v>0</v>
      </c>
      <c r="V564" s="164">
        <f t="shared" si="437"/>
        <v>0</v>
      </c>
      <c r="W564" s="164">
        <f t="shared" si="437"/>
        <v>0</v>
      </c>
      <c r="X564" s="164">
        <f t="shared" si="437"/>
        <v>148600000</v>
      </c>
      <c r="Y564" s="164">
        <f t="shared" si="437"/>
        <v>0</v>
      </c>
      <c r="Z564" s="164">
        <f t="shared" si="437"/>
        <v>0</v>
      </c>
      <c r="AA564" s="164">
        <f t="shared" si="437"/>
        <v>0</v>
      </c>
      <c r="AB564" s="164"/>
      <c r="AC564" s="164">
        <f>SUM(AC560:AC563)</f>
        <v>0</v>
      </c>
      <c r="AD564" s="164">
        <f>SUM(AD560:AD563)</f>
        <v>0</v>
      </c>
      <c r="AE564" s="164">
        <f>SUM(AE560:AE563)</f>
        <v>0</v>
      </c>
      <c r="AF564" s="164">
        <f>SUM(AF560:AF563)</f>
        <v>0</v>
      </c>
      <c r="AG564" s="164"/>
      <c r="AH564" s="164">
        <f t="shared" ref="AH564:AM564" si="438">SUM(AH560:AH563)</f>
        <v>0</v>
      </c>
      <c r="AI564" s="164">
        <f t="shared" si="438"/>
        <v>0</v>
      </c>
      <c r="AJ564" s="164">
        <f t="shared" si="438"/>
        <v>0</v>
      </c>
      <c r="AK564" s="164">
        <f t="shared" si="438"/>
        <v>0</v>
      </c>
      <c r="AL564" s="164">
        <f t="shared" si="438"/>
        <v>0</v>
      </c>
      <c r="AM564" s="248">
        <f t="shared" si="438"/>
        <v>0</v>
      </c>
      <c r="AN564" s="249"/>
      <c r="AO564" s="164">
        <f>SUM(AO560:AO563)</f>
        <v>0</v>
      </c>
      <c r="AP564" s="164">
        <f>SUM(AP560:AP563)</f>
        <v>0</v>
      </c>
      <c r="AQ564" s="164">
        <f>SUM(AQ560:AQ563)</f>
        <v>0</v>
      </c>
      <c r="AR564" s="394">
        <f t="shared" si="389"/>
        <v>148600000</v>
      </c>
    </row>
    <row r="565" spans="1:44" s="165" customFormat="1" ht="15" x14ac:dyDescent="0.25">
      <c r="A565" s="20"/>
      <c r="B565" s="21"/>
      <c r="C565" s="760"/>
      <c r="D565" s="183"/>
      <c r="E565" s="760"/>
      <c r="F565" s="760"/>
      <c r="G565" s="183"/>
      <c r="H565" s="760"/>
      <c r="I565" s="183"/>
      <c r="J565" s="760"/>
      <c r="K565" s="760"/>
      <c r="L565" s="830"/>
      <c r="M565" s="830"/>
      <c r="N565" s="833"/>
      <c r="O565" s="829"/>
      <c r="P565" s="760"/>
      <c r="Q565" s="186"/>
      <c r="R565" s="186"/>
      <c r="S565" s="186"/>
      <c r="T565" s="186"/>
      <c r="U565" s="186"/>
      <c r="V565" s="186"/>
      <c r="W565" s="186"/>
      <c r="X565" s="186"/>
      <c r="Y565" s="186"/>
      <c r="Z565" s="186"/>
      <c r="AA565" s="186"/>
      <c r="AB565" s="186"/>
      <c r="AC565" s="186"/>
      <c r="AD565" s="186"/>
      <c r="AE565" s="186"/>
      <c r="AF565" s="186"/>
      <c r="AG565" s="186"/>
      <c r="AH565" s="186"/>
      <c r="AI565" s="186"/>
      <c r="AJ565" s="186"/>
      <c r="AK565" s="186"/>
      <c r="AL565" s="186"/>
      <c r="AM565" s="188"/>
      <c r="AN565" s="189"/>
      <c r="AO565" s="186"/>
      <c r="AP565" s="186"/>
      <c r="AQ565" s="186"/>
      <c r="AR565" s="710">
        <f t="shared" si="389"/>
        <v>0</v>
      </c>
    </row>
    <row r="566" spans="1:44" s="165" customFormat="1" ht="15" x14ac:dyDescent="0.25">
      <c r="A566" s="20"/>
      <c r="B566" s="21"/>
      <c r="C566" s="760"/>
      <c r="D566" s="159"/>
      <c r="E566" s="604"/>
      <c r="F566" s="604"/>
      <c r="G566" s="337">
        <v>38</v>
      </c>
      <c r="H566" s="933" t="s">
        <v>704</v>
      </c>
      <c r="I566" s="933"/>
      <c r="J566" s="933"/>
      <c r="K566" s="933"/>
      <c r="L566" s="933"/>
      <c r="M566" s="933"/>
      <c r="N566" s="933"/>
      <c r="O566" s="933"/>
      <c r="P566" s="933"/>
      <c r="Q566" s="933"/>
      <c r="R566" s="194"/>
      <c r="S566" s="194"/>
      <c r="T566" s="194"/>
      <c r="U566" s="194"/>
      <c r="V566" s="194"/>
      <c r="W566" s="194"/>
      <c r="X566" s="194"/>
      <c r="Y566" s="194"/>
      <c r="Z566" s="194"/>
      <c r="AA566" s="194"/>
      <c r="AB566" s="194"/>
      <c r="AC566" s="194"/>
      <c r="AD566" s="194"/>
      <c r="AE566" s="194"/>
      <c r="AF566" s="194"/>
      <c r="AG566" s="194"/>
      <c r="AH566" s="194"/>
      <c r="AI566" s="194"/>
      <c r="AJ566" s="194"/>
      <c r="AK566" s="194"/>
      <c r="AL566" s="194"/>
      <c r="AM566" s="196"/>
      <c r="AN566" s="194"/>
      <c r="AO566" s="194"/>
      <c r="AP566" s="194"/>
      <c r="AQ566" s="194"/>
      <c r="AR566" s="400"/>
    </row>
    <row r="567" spans="1:44" s="165" customFormat="1" ht="93" customHeight="1" x14ac:dyDescent="0.25">
      <c r="A567" s="20"/>
      <c r="B567" s="21"/>
      <c r="C567" s="965">
        <v>22</v>
      </c>
      <c r="D567" s="939" t="s">
        <v>613</v>
      </c>
      <c r="E567" s="939" t="s">
        <v>614</v>
      </c>
      <c r="F567" s="993" t="s">
        <v>615</v>
      </c>
      <c r="G567" s="516"/>
      <c r="H567" s="33">
        <v>136</v>
      </c>
      <c r="I567" s="762" t="s">
        <v>705</v>
      </c>
      <c r="J567" s="767" t="s">
        <v>38</v>
      </c>
      <c r="K567" s="517">
        <v>12</v>
      </c>
      <c r="L567" s="517">
        <v>12</v>
      </c>
      <c r="M567" s="963" t="s">
        <v>681</v>
      </c>
      <c r="N567" s="948" t="s">
        <v>706</v>
      </c>
      <c r="O567" s="941" t="s">
        <v>707</v>
      </c>
      <c r="P567" s="767" t="s">
        <v>47</v>
      </c>
      <c r="Q567" s="27">
        <v>0</v>
      </c>
      <c r="R567" s="27">
        <v>0</v>
      </c>
      <c r="S567" s="27">
        <v>0</v>
      </c>
      <c r="T567" s="27">
        <v>0</v>
      </c>
      <c r="U567" s="27">
        <v>0</v>
      </c>
      <c r="V567" s="27">
        <v>0</v>
      </c>
      <c r="W567" s="27">
        <v>0</v>
      </c>
      <c r="X567" s="15">
        <v>55750000</v>
      </c>
      <c r="Y567" s="15"/>
      <c r="Z567" s="15"/>
      <c r="AA567" s="319">
        <v>0</v>
      </c>
      <c r="AB567" s="319"/>
      <c r="AC567" s="319">
        <v>0</v>
      </c>
      <c r="AD567" s="319">
        <v>0</v>
      </c>
      <c r="AE567" s="257"/>
      <c r="AF567" s="257"/>
      <c r="AG567" s="257"/>
      <c r="AH567" s="257"/>
      <c r="AI567" s="257"/>
      <c r="AJ567" s="257"/>
      <c r="AK567" s="319">
        <v>0</v>
      </c>
      <c r="AL567" s="319">
        <v>0</v>
      </c>
      <c r="AM567" s="506">
        <v>0</v>
      </c>
      <c r="AN567" s="507"/>
      <c r="AO567" s="319">
        <v>0</v>
      </c>
      <c r="AP567" s="290">
        <v>0</v>
      </c>
      <c r="AQ567" s="290"/>
      <c r="AR567" s="525">
        <f t="shared" si="389"/>
        <v>55750000</v>
      </c>
    </row>
    <row r="568" spans="1:44" s="165" customFormat="1" ht="57" x14ac:dyDescent="0.25">
      <c r="A568" s="20"/>
      <c r="B568" s="21"/>
      <c r="C568" s="966"/>
      <c r="D568" s="940"/>
      <c r="E568" s="940"/>
      <c r="F568" s="1003"/>
      <c r="G568" s="377"/>
      <c r="H568" s="33">
        <v>137</v>
      </c>
      <c r="I568" s="762" t="s">
        <v>934</v>
      </c>
      <c r="J568" s="767">
        <v>0</v>
      </c>
      <c r="K568" s="517">
        <v>12</v>
      </c>
      <c r="L568" s="517">
        <v>12</v>
      </c>
      <c r="M568" s="1004"/>
      <c r="N568" s="959"/>
      <c r="O568" s="942"/>
      <c r="P568" s="767" t="s">
        <v>47</v>
      </c>
      <c r="Q568" s="27">
        <v>0</v>
      </c>
      <c r="R568" s="27">
        <v>0</v>
      </c>
      <c r="S568" s="27">
        <v>0</v>
      </c>
      <c r="T568" s="27">
        <v>0</v>
      </c>
      <c r="U568" s="27">
        <v>0</v>
      </c>
      <c r="V568" s="27">
        <v>0</v>
      </c>
      <c r="W568" s="27">
        <v>0</v>
      </c>
      <c r="X568" s="5">
        <v>41200000</v>
      </c>
      <c r="Y568" s="15"/>
      <c r="Z568" s="15"/>
      <c r="AA568" s="319">
        <v>0</v>
      </c>
      <c r="AB568" s="319"/>
      <c r="AC568" s="319">
        <v>0</v>
      </c>
      <c r="AD568" s="319">
        <v>0</v>
      </c>
      <c r="AE568" s="257"/>
      <c r="AF568" s="257"/>
      <c r="AG568" s="257"/>
      <c r="AH568" s="257"/>
      <c r="AI568" s="257"/>
      <c r="AJ568" s="257"/>
      <c r="AK568" s="319">
        <v>0</v>
      </c>
      <c r="AL568" s="319">
        <v>0</v>
      </c>
      <c r="AM568" s="506">
        <v>0</v>
      </c>
      <c r="AN568" s="507"/>
      <c r="AO568" s="319">
        <v>0</v>
      </c>
      <c r="AP568" s="290">
        <v>0</v>
      </c>
      <c r="AQ568" s="290"/>
      <c r="AR568" s="525">
        <f t="shared" si="389"/>
        <v>41200000</v>
      </c>
    </row>
    <row r="569" spans="1:44" s="165" customFormat="1" ht="99.75" x14ac:dyDescent="0.25">
      <c r="A569" s="20"/>
      <c r="B569" s="21"/>
      <c r="C569" s="967"/>
      <c r="D569" s="1002"/>
      <c r="E569" s="1002"/>
      <c r="F569" s="994"/>
      <c r="G569" s="377"/>
      <c r="H569" s="33">
        <v>138</v>
      </c>
      <c r="I569" s="762" t="s">
        <v>708</v>
      </c>
      <c r="J569" s="767" t="s">
        <v>38</v>
      </c>
      <c r="K569" s="33">
        <v>12</v>
      </c>
      <c r="L569" s="33">
        <v>12</v>
      </c>
      <c r="M569" s="964"/>
      <c r="N569" s="949"/>
      <c r="O569" s="943"/>
      <c r="P569" s="767" t="s">
        <v>47</v>
      </c>
      <c r="Q569" s="27">
        <v>0</v>
      </c>
      <c r="R569" s="27">
        <v>0</v>
      </c>
      <c r="S569" s="27">
        <v>0</v>
      </c>
      <c r="T569" s="27">
        <v>0</v>
      </c>
      <c r="U569" s="27">
        <v>0</v>
      </c>
      <c r="V569" s="27">
        <v>0</v>
      </c>
      <c r="W569" s="27">
        <v>0</v>
      </c>
      <c r="X569" s="5">
        <v>25750000</v>
      </c>
      <c r="Y569" s="15"/>
      <c r="Z569" s="15"/>
      <c r="AA569" s="319">
        <v>0</v>
      </c>
      <c r="AB569" s="319"/>
      <c r="AC569" s="319">
        <v>0</v>
      </c>
      <c r="AD569" s="319">
        <v>0</v>
      </c>
      <c r="AE569" s="257"/>
      <c r="AF569" s="257"/>
      <c r="AG569" s="257"/>
      <c r="AH569" s="257"/>
      <c r="AI569" s="257"/>
      <c r="AJ569" s="257"/>
      <c r="AK569" s="319">
        <v>0</v>
      </c>
      <c r="AL569" s="319">
        <v>0</v>
      </c>
      <c r="AM569" s="506">
        <v>0</v>
      </c>
      <c r="AN569" s="507"/>
      <c r="AO569" s="319">
        <v>0</v>
      </c>
      <c r="AP569" s="290">
        <v>0</v>
      </c>
      <c r="AQ569" s="290"/>
      <c r="AR569" s="525">
        <f t="shared" si="389"/>
        <v>25750000</v>
      </c>
    </row>
    <row r="570" spans="1:44" s="165" customFormat="1" ht="15" x14ac:dyDescent="0.25">
      <c r="A570" s="20"/>
      <c r="B570" s="21"/>
      <c r="C570" s="761"/>
      <c r="D570" s="159"/>
      <c r="E570" s="604"/>
      <c r="F570" s="604"/>
      <c r="G570" s="298"/>
      <c r="H570" s="311"/>
      <c r="I570" s="160"/>
      <c r="J570" s="161"/>
      <c r="K570" s="311"/>
      <c r="L570" s="311"/>
      <c r="M570" s="311"/>
      <c r="N570" s="163"/>
      <c r="O570" s="362"/>
      <c r="P570" s="161"/>
      <c r="Q570" s="164">
        <f t="shared" ref="Q570:X570" si="439">SUM(Q567:Q569)</f>
        <v>0</v>
      </c>
      <c r="R570" s="164">
        <f t="shared" si="439"/>
        <v>0</v>
      </c>
      <c r="S570" s="164">
        <f t="shared" si="439"/>
        <v>0</v>
      </c>
      <c r="T570" s="164">
        <f t="shared" si="439"/>
        <v>0</v>
      </c>
      <c r="U570" s="164">
        <f t="shared" si="439"/>
        <v>0</v>
      </c>
      <c r="V570" s="164">
        <f t="shared" si="439"/>
        <v>0</v>
      </c>
      <c r="W570" s="164">
        <f t="shared" si="439"/>
        <v>0</v>
      </c>
      <c r="X570" s="164">
        <f t="shared" si="439"/>
        <v>122700000</v>
      </c>
      <c r="Y570" s="164"/>
      <c r="Z570" s="164"/>
      <c r="AA570" s="164">
        <f>SUM(AA567:AA569)</f>
        <v>0</v>
      </c>
      <c r="AB570" s="164"/>
      <c r="AC570" s="164">
        <f>SUM(AC567:AC569)</f>
        <v>0</v>
      </c>
      <c r="AD570" s="164">
        <f>SUM(AD567:AD569)</f>
        <v>0</v>
      </c>
      <c r="AE570" s="164">
        <f>SUM(AE567:AE569)</f>
        <v>0</v>
      </c>
      <c r="AF570" s="164">
        <f>SUM(AF567:AF569)</f>
        <v>0</v>
      </c>
      <c r="AG570" s="164"/>
      <c r="AH570" s="164">
        <f t="shared" ref="AH570:AM570" si="440">SUM(AH567:AH569)</f>
        <v>0</v>
      </c>
      <c r="AI570" s="164">
        <f t="shared" si="440"/>
        <v>0</v>
      </c>
      <c r="AJ570" s="164">
        <f t="shared" si="440"/>
        <v>0</v>
      </c>
      <c r="AK570" s="164">
        <f t="shared" si="440"/>
        <v>0</v>
      </c>
      <c r="AL570" s="164">
        <f t="shared" si="440"/>
        <v>0</v>
      </c>
      <c r="AM570" s="248">
        <f t="shared" si="440"/>
        <v>0</v>
      </c>
      <c r="AN570" s="164"/>
      <c r="AO570" s="164">
        <f>SUM(AO567:AO569)</f>
        <v>0</v>
      </c>
      <c r="AP570" s="164">
        <f>SUM(AP567:AP569)</f>
        <v>0</v>
      </c>
      <c r="AQ570" s="164">
        <f>SUM(AQ567:AQ569)</f>
        <v>0</v>
      </c>
      <c r="AR570" s="394">
        <f t="shared" si="389"/>
        <v>122700000</v>
      </c>
    </row>
    <row r="571" spans="1:44" s="165" customFormat="1" ht="15" x14ac:dyDescent="0.25">
      <c r="A571" s="20"/>
      <c r="B571" s="21"/>
      <c r="C571" s="760"/>
      <c r="D571" s="183"/>
      <c r="E571" s="760"/>
      <c r="F571" s="760"/>
      <c r="G571" s="183"/>
      <c r="H571" s="760"/>
      <c r="I571" s="183"/>
      <c r="J571" s="760"/>
      <c r="K571" s="760"/>
      <c r="L571" s="830"/>
      <c r="M571" s="830"/>
      <c r="N571" s="833"/>
      <c r="O571" s="829"/>
      <c r="P571" s="760"/>
      <c r="Q571" s="186"/>
      <c r="R571" s="186"/>
      <c r="S571" s="186"/>
      <c r="T571" s="186"/>
      <c r="U571" s="186"/>
      <c r="V571" s="186"/>
      <c r="W571" s="186"/>
      <c r="X571" s="186"/>
      <c r="Y571" s="186"/>
      <c r="Z571" s="186"/>
      <c r="AA571" s="186"/>
      <c r="AB571" s="186"/>
      <c r="AC571" s="186"/>
      <c r="AD571" s="186"/>
      <c r="AE571" s="186"/>
      <c r="AF571" s="186"/>
      <c r="AG571" s="186"/>
      <c r="AH571" s="186"/>
      <c r="AI571" s="186"/>
      <c r="AJ571" s="186"/>
      <c r="AK571" s="186"/>
      <c r="AL571" s="186"/>
      <c r="AM571" s="188"/>
      <c r="AN571" s="189"/>
      <c r="AO571" s="186"/>
      <c r="AP571" s="186"/>
      <c r="AQ571" s="186"/>
      <c r="AR571" s="710"/>
    </row>
    <row r="572" spans="1:44" s="165" customFormat="1" x14ac:dyDescent="0.25">
      <c r="A572" s="20"/>
      <c r="B572" s="21"/>
      <c r="C572" s="760"/>
      <c r="D572" s="159"/>
      <c r="E572" s="604"/>
      <c r="F572" s="604"/>
      <c r="G572" s="337">
        <v>39</v>
      </c>
      <c r="H572" s="724" t="s">
        <v>709</v>
      </c>
      <c r="I572" s="194"/>
      <c r="J572" s="194"/>
      <c r="K572" s="194"/>
      <c r="L572" s="194"/>
      <c r="M572" s="194"/>
      <c r="N572" s="195"/>
      <c r="O572" s="194"/>
      <c r="P572" s="194"/>
      <c r="Q572" s="194"/>
      <c r="R572" s="194"/>
      <c r="S572" s="194"/>
      <c r="T572" s="194"/>
      <c r="U572" s="194"/>
      <c r="V572" s="194"/>
      <c r="W572" s="194"/>
      <c r="X572" s="194"/>
      <c r="Y572" s="194"/>
      <c r="Z572" s="194"/>
      <c r="AA572" s="194"/>
      <c r="AB572" s="194"/>
      <c r="AC572" s="194"/>
      <c r="AD572" s="194"/>
      <c r="AE572" s="194"/>
      <c r="AF572" s="194"/>
      <c r="AG572" s="194"/>
      <c r="AH572" s="194"/>
      <c r="AI572" s="194"/>
      <c r="AJ572" s="194"/>
      <c r="AK572" s="194"/>
      <c r="AL572" s="194"/>
      <c r="AM572" s="196"/>
      <c r="AN572" s="194"/>
      <c r="AO572" s="194"/>
      <c r="AP572" s="194"/>
      <c r="AQ572" s="194"/>
      <c r="AR572" s="400"/>
    </row>
    <row r="573" spans="1:44" s="165" customFormat="1" ht="54.95" customHeight="1" x14ac:dyDescent="0.25">
      <c r="A573" s="20"/>
      <c r="B573" s="21"/>
      <c r="C573" s="774">
        <v>36</v>
      </c>
      <c r="D573" s="518" t="s">
        <v>710</v>
      </c>
      <c r="E573" s="519">
        <v>0.4</v>
      </c>
      <c r="F573" s="520">
        <v>0.6</v>
      </c>
      <c r="G573" s="925"/>
      <c r="H573" s="767">
        <v>139</v>
      </c>
      <c r="I573" s="762" t="s">
        <v>711</v>
      </c>
      <c r="J573" s="767">
        <v>0</v>
      </c>
      <c r="K573" s="767">
        <v>1</v>
      </c>
      <c r="L573" s="767">
        <v>0.75</v>
      </c>
      <c r="M573" s="925"/>
      <c r="N573" s="948" t="s">
        <v>712</v>
      </c>
      <c r="O573" s="999" t="s">
        <v>713</v>
      </c>
      <c r="P573" s="767" t="s">
        <v>47</v>
      </c>
      <c r="Q573" s="27"/>
      <c r="R573" s="27"/>
      <c r="S573" s="27"/>
      <c r="T573" s="27"/>
      <c r="U573" s="27"/>
      <c r="V573" s="27"/>
      <c r="W573" s="27"/>
      <c r="X573" s="18">
        <v>92700000</v>
      </c>
      <c r="Y573" s="19"/>
      <c r="Z573" s="19"/>
      <c r="AA573" s="319"/>
      <c r="AB573" s="319"/>
      <c r="AC573" s="319"/>
      <c r="AD573" s="319"/>
      <c r="AE573" s="257"/>
      <c r="AF573" s="257"/>
      <c r="AG573" s="257"/>
      <c r="AH573" s="257"/>
      <c r="AI573" s="257"/>
      <c r="AJ573" s="257"/>
      <c r="AK573" s="319"/>
      <c r="AL573" s="319"/>
      <c r="AM573" s="506"/>
      <c r="AN573" s="507"/>
      <c r="AO573" s="319"/>
      <c r="AP573" s="290"/>
      <c r="AQ573" s="290"/>
      <c r="AR573" s="525">
        <f t="shared" si="389"/>
        <v>92700000</v>
      </c>
    </row>
    <row r="574" spans="1:44" s="165" customFormat="1" ht="42.75" x14ac:dyDescent="0.25">
      <c r="A574" s="20"/>
      <c r="B574" s="21"/>
      <c r="C574" s="924" t="s">
        <v>714</v>
      </c>
      <c r="D574" s="934" t="s">
        <v>715</v>
      </c>
      <c r="E574" s="995">
        <v>1</v>
      </c>
      <c r="F574" s="997">
        <v>1</v>
      </c>
      <c r="G574" s="925"/>
      <c r="H574" s="767">
        <v>140</v>
      </c>
      <c r="I574" s="762" t="s">
        <v>716</v>
      </c>
      <c r="J574" s="767">
        <v>1</v>
      </c>
      <c r="K574" s="767">
        <v>1</v>
      </c>
      <c r="L574" s="767">
        <v>0.8</v>
      </c>
      <c r="M574" s="925"/>
      <c r="N574" s="959"/>
      <c r="O574" s="1000"/>
      <c r="P574" s="767" t="s">
        <v>47</v>
      </c>
      <c r="Q574" s="27">
        <v>0</v>
      </c>
      <c r="R574" s="27">
        <v>0</v>
      </c>
      <c r="S574" s="27">
        <v>0</v>
      </c>
      <c r="T574" s="27">
        <v>0</v>
      </c>
      <c r="U574" s="27">
        <v>0</v>
      </c>
      <c r="V574" s="27">
        <v>0</v>
      </c>
      <c r="W574" s="27">
        <v>0</v>
      </c>
      <c r="X574" s="18">
        <v>25750000</v>
      </c>
      <c r="Y574" s="19"/>
      <c r="Z574" s="19"/>
      <c r="AA574" s="319">
        <v>0</v>
      </c>
      <c r="AB574" s="319"/>
      <c r="AC574" s="319">
        <v>0</v>
      </c>
      <c r="AD574" s="319">
        <v>0</v>
      </c>
      <c r="AE574" s="257"/>
      <c r="AF574" s="257"/>
      <c r="AG574" s="257"/>
      <c r="AH574" s="257"/>
      <c r="AI574" s="257"/>
      <c r="AJ574" s="257"/>
      <c r="AK574" s="319">
        <v>0</v>
      </c>
      <c r="AL574" s="319">
        <v>0</v>
      </c>
      <c r="AM574" s="506">
        <v>0</v>
      </c>
      <c r="AN574" s="507"/>
      <c r="AO574" s="319">
        <v>0</v>
      </c>
      <c r="AP574" s="290">
        <v>0</v>
      </c>
      <c r="AQ574" s="290"/>
      <c r="AR574" s="525">
        <f t="shared" si="389"/>
        <v>25750000</v>
      </c>
    </row>
    <row r="575" spans="1:44" s="165" customFormat="1" ht="57" x14ac:dyDescent="0.25">
      <c r="A575" s="20"/>
      <c r="B575" s="21"/>
      <c r="C575" s="926"/>
      <c r="D575" s="935"/>
      <c r="E575" s="996"/>
      <c r="F575" s="998"/>
      <c r="G575" s="926"/>
      <c r="H575" s="767">
        <v>141</v>
      </c>
      <c r="I575" s="762" t="s">
        <v>717</v>
      </c>
      <c r="J575" s="767" t="s">
        <v>38</v>
      </c>
      <c r="K575" s="767">
        <v>1</v>
      </c>
      <c r="L575" s="767">
        <v>0.8</v>
      </c>
      <c r="M575" s="926"/>
      <c r="N575" s="949"/>
      <c r="O575" s="1001"/>
      <c r="P575" s="767" t="s">
        <v>47</v>
      </c>
      <c r="Q575" s="27">
        <v>0</v>
      </c>
      <c r="R575" s="27">
        <v>0</v>
      </c>
      <c r="S575" s="27">
        <v>0</v>
      </c>
      <c r="T575" s="27">
        <v>0</v>
      </c>
      <c r="U575" s="27">
        <v>0</v>
      </c>
      <c r="V575" s="27">
        <v>0</v>
      </c>
      <c r="W575" s="27">
        <v>0</v>
      </c>
      <c r="X575" s="18">
        <v>25750000</v>
      </c>
      <c r="Y575" s="19"/>
      <c r="Z575" s="19"/>
      <c r="AA575" s="319">
        <v>0</v>
      </c>
      <c r="AB575" s="319"/>
      <c r="AC575" s="319">
        <v>0</v>
      </c>
      <c r="AD575" s="319">
        <v>0</v>
      </c>
      <c r="AE575" s="257"/>
      <c r="AF575" s="257"/>
      <c r="AG575" s="257"/>
      <c r="AH575" s="257"/>
      <c r="AI575" s="257"/>
      <c r="AJ575" s="257"/>
      <c r="AK575" s="319">
        <v>0</v>
      </c>
      <c r="AL575" s="319">
        <v>0</v>
      </c>
      <c r="AM575" s="506">
        <v>0</v>
      </c>
      <c r="AN575" s="507"/>
      <c r="AO575" s="319">
        <v>0</v>
      </c>
      <c r="AP575" s="290">
        <v>0</v>
      </c>
      <c r="AQ575" s="290"/>
      <c r="AR575" s="525">
        <f t="shared" si="389"/>
        <v>25750000</v>
      </c>
    </row>
    <row r="576" spans="1:44" s="165" customFormat="1" ht="15" x14ac:dyDescent="0.25">
      <c r="A576" s="20"/>
      <c r="B576" s="21"/>
      <c r="C576" s="761"/>
      <c r="D576" s="159"/>
      <c r="E576" s="604"/>
      <c r="F576" s="604"/>
      <c r="G576" s="160"/>
      <c r="H576" s="161"/>
      <c r="I576" s="160"/>
      <c r="J576" s="161"/>
      <c r="K576" s="161"/>
      <c r="L576" s="161"/>
      <c r="M576" s="161"/>
      <c r="N576" s="163"/>
      <c r="O576" s="160"/>
      <c r="P576" s="161"/>
      <c r="Q576" s="164">
        <f t="shared" ref="Q576:X576" si="441">SUM(Q573:Q575)</f>
        <v>0</v>
      </c>
      <c r="R576" s="164">
        <f t="shared" si="441"/>
        <v>0</v>
      </c>
      <c r="S576" s="164">
        <f t="shared" si="441"/>
        <v>0</v>
      </c>
      <c r="T576" s="164">
        <f t="shared" si="441"/>
        <v>0</v>
      </c>
      <c r="U576" s="164">
        <f t="shared" si="441"/>
        <v>0</v>
      </c>
      <c r="V576" s="164">
        <f t="shared" si="441"/>
        <v>0</v>
      </c>
      <c r="W576" s="164">
        <f t="shared" si="441"/>
        <v>0</v>
      </c>
      <c r="X576" s="164">
        <f t="shared" si="441"/>
        <v>144200000</v>
      </c>
      <c r="Y576" s="164"/>
      <c r="Z576" s="164"/>
      <c r="AA576" s="164">
        <f>SUM(AA573:AA575)</f>
        <v>0</v>
      </c>
      <c r="AB576" s="164"/>
      <c r="AC576" s="164">
        <f>SUM(AC573:AC575)</f>
        <v>0</v>
      </c>
      <c r="AD576" s="164">
        <f>SUM(AD573:AD575)</f>
        <v>0</v>
      </c>
      <c r="AE576" s="164">
        <f>SUM(AE573:AE575)</f>
        <v>0</v>
      </c>
      <c r="AF576" s="164">
        <f>SUM(AF573:AF575)</f>
        <v>0</v>
      </c>
      <c r="AG576" s="164"/>
      <c r="AH576" s="164">
        <f t="shared" ref="AH576:AM576" si="442">SUM(AH573:AH575)</f>
        <v>0</v>
      </c>
      <c r="AI576" s="164">
        <f t="shared" si="442"/>
        <v>0</v>
      </c>
      <c r="AJ576" s="164">
        <f t="shared" si="442"/>
        <v>0</v>
      </c>
      <c r="AK576" s="164">
        <f t="shared" si="442"/>
        <v>0</v>
      </c>
      <c r="AL576" s="164">
        <f t="shared" si="442"/>
        <v>0</v>
      </c>
      <c r="AM576" s="248">
        <f t="shared" si="442"/>
        <v>0</v>
      </c>
      <c r="AN576" s="164"/>
      <c r="AO576" s="164">
        <f>SUM(AO573:AO575)</f>
        <v>0</v>
      </c>
      <c r="AP576" s="164">
        <f>SUM(AP573:AP575)</f>
        <v>0</v>
      </c>
      <c r="AQ576" s="164">
        <f>SUM(AQ573:AQ575)</f>
        <v>0</v>
      </c>
      <c r="AR576" s="394">
        <f t="shared" si="389"/>
        <v>144200000</v>
      </c>
    </row>
    <row r="577" spans="1:44" s="165" customFormat="1" ht="15" x14ac:dyDescent="0.25">
      <c r="A577" s="20"/>
      <c r="B577" s="21"/>
      <c r="C577" s="760"/>
      <c r="D577" s="183"/>
      <c r="E577" s="760"/>
      <c r="F577" s="760"/>
      <c r="G577" s="183"/>
      <c r="H577" s="760"/>
      <c r="I577" s="183"/>
      <c r="J577" s="760"/>
      <c r="K577" s="760"/>
      <c r="L577" s="830"/>
      <c r="M577" s="830"/>
      <c r="N577" s="833"/>
      <c r="O577" s="829"/>
      <c r="P577" s="760"/>
      <c r="Q577" s="186"/>
      <c r="R577" s="186"/>
      <c r="S577" s="186"/>
      <c r="T577" s="186"/>
      <c r="U577" s="186"/>
      <c r="V577" s="186"/>
      <c r="W577" s="186"/>
      <c r="X577" s="186"/>
      <c r="Y577" s="186"/>
      <c r="Z577" s="186"/>
      <c r="AA577" s="186"/>
      <c r="AB577" s="186"/>
      <c r="AC577" s="186"/>
      <c r="AD577" s="186"/>
      <c r="AE577" s="186"/>
      <c r="AF577" s="186"/>
      <c r="AG577" s="186"/>
      <c r="AH577" s="186"/>
      <c r="AI577" s="186"/>
      <c r="AJ577" s="186"/>
      <c r="AK577" s="186"/>
      <c r="AL577" s="186"/>
      <c r="AM577" s="188"/>
      <c r="AN577" s="189"/>
      <c r="AO577" s="186"/>
      <c r="AP577" s="186"/>
      <c r="AQ577" s="186"/>
      <c r="AR577" s="710"/>
    </row>
    <row r="578" spans="1:44" s="165" customFormat="1" ht="15" x14ac:dyDescent="0.25">
      <c r="A578" s="20"/>
      <c r="B578" s="21"/>
      <c r="C578" s="760"/>
      <c r="D578" s="159"/>
      <c r="E578" s="604"/>
      <c r="F578" s="604"/>
      <c r="G578" s="337">
        <v>40</v>
      </c>
      <c r="H578" s="194" t="s">
        <v>718</v>
      </c>
      <c r="I578" s="194"/>
      <c r="J578" s="194"/>
      <c r="K578" s="194"/>
      <c r="L578" s="194"/>
      <c r="M578" s="194"/>
      <c r="N578" s="194"/>
      <c r="O578" s="194"/>
      <c r="P578" s="194"/>
      <c r="Q578" s="194"/>
      <c r="R578" s="194"/>
      <c r="S578" s="194"/>
      <c r="T578" s="194"/>
      <c r="U578" s="194"/>
      <c r="V578" s="194"/>
      <c r="W578" s="194"/>
      <c r="X578" s="194"/>
      <c r="Y578" s="194"/>
      <c r="Z578" s="194"/>
      <c r="AA578" s="194"/>
      <c r="AB578" s="194"/>
      <c r="AC578" s="194"/>
      <c r="AD578" s="194"/>
      <c r="AE578" s="194"/>
      <c r="AF578" s="194"/>
      <c r="AG578" s="194"/>
      <c r="AH578" s="194"/>
      <c r="AI578" s="194"/>
      <c r="AJ578" s="194"/>
      <c r="AK578" s="194"/>
      <c r="AL578" s="194"/>
      <c r="AM578" s="196"/>
      <c r="AN578" s="194"/>
      <c r="AO578" s="194"/>
      <c r="AP578" s="194"/>
      <c r="AQ578" s="194"/>
      <c r="AR578" s="400"/>
    </row>
    <row r="579" spans="1:44" s="165" customFormat="1" ht="93" customHeight="1" x14ac:dyDescent="0.25">
      <c r="A579" s="20"/>
      <c r="B579" s="21"/>
      <c r="C579" s="521">
        <v>26</v>
      </c>
      <c r="D579" s="522" t="s">
        <v>719</v>
      </c>
      <c r="E579" s="605" t="s">
        <v>720</v>
      </c>
      <c r="F579" s="605" t="s">
        <v>721</v>
      </c>
      <c r="G579" s="24"/>
      <c r="H579" s="761">
        <v>142</v>
      </c>
      <c r="I579" s="762" t="s">
        <v>722</v>
      </c>
      <c r="J579" s="767" t="s">
        <v>38</v>
      </c>
      <c r="K579" s="767">
        <v>12</v>
      </c>
      <c r="L579" s="523">
        <v>0</v>
      </c>
      <c r="M579" s="924" t="s">
        <v>681</v>
      </c>
      <c r="N579" s="948" t="s">
        <v>723</v>
      </c>
      <c r="O579" s="941" t="s">
        <v>724</v>
      </c>
      <c r="P579" s="767" t="s">
        <v>47</v>
      </c>
      <c r="Q579" s="27">
        <v>0</v>
      </c>
      <c r="R579" s="27">
        <v>0</v>
      </c>
      <c r="S579" s="27">
        <v>0</v>
      </c>
      <c r="T579" s="27">
        <v>0</v>
      </c>
      <c r="U579" s="27">
        <v>0</v>
      </c>
      <c r="V579" s="27">
        <v>0</v>
      </c>
      <c r="W579" s="27">
        <v>0</v>
      </c>
      <c r="X579" s="5">
        <v>6147580</v>
      </c>
      <c r="Y579" s="15"/>
      <c r="Z579" s="15"/>
      <c r="AA579" s="27">
        <v>56000000</v>
      </c>
      <c r="AB579" s="319"/>
      <c r="AC579" s="319">
        <v>0</v>
      </c>
      <c r="AD579" s="319">
        <v>0</v>
      </c>
      <c r="AE579" s="257"/>
      <c r="AF579" s="257"/>
      <c r="AG579" s="257"/>
      <c r="AH579" s="257"/>
      <c r="AI579" s="257"/>
      <c r="AJ579" s="257"/>
      <c r="AK579" s="319">
        <v>0</v>
      </c>
      <c r="AL579" s="319">
        <v>0</v>
      </c>
      <c r="AM579" s="506">
        <v>0</v>
      </c>
      <c r="AN579" s="507"/>
      <c r="AO579" s="319">
        <v>0</v>
      </c>
      <c r="AP579" s="60">
        <v>0</v>
      </c>
      <c r="AQ579" s="60"/>
      <c r="AR579" s="525">
        <f t="shared" si="389"/>
        <v>62147580</v>
      </c>
    </row>
    <row r="580" spans="1:44" s="165" customFormat="1" ht="90.75" customHeight="1" x14ac:dyDescent="0.25">
      <c r="A580" s="20"/>
      <c r="B580" s="21"/>
      <c r="C580" s="760">
        <v>30</v>
      </c>
      <c r="D580" s="524" t="s">
        <v>725</v>
      </c>
      <c r="E580" s="486" t="s">
        <v>726</v>
      </c>
      <c r="F580" s="486" t="s">
        <v>726</v>
      </c>
      <c r="G580" s="30"/>
      <c r="H580" s="761">
        <v>143</v>
      </c>
      <c r="I580" s="762" t="s">
        <v>727</v>
      </c>
      <c r="J580" s="767">
        <v>1</v>
      </c>
      <c r="K580" s="767">
        <v>1</v>
      </c>
      <c r="L580" s="510">
        <v>0.6</v>
      </c>
      <c r="M580" s="926"/>
      <c r="N580" s="949"/>
      <c r="O580" s="943"/>
      <c r="P580" s="767" t="s">
        <v>47</v>
      </c>
      <c r="Q580" s="27">
        <v>0</v>
      </c>
      <c r="R580" s="27">
        <v>0</v>
      </c>
      <c r="S580" s="27">
        <v>0</v>
      </c>
      <c r="T580" s="27">
        <v>0</v>
      </c>
      <c r="U580" s="27">
        <v>0</v>
      </c>
      <c r="V580" s="27">
        <v>0</v>
      </c>
      <c r="W580" s="27">
        <v>0</v>
      </c>
      <c r="X580" s="5"/>
      <c r="Y580" s="15"/>
      <c r="Z580" s="15"/>
      <c r="AA580" s="27">
        <v>20000000</v>
      </c>
      <c r="AB580" s="319"/>
      <c r="AC580" s="319">
        <v>0</v>
      </c>
      <c r="AD580" s="319">
        <v>0</v>
      </c>
      <c r="AE580" s="257"/>
      <c r="AF580" s="257"/>
      <c r="AG580" s="257"/>
      <c r="AH580" s="257"/>
      <c r="AI580" s="257"/>
      <c r="AJ580" s="257"/>
      <c r="AK580" s="319">
        <v>0</v>
      </c>
      <c r="AL580" s="319">
        <v>0</v>
      </c>
      <c r="AM580" s="506">
        <v>0</v>
      </c>
      <c r="AN580" s="507"/>
      <c r="AO580" s="319">
        <v>0</v>
      </c>
      <c r="AP580" s="290">
        <v>0</v>
      </c>
      <c r="AQ580" s="290"/>
      <c r="AR580" s="525">
        <f t="shared" si="389"/>
        <v>20000000</v>
      </c>
    </row>
    <row r="581" spans="1:44" s="29" customFormat="1" ht="98.25" customHeight="1" x14ac:dyDescent="0.25">
      <c r="A581" s="20"/>
      <c r="B581" s="21"/>
      <c r="C581" s="761" t="s">
        <v>714</v>
      </c>
      <c r="D581" s="731" t="s">
        <v>728</v>
      </c>
      <c r="E581" s="723">
        <v>10</v>
      </c>
      <c r="F581" s="723" t="s">
        <v>729</v>
      </c>
      <c r="G581" s="30"/>
      <c r="H581" s="761">
        <v>144</v>
      </c>
      <c r="I581" s="762" t="s">
        <v>730</v>
      </c>
      <c r="J581" s="767">
        <v>5</v>
      </c>
      <c r="K581" s="767">
        <v>5</v>
      </c>
      <c r="L581" s="523">
        <v>5</v>
      </c>
      <c r="M581" s="924" t="s">
        <v>681</v>
      </c>
      <c r="N581" s="948" t="s">
        <v>731</v>
      </c>
      <c r="O581" s="942" t="s">
        <v>732</v>
      </c>
      <c r="P581" s="767" t="s">
        <v>47</v>
      </c>
      <c r="Q581" s="27">
        <v>0</v>
      </c>
      <c r="R581" s="27">
        <v>0</v>
      </c>
      <c r="S581" s="27">
        <v>0</v>
      </c>
      <c r="T581" s="27">
        <v>0</v>
      </c>
      <c r="U581" s="27">
        <v>0</v>
      </c>
      <c r="V581" s="27">
        <v>0</v>
      </c>
      <c r="W581" s="27">
        <v>0</v>
      </c>
      <c r="X581" s="15">
        <f>145101160+25000000</f>
        <v>170101160</v>
      </c>
      <c r="Y581" s="15"/>
      <c r="Z581" s="15"/>
      <c r="AA581" s="27">
        <v>24000000</v>
      </c>
      <c r="AB581" s="27"/>
      <c r="AC581" s="27">
        <v>0</v>
      </c>
      <c r="AD581" s="78"/>
      <c r="AE581" s="27"/>
      <c r="AF581" s="27"/>
      <c r="AG581" s="27"/>
      <c r="AH581" s="27"/>
      <c r="AI581" s="27"/>
      <c r="AJ581" s="27"/>
      <c r="AK581" s="27">
        <v>0</v>
      </c>
      <c r="AL581" s="27">
        <v>0</v>
      </c>
      <c r="AM581" s="108">
        <v>0</v>
      </c>
      <c r="AN581" s="40"/>
      <c r="AO581" s="27">
        <v>0</v>
      </c>
      <c r="AP581" s="27">
        <f>131211561+6400000+5263604+7383+60459865+66930000</f>
        <v>270272413</v>
      </c>
      <c r="AQ581" s="27"/>
      <c r="AR581" s="525">
        <f t="shared" si="389"/>
        <v>464373573</v>
      </c>
    </row>
    <row r="582" spans="1:44" s="165" customFormat="1" ht="91.5" customHeight="1" x14ac:dyDescent="0.25">
      <c r="A582" s="20"/>
      <c r="B582" s="21"/>
      <c r="C582" s="761" t="s">
        <v>714</v>
      </c>
      <c r="D582" s="762" t="s">
        <v>733</v>
      </c>
      <c r="E582" s="767" t="s">
        <v>734</v>
      </c>
      <c r="F582" s="80">
        <v>0.8</v>
      </c>
      <c r="G582" s="30"/>
      <c r="H582" s="761">
        <v>145</v>
      </c>
      <c r="I582" s="762" t="s">
        <v>735</v>
      </c>
      <c r="J582" s="41" t="s">
        <v>38</v>
      </c>
      <c r="K582" s="54">
        <v>1</v>
      </c>
      <c r="L582" s="672">
        <v>1</v>
      </c>
      <c r="M582" s="926"/>
      <c r="N582" s="949"/>
      <c r="O582" s="943"/>
      <c r="P582" s="767" t="s">
        <v>47</v>
      </c>
      <c r="Q582" s="27">
        <v>0</v>
      </c>
      <c r="R582" s="27">
        <v>0</v>
      </c>
      <c r="S582" s="27">
        <v>0</v>
      </c>
      <c r="T582" s="27">
        <v>0</v>
      </c>
      <c r="U582" s="27">
        <v>0</v>
      </c>
      <c r="V582" s="27">
        <v>0</v>
      </c>
      <c r="W582" s="27">
        <v>0</v>
      </c>
      <c r="X582" s="15">
        <v>88395537.9969109</v>
      </c>
      <c r="Y582" s="15"/>
      <c r="Z582" s="15"/>
      <c r="AA582" s="27">
        <v>0</v>
      </c>
      <c r="AB582" s="27"/>
      <c r="AC582" s="27">
        <v>0</v>
      </c>
      <c r="AD582" s="27">
        <v>0</v>
      </c>
      <c r="AE582" s="27"/>
      <c r="AF582" s="27"/>
      <c r="AG582" s="27"/>
      <c r="AH582" s="27"/>
      <c r="AI582" s="27"/>
      <c r="AJ582" s="27"/>
      <c r="AK582" s="27">
        <v>0</v>
      </c>
      <c r="AL582" s="27">
        <v>0</v>
      </c>
      <c r="AM582" s="108">
        <v>0</v>
      </c>
      <c r="AN582" s="40"/>
      <c r="AO582" s="27">
        <v>0</v>
      </c>
      <c r="AP582" s="28">
        <v>0</v>
      </c>
      <c r="AQ582" s="28"/>
      <c r="AR582" s="525">
        <f t="shared" si="389"/>
        <v>88395537.9969109</v>
      </c>
    </row>
    <row r="583" spans="1:44" s="165" customFormat="1" ht="86.25" customHeight="1" x14ac:dyDescent="0.25">
      <c r="A583" s="20"/>
      <c r="B583" s="21"/>
      <c r="C583" s="761" t="s">
        <v>714</v>
      </c>
      <c r="D583" s="762" t="s">
        <v>736</v>
      </c>
      <c r="E583" s="80">
        <v>0.68</v>
      </c>
      <c r="F583" s="80">
        <v>0.73</v>
      </c>
      <c r="G583" s="32"/>
      <c r="H583" s="761">
        <v>146</v>
      </c>
      <c r="I583" s="762" t="s">
        <v>737</v>
      </c>
      <c r="J583" s="767" t="s">
        <v>38</v>
      </c>
      <c r="K583" s="767">
        <v>1</v>
      </c>
      <c r="L583" s="510">
        <v>0.5</v>
      </c>
      <c r="M583" s="767" t="s">
        <v>681</v>
      </c>
      <c r="N583" s="39" t="s">
        <v>738</v>
      </c>
      <c r="O583" s="762" t="s">
        <v>739</v>
      </c>
      <c r="P583" s="767" t="s">
        <v>47</v>
      </c>
      <c r="Q583" s="27">
        <v>0</v>
      </c>
      <c r="R583" s="27">
        <v>0</v>
      </c>
      <c r="S583" s="27">
        <v>0</v>
      </c>
      <c r="T583" s="27">
        <v>0</v>
      </c>
      <c r="U583" s="27">
        <v>0</v>
      </c>
      <c r="V583" s="27">
        <v>0</v>
      </c>
      <c r="W583" s="27">
        <v>0</v>
      </c>
      <c r="X583" s="15">
        <v>24590320</v>
      </c>
      <c r="Y583" s="15"/>
      <c r="Z583" s="15"/>
      <c r="AA583" s="27"/>
      <c r="AB583" s="27"/>
      <c r="AC583" s="27">
        <v>0</v>
      </c>
      <c r="AD583" s="27">
        <v>25351743</v>
      </c>
      <c r="AE583" s="27"/>
      <c r="AF583" s="27"/>
      <c r="AG583" s="27"/>
      <c r="AH583" s="27"/>
      <c r="AI583" s="27"/>
      <c r="AJ583" s="27"/>
      <c r="AK583" s="27">
        <v>0</v>
      </c>
      <c r="AL583" s="27">
        <v>0</v>
      </c>
      <c r="AM583" s="108">
        <v>0</v>
      </c>
      <c r="AN583" s="40"/>
      <c r="AO583" s="27">
        <v>0</v>
      </c>
      <c r="AP583" s="28">
        <f>167667454+61389691+214744+1413082-25351743</f>
        <v>205333228</v>
      </c>
      <c r="AQ583" s="28"/>
      <c r="AR583" s="525">
        <f t="shared" si="389"/>
        <v>255275291</v>
      </c>
    </row>
    <row r="584" spans="1:44" s="165" customFormat="1" ht="15" x14ac:dyDescent="0.25">
      <c r="A584" s="20"/>
      <c r="B584" s="21"/>
      <c r="C584" s="761"/>
      <c r="D584" s="159"/>
      <c r="E584" s="604"/>
      <c r="F584" s="604"/>
      <c r="G584" s="160"/>
      <c r="H584" s="161"/>
      <c r="I584" s="160"/>
      <c r="J584" s="161"/>
      <c r="K584" s="161"/>
      <c r="L584" s="161"/>
      <c r="M584" s="161"/>
      <c r="N584" s="163"/>
      <c r="O584" s="160"/>
      <c r="P584" s="161"/>
      <c r="Q584" s="164">
        <f t="shared" ref="Q584:AP584" si="443">SUM(Q579:Q583)</f>
        <v>0</v>
      </c>
      <c r="R584" s="164">
        <f t="shared" si="443"/>
        <v>0</v>
      </c>
      <c r="S584" s="164">
        <f t="shared" si="443"/>
        <v>0</v>
      </c>
      <c r="T584" s="164">
        <f t="shared" si="443"/>
        <v>0</v>
      </c>
      <c r="U584" s="164">
        <f t="shared" si="443"/>
        <v>0</v>
      </c>
      <c r="V584" s="164">
        <f t="shared" si="443"/>
        <v>0</v>
      </c>
      <c r="W584" s="164">
        <f t="shared" si="443"/>
        <v>0</v>
      </c>
      <c r="X584" s="164">
        <f t="shared" si="443"/>
        <v>289234597.99691093</v>
      </c>
      <c r="Y584" s="164"/>
      <c r="Z584" s="164"/>
      <c r="AA584" s="164">
        <f t="shared" si="443"/>
        <v>100000000</v>
      </c>
      <c r="AB584" s="164"/>
      <c r="AC584" s="164">
        <f t="shared" si="443"/>
        <v>0</v>
      </c>
      <c r="AD584" s="164">
        <f t="shared" si="443"/>
        <v>25351743</v>
      </c>
      <c r="AE584" s="164">
        <f t="shared" si="443"/>
        <v>0</v>
      </c>
      <c r="AF584" s="164">
        <f t="shared" si="443"/>
        <v>0</v>
      </c>
      <c r="AG584" s="164">
        <f t="shared" si="443"/>
        <v>0</v>
      </c>
      <c r="AH584" s="164">
        <f t="shared" si="443"/>
        <v>0</v>
      </c>
      <c r="AI584" s="164">
        <f t="shared" si="443"/>
        <v>0</v>
      </c>
      <c r="AJ584" s="164">
        <f t="shared" si="443"/>
        <v>0</v>
      </c>
      <c r="AK584" s="164">
        <f t="shared" si="443"/>
        <v>0</v>
      </c>
      <c r="AL584" s="164">
        <f t="shared" si="443"/>
        <v>0</v>
      </c>
      <c r="AM584" s="164">
        <f t="shared" si="443"/>
        <v>0</v>
      </c>
      <c r="AN584" s="164">
        <f t="shared" si="443"/>
        <v>0</v>
      </c>
      <c r="AO584" s="164">
        <f t="shared" si="443"/>
        <v>0</v>
      </c>
      <c r="AP584" s="164">
        <f t="shared" si="443"/>
        <v>475605641</v>
      </c>
      <c r="AQ584" s="164">
        <f t="shared" ref="AQ584" si="444">SUM(AQ579:AQ583)</f>
        <v>0</v>
      </c>
      <c r="AR584" s="394">
        <f t="shared" si="389"/>
        <v>890191981.99691093</v>
      </c>
    </row>
    <row r="585" spans="1:44" s="165" customFormat="1" ht="15" x14ac:dyDescent="0.25">
      <c r="A585" s="20"/>
      <c r="B585" s="21"/>
      <c r="C585" s="760"/>
      <c r="D585" s="183"/>
      <c r="E585" s="760"/>
      <c r="F585" s="760"/>
      <c r="G585" s="183"/>
      <c r="H585" s="760"/>
      <c r="I585" s="183"/>
      <c r="J585" s="760"/>
      <c r="K585" s="760"/>
      <c r="L585" s="830"/>
      <c r="M585" s="830"/>
      <c r="N585" s="833"/>
      <c r="O585" s="829"/>
      <c r="P585" s="760"/>
      <c r="Q585" s="186"/>
      <c r="R585" s="186"/>
      <c r="S585" s="186"/>
      <c r="T585" s="186"/>
      <c r="U585" s="186"/>
      <c r="V585" s="186"/>
      <c r="W585" s="186"/>
      <c r="X585" s="186"/>
      <c r="Y585" s="186"/>
      <c r="Z585" s="186"/>
      <c r="AA585" s="186"/>
      <c r="AB585" s="186"/>
      <c r="AC585" s="186"/>
      <c r="AD585" s="186"/>
      <c r="AE585" s="186"/>
      <c r="AF585" s="186"/>
      <c r="AG585" s="186"/>
      <c r="AH585" s="186"/>
      <c r="AI585" s="186"/>
      <c r="AJ585" s="186"/>
      <c r="AK585" s="186"/>
      <c r="AL585" s="186"/>
      <c r="AM585" s="188"/>
      <c r="AN585" s="189"/>
      <c r="AO585" s="186"/>
      <c r="AP585" s="186"/>
      <c r="AQ585" s="186"/>
      <c r="AR585" s="710"/>
    </row>
    <row r="586" spans="1:44" s="165" customFormat="1" ht="15" x14ac:dyDescent="0.25">
      <c r="A586" s="20"/>
      <c r="B586" s="21"/>
      <c r="C586" s="760"/>
      <c r="D586" s="159"/>
      <c r="E586" s="604"/>
      <c r="F586" s="604"/>
      <c r="G586" s="337">
        <v>41</v>
      </c>
      <c r="H586" s="933" t="s">
        <v>740</v>
      </c>
      <c r="I586" s="933"/>
      <c r="J586" s="933"/>
      <c r="K586" s="933"/>
      <c r="L586" s="933"/>
      <c r="M586" s="933"/>
      <c r="N586" s="933"/>
      <c r="O586" s="933"/>
      <c r="P586" s="933"/>
      <c r="Q586" s="933"/>
      <c r="R586" s="194"/>
      <c r="S586" s="194"/>
      <c r="T586" s="194"/>
      <c r="U586" s="194"/>
      <c r="V586" s="194"/>
      <c r="W586" s="194"/>
      <c r="X586" s="194"/>
      <c r="Y586" s="194"/>
      <c r="Z586" s="194"/>
      <c r="AA586" s="194"/>
      <c r="AB586" s="194"/>
      <c r="AC586" s="194"/>
      <c r="AD586" s="194"/>
      <c r="AE586" s="194"/>
      <c r="AF586" s="194"/>
      <c r="AG586" s="194"/>
      <c r="AH586" s="194"/>
      <c r="AI586" s="194"/>
      <c r="AJ586" s="194"/>
      <c r="AK586" s="194"/>
      <c r="AL586" s="194"/>
      <c r="AM586" s="196"/>
      <c r="AN586" s="194"/>
      <c r="AO586" s="194"/>
      <c r="AP586" s="194"/>
      <c r="AQ586" s="194"/>
      <c r="AR586" s="400"/>
    </row>
    <row r="587" spans="1:44" s="165" customFormat="1" ht="51.75" customHeight="1" x14ac:dyDescent="0.25">
      <c r="A587" s="20"/>
      <c r="B587" s="21"/>
      <c r="C587" s="965">
        <v>28</v>
      </c>
      <c r="D587" s="989" t="s">
        <v>920</v>
      </c>
      <c r="E587" s="991">
        <v>0.5</v>
      </c>
      <c r="F587" s="991">
        <v>1</v>
      </c>
      <c r="G587" s="993"/>
      <c r="H587" s="761">
        <v>147</v>
      </c>
      <c r="I587" s="762" t="s">
        <v>741</v>
      </c>
      <c r="J587" s="767">
        <v>14</v>
      </c>
      <c r="K587" s="767">
        <v>14</v>
      </c>
      <c r="L587" s="767">
        <v>0</v>
      </c>
      <c r="M587" s="924" t="s">
        <v>681</v>
      </c>
      <c r="N587" s="948" t="s">
        <v>742</v>
      </c>
      <c r="O587" s="941" t="s">
        <v>743</v>
      </c>
      <c r="P587" s="767" t="s">
        <v>47</v>
      </c>
      <c r="Q587" s="27">
        <v>0</v>
      </c>
      <c r="R587" s="27">
        <v>0</v>
      </c>
      <c r="S587" s="27">
        <v>0</v>
      </c>
      <c r="T587" s="27">
        <v>0</v>
      </c>
      <c r="U587" s="27">
        <v>0</v>
      </c>
      <c r="V587" s="27">
        <v>0</v>
      </c>
      <c r="W587" s="27">
        <v>0</v>
      </c>
      <c r="X587" s="5">
        <v>5150000</v>
      </c>
      <c r="Y587" s="15"/>
      <c r="Z587" s="15"/>
      <c r="AA587" s="319">
        <v>0</v>
      </c>
      <c r="AB587" s="319"/>
      <c r="AC587" s="319">
        <v>0</v>
      </c>
      <c r="AD587" s="319">
        <v>0</v>
      </c>
      <c r="AE587" s="257"/>
      <c r="AF587" s="257"/>
      <c r="AG587" s="257"/>
      <c r="AH587" s="257"/>
      <c r="AI587" s="257"/>
      <c r="AJ587" s="257"/>
      <c r="AK587" s="319">
        <v>0</v>
      </c>
      <c r="AL587" s="319">
        <v>0</v>
      </c>
      <c r="AM587" s="506">
        <v>0</v>
      </c>
      <c r="AN587" s="507"/>
      <c r="AO587" s="319">
        <v>0</v>
      </c>
      <c r="AP587" s="290">
        <v>0</v>
      </c>
      <c r="AQ587" s="290"/>
      <c r="AR587" s="525">
        <f t="shared" si="389"/>
        <v>5150000</v>
      </c>
    </row>
    <row r="588" spans="1:44" s="165" customFormat="1" ht="62.25" customHeight="1" x14ac:dyDescent="0.25">
      <c r="A588" s="20"/>
      <c r="B588" s="21"/>
      <c r="C588" s="967"/>
      <c r="D588" s="990"/>
      <c r="E588" s="992"/>
      <c r="F588" s="992"/>
      <c r="G588" s="994"/>
      <c r="H588" s="761">
        <v>148</v>
      </c>
      <c r="I588" s="762" t="s">
        <v>744</v>
      </c>
      <c r="J588" s="767" t="s">
        <v>38</v>
      </c>
      <c r="K588" s="767">
        <v>11</v>
      </c>
      <c r="L588" s="767">
        <v>0</v>
      </c>
      <c r="M588" s="926"/>
      <c r="N588" s="949"/>
      <c r="O588" s="943"/>
      <c r="P588" s="767" t="s">
        <v>47</v>
      </c>
      <c r="Q588" s="27">
        <v>0</v>
      </c>
      <c r="R588" s="27">
        <v>0</v>
      </c>
      <c r="S588" s="27">
        <v>0</v>
      </c>
      <c r="T588" s="27">
        <v>0</v>
      </c>
      <c r="U588" s="27">
        <v>0</v>
      </c>
      <c r="V588" s="27">
        <v>0</v>
      </c>
      <c r="W588" s="27">
        <v>0</v>
      </c>
      <c r="X588" s="5">
        <v>5150000</v>
      </c>
      <c r="Y588" s="15"/>
      <c r="Z588" s="15"/>
      <c r="AA588" s="319">
        <v>0</v>
      </c>
      <c r="AB588" s="319"/>
      <c r="AC588" s="319">
        <v>0</v>
      </c>
      <c r="AD588" s="319">
        <v>0</v>
      </c>
      <c r="AE588" s="257"/>
      <c r="AF588" s="257"/>
      <c r="AG588" s="257"/>
      <c r="AH588" s="257"/>
      <c r="AI588" s="257"/>
      <c r="AJ588" s="257"/>
      <c r="AK588" s="319">
        <v>0</v>
      </c>
      <c r="AL588" s="319">
        <v>0</v>
      </c>
      <c r="AM588" s="506">
        <v>0</v>
      </c>
      <c r="AN588" s="507"/>
      <c r="AO588" s="319">
        <v>0</v>
      </c>
      <c r="AP588" s="290">
        <v>0</v>
      </c>
      <c r="AQ588" s="290"/>
      <c r="AR588" s="525">
        <f t="shared" si="389"/>
        <v>5150000</v>
      </c>
    </row>
    <row r="589" spans="1:44" s="165" customFormat="1" ht="15" x14ac:dyDescent="0.25">
      <c r="A589" s="20"/>
      <c r="B589" s="21"/>
      <c r="C589" s="761"/>
      <c r="D589" s="159"/>
      <c r="E589" s="604"/>
      <c r="F589" s="604"/>
      <c r="G589" s="160"/>
      <c r="H589" s="161"/>
      <c r="I589" s="160"/>
      <c r="J589" s="161"/>
      <c r="K589" s="161"/>
      <c r="L589" s="161"/>
      <c r="M589" s="161"/>
      <c r="N589" s="163"/>
      <c r="O589" s="160"/>
      <c r="P589" s="161"/>
      <c r="Q589" s="164">
        <f t="shared" ref="Q589:X589" si="445">SUM(Q587:Q588)</f>
        <v>0</v>
      </c>
      <c r="R589" s="164">
        <f t="shared" si="445"/>
        <v>0</v>
      </c>
      <c r="S589" s="164">
        <f t="shared" si="445"/>
        <v>0</v>
      </c>
      <c r="T589" s="164">
        <f t="shared" si="445"/>
        <v>0</v>
      </c>
      <c r="U589" s="164">
        <f t="shared" si="445"/>
        <v>0</v>
      </c>
      <c r="V589" s="164">
        <f t="shared" si="445"/>
        <v>0</v>
      </c>
      <c r="W589" s="164">
        <f t="shared" si="445"/>
        <v>0</v>
      </c>
      <c r="X589" s="164">
        <f t="shared" si="445"/>
        <v>10300000</v>
      </c>
      <c r="Y589" s="164"/>
      <c r="Z589" s="164"/>
      <c r="AA589" s="164">
        <f>SUM(AA587:AA588)</f>
        <v>0</v>
      </c>
      <c r="AB589" s="164"/>
      <c r="AC589" s="164">
        <f>SUM(AC587:AC588)</f>
        <v>0</v>
      </c>
      <c r="AD589" s="164">
        <f>SUM(AD587:AD588)</f>
        <v>0</v>
      </c>
      <c r="AE589" s="164">
        <f>SUM(AE587:AE588)</f>
        <v>0</v>
      </c>
      <c r="AF589" s="164">
        <f>SUM(AF587:AF588)</f>
        <v>0</v>
      </c>
      <c r="AG589" s="164">
        <f t="shared" ref="AG589:AH589" si="446">SUM(AG587:AG588)</f>
        <v>0</v>
      </c>
      <c r="AH589" s="164">
        <f t="shared" si="446"/>
        <v>0</v>
      </c>
      <c r="AI589" s="164">
        <f t="shared" ref="AI589:AO589" si="447">SUM(AI587:AI588)</f>
        <v>0</v>
      </c>
      <c r="AJ589" s="164">
        <f t="shared" si="447"/>
        <v>0</v>
      </c>
      <c r="AK589" s="164">
        <f t="shared" si="447"/>
        <v>0</v>
      </c>
      <c r="AL589" s="164">
        <f t="shared" si="447"/>
        <v>0</v>
      </c>
      <c r="AM589" s="248">
        <f t="shared" si="447"/>
        <v>0</v>
      </c>
      <c r="AN589" s="248">
        <f t="shared" si="447"/>
        <v>0</v>
      </c>
      <c r="AO589" s="248">
        <f t="shared" si="447"/>
        <v>0</v>
      </c>
      <c r="AP589" s="164">
        <f>SUM(AP587:AP588)</f>
        <v>0</v>
      </c>
      <c r="AQ589" s="164">
        <f>SUM(AQ587:AQ588)</f>
        <v>0</v>
      </c>
      <c r="AR589" s="394">
        <f t="shared" ref="AR589:AR650" si="448">Q589+R589+S589+T589+U589+V589+W589+X589+Y589+Z589+AA589+AB589+AC589+AD589+AE589+AF589+AG589+AH589+AI589+AJ589+AK589+AL589+AM589+AN589+AO589+AP589+AQ589</f>
        <v>10300000</v>
      </c>
    </row>
    <row r="590" spans="1:44" s="165" customFormat="1" ht="15" x14ac:dyDescent="0.25">
      <c r="A590" s="20"/>
      <c r="B590" s="21"/>
      <c r="C590" s="760"/>
      <c r="D590" s="183"/>
      <c r="E590" s="760"/>
      <c r="F590" s="760"/>
      <c r="G590" s="183"/>
      <c r="H590" s="760"/>
      <c r="I590" s="183"/>
      <c r="J590" s="760"/>
      <c r="K590" s="760"/>
      <c r="L590" s="830"/>
      <c r="M590" s="830"/>
      <c r="N590" s="833"/>
      <c r="O590" s="829"/>
      <c r="P590" s="760"/>
      <c r="Q590" s="186"/>
      <c r="R590" s="186"/>
      <c r="S590" s="186"/>
      <c r="T590" s="186"/>
      <c r="U590" s="186"/>
      <c r="V590" s="186"/>
      <c r="W590" s="186"/>
      <c r="X590" s="186"/>
      <c r="Y590" s="186"/>
      <c r="Z590" s="186"/>
      <c r="AA590" s="186"/>
      <c r="AB590" s="186"/>
      <c r="AC590" s="186"/>
      <c r="AD590" s="186"/>
      <c r="AE590" s="186"/>
      <c r="AF590" s="186"/>
      <c r="AG590" s="186"/>
      <c r="AH590" s="186"/>
      <c r="AI590" s="186"/>
      <c r="AJ590" s="186"/>
      <c r="AK590" s="186"/>
      <c r="AL590" s="186"/>
      <c r="AM590" s="188"/>
      <c r="AN590" s="189"/>
      <c r="AO590" s="186"/>
      <c r="AP590" s="186"/>
      <c r="AQ590" s="186"/>
      <c r="AR590" s="710"/>
    </row>
    <row r="591" spans="1:44" s="165" customFormat="1" ht="15" x14ac:dyDescent="0.25">
      <c r="A591" s="20"/>
      <c r="B591" s="21"/>
      <c r="C591" s="760"/>
      <c r="D591" s="159"/>
      <c r="E591" s="604"/>
      <c r="F591" s="604"/>
      <c r="G591" s="337">
        <v>42</v>
      </c>
      <c r="H591" s="933" t="s">
        <v>745</v>
      </c>
      <c r="I591" s="933"/>
      <c r="J591" s="933"/>
      <c r="K591" s="933"/>
      <c r="L591" s="933"/>
      <c r="M591" s="933"/>
      <c r="N591" s="933"/>
      <c r="O591" s="933"/>
      <c r="P591" s="933"/>
      <c r="Q591" s="194"/>
      <c r="R591" s="194"/>
      <c r="S591" s="194"/>
      <c r="T591" s="194"/>
      <c r="U591" s="194"/>
      <c r="V591" s="194"/>
      <c r="W591" s="194"/>
      <c r="X591" s="194"/>
      <c r="Y591" s="194"/>
      <c r="Z591" s="194"/>
      <c r="AA591" s="194"/>
      <c r="AB591" s="194"/>
      <c r="AC591" s="194"/>
      <c r="AD591" s="194"/>
      <c r="AE591" s="194"/>
      <c r="AF591" s="194"/>
      <c r="AG591" s="194"/>
      <c r="AH591" s="194"/>
      <c r="AI591" s="194"/>
      <c r="AJ591" s="194"/>
      <c r="AK591" s="194"/>
      <c r="AL591" s="194"/>
      <c r="AM591" s="196"/>
      <c r="AN591" s="194"/>
      <c r="AO591" s="194"/>
      <c r="AP591" s="194"/>
      <c r="AQ591" s="194"/>
      <c r="AR591" s="400"/>
    </row>
    <row r="592" spans="1:44" s="165" customFormat="1" ht="66" customHeight="1" x14ac:dyDescent="0.25">
      <c r="A592" s="20"/>
      <c r="B592" s="21"/>
      <c r="C592" s="718" t="s">
        <v>714</v>
      </c>
      <c r="D592" s="86" t="s">
        <v>746</v>
      </c>
      <c r="E592" s="86" t="s">
        <v>747</v>
      </c>
      <c r="F592" s="86" t="s">
        <v>748</v>
      </c>
      <c r="G592" s="987"/>
      <c r="H592" s="33">
        <v>149</v>
      </c>
      <c r="I592" s="762" t="s">
        <v>749</v>
      </c>
      <c r="J592" s="767" t="s">
        <v>38</v>
      </c>
      <c r="K592" s="767">
        <v>8</v>
      </c>
      <c r="L592" s="767">
        <v>4</v>
      </c>
      <c r="M592" s="924" t="s">
        <v>681</v>
      </c>
      <c r="N592" s="948" t="s">
        <v>750</v>
      </c>
      <c r="O592" s="942" t="s">
        <v>751</v>
      </c>
      <c r="P592" s="767" t="s">
        <v>47</v>
      </c>
      <c r="Q592" s="27"/>
      <c r="R592" s="27"/>
      <c r="S592" s="27"/>
      <c r="T592" s="27"/>
      <c r="U592" s="27"/>
      <c r="V592" s="27"/>
      <c r="W592" s="27"/>
      <c r="X592" s="5">
        <v>38625000</v>
      </c>
      <c r="Y592" s="15"/>
      <c r="Z592" s="15"/>
      <c r="AA592" s="27"/>
      <c r="AB592" s="27"/>
      <c r="AC592" s="27"/>
      <c r="AD592" s="27"/>
      <c r="AE592" s="257"/>
      <c r="AF592" s="257"/>
      <c r="AG592" s="257"/>
      <c r="AH592" s="257"/>
      <c r="AI592" s="257"/>
      <c r="AJ592" s="257"/>
      <c r="AK592" s="27"/>
      <c r="AL592" s="27"/>
      <c r="AM592" s="506"/>
      <c r="AN592" s="507"/>
      <c r="AO592" s="319"/>
      <c r="AP592" s="290"/>
      <c r="AQ592" s="290"/>
      <c r="AR592" s="525">
        <f t="shared" si="448"/>
        <v>38625000</v>
      </c>
    </row>
    <row r="593" spans="1:44" s="165" customFormat="1" ht="54.95" customHeight="1" x14ac:dyDescent="0.25">
      <c r="A593" s="20"/>
      <c r="B593" s="21"/>
      <c r="C593" s="767">
        <v>28</v>
      </c>
      <c r="D593" s="86" t="s">
        <v>752</v>
      </c>
      <c r="E593" s="80">
        <v>0.5</v>
      </c>
      <c r="F593" s="80">
        <v>1</v>
      </c>
      <c r="G593" s="988"/>
      <c r="H593" s="33">
        <v>150</v>
      </c>
      <c r="I593" s="762" t="s">
        <v>753</v>
      </c>
      <c r="J593" s="767">
        <v>0</v>
      </c>
      <c r="K593" s="767">
        <v>14</v>
      </c>
      <c r="L593" s="723">
        <v>7</v>
      </c>
      <c r="M593" s="926"/>
      <c r="N593" s="949"/>
      <c r="O593" s="943"/>
      <c r="P593" s="767" t="s">
        <v>47</v>
      </c>
      <c r="Q593" s="27">
        <v>0</v>
      </c>
      <c r="R593" s="27">
        <v>0</v>
      </c>
      <c r="S593" s="27">
        <v>0</v>
      </c>
      <c r="T593" s="27">
        <v>0</v>
      </c>
      <c r="U593" s="27">
        <v>0</v>
      </c>
      <c r="V593" s="27">
        <v>0</v>
      </c>
      <c r="W593" s="27">
        <v>0</v>
      </c>
      <c r="X593" s="5">
        <v>12875000</v>
      </c>
      <c r="Y593" s="15"/>
      <c r="Z593" s="15"/>
      <c r="AA593" s="27">
        <v>0</v>
      </c>
      <c r="AB593" s="27"/>
      <c r="AC593" s="27">
        <v>0</v>
      </c>
      <c r="AD593" s="27">
        <v>0</v>
      </c>
      <c r="AE593" s="257"/>
      <c r="AF593" s="257"/>
      <c r="AG593" s="257"/>
      <c r="AH593" s="257"/>
      <c r="AI593" s="257"/>
      <c r="AJ593" s="257"/>
      <c r="AK593" s="27">
        <v>0</v>
      </c>
      <c r="AL593" s="27">
        <v>0</v>
      </c>
      <c r="AM593" s="506">
        <v>0</v>
      </c>
      <c r="AN593" s="507"/>
      <c r="AO593" s="319">
        <v>0</v>
      </c>
      <c r="AP593" s="290">
        <v>0</v>
      </c>
      <c r="AQ593" s="290"/>
      <c r="AR593" s="525">
        <f t="shared" si="448"/>
        <v>12875000</v>
      </c>
    </row>
    <row r="594" spans="1:44" s="165" customFormat="1" ht="15" x14ac:dyDescent="0.25">
      <c r="A594" s="20"/>
      <c r="B594" s="21"/>
      <c r="C594" s="761"/>
      <c r="D594" s="762"/>
      <c r="E594" s="767"/>
      <c r="F594" s="767"/>
      <c r="G594" s="298"/>
      <c r="H594" s="311"/>
      <c r="I594" s="160"/>
      <c r="J594" s="161"/>
      <c r="K594" s="161"/>
      <c r="L594" s="161"/>
      <c r="M594" s="161"/>
      <c r="N594" s="163"/>
      <c r="O594" s="160"/>
      <c r="P594" s="161"/>
      <c r="Q594" s="164">
        <f t="shared" ref="Q594:X594" si="449">SUM(Q592:Q593)</f>
        <v>0</v>
      </c>
      <c r="R594" s="164">
        <f t="shared" si="449"/>
        <v>0</v>
      </c>
      <c r="S594" s="164">
        <f t="shared" si="449"/>
        <v>0</v>
      </c>
      <c r="T594" s="164">
        <f t="shared" si="449"/>
        <v>0</v>
      </c>
      <c r="U594" s="164">
        <f t="shared" si="449"/>
        <v>0</v>
      </c>
      <c r="V594" s="164">
        <f t="shared" si="449"/>
        <v>0</v>
      </c>
      <c r="W594" s="164">
        <f t="shared" si="449"/>
        <v>0</v>
      </c>
      <c r="X594" s="164">
        <f t="shared" si="449"/>
        <v>51500000</v>
      </c>
      <c r="Y594" s="164"/>
      <c r="Z594" s="164"/>
      <c r="AA594" s="164">
        <f>SUM(AA592:AA593)</f>
        <v>0</v>
      </c>
      <c r="AB594" s="164"/>
      <c r="AC594" s="164">
        <f>SUM(AC592:AC593)</f>
        <v>0</v>
      </c>
      <c r="AD594" s="164">
        <f>SUM(AD592:AD593)</f>
        <v>0</v>
      </c>
      <c r="AE594" s="164">
        <f>SUM(AE592:AE593)</f>
        <v>0</v>
      </c>
      <c r="AF594" s="164">
        <f>SUM(AF592:AF593)</f>
        <v>0</v>
      </c>
      <c r="AG594" s="164"/>
      <c r="AH594" s="164">
        <f t="shared" ref="AH594:AM594" si="450">SUM(AH592:AH593)</f>
        <v>0</v>
      </c>
      <c r="AI594" s="164">
        <f t="shared" si="450"/>
        <v>0</v>
      </c>
      <c r="AJ594" s="164">
        <f t="shared" si="450"/>
        <v>0</v>
      </c>
      <c r="AK594" s="164">
        <f t="shared" si="450"/>
        <v>0</v>
      </c>
      <c r="AL594" s="164">
        <f t="shared" si="450"/>
        <v>0</v>
      </c>
      <c r="AM594" s="248">
        <f t="shared" si="450"/>
        <v>0</v>
      </c>
      <c r="AN594" s="164"/>
      <c r="AO594" s="164">
        <f>SUM(AO592:AO593)</f>
        <v>0</v>
      </c>
      <c r="AP594" s="164">
        <f>SUM(AP592:AP593)</f>
        <v>0</v>
      </c>
      <c r="AQ594" s="164">
        <f>SUM(AQ592:AQ593)</f>
        <v>0</v>
      </c>
      <c r="AR594" s="394">
        <f t="shared" si="448"/>
        <v>51500000</v>
      </c>
    </row>
    <row r="595" spans="1:44" s="165" customFormat="1" ht="15" x14ac:dyDescent="0.25">
      <c r="A595" s="20"/>
      <c r="B595" s="21"/>
      <c r="C595" s="760"/>
      <c r="D595" s="183"/>
      <c r="E595" s="760"/>
      <c r="F595" s="760"/>
      <c r="G595" s="183"/>
      <c r="H595" s="760"/>
      <c r="I595" s="183"/>
      <c r="J595" s="760"/>
      <c r="K595" s="760"/>
      <c r="L595" s="830"/>
      <c r="M595" s="830"/>
      <c r="N595" s="833"/>
      <c r="O595" s="829"/>
      <c r="P595" s="760"/>
      <c r="Q595" s="186"/>
      <c r="R595" s="186"/>
      <c r="S595" s="186"/>
      <c r="T595" s="186"/>
      <c r="U595" s="186"/>
      <c r="V595" s="186"/>
      <c r="W595" s="186"/>
      <c r="X595" s="186"/>
      <c r="Y595" s="186"/>
      <c r="Z595" s="186"/>
      <c r="AA595" s="186"/>
      <c r="AB595" s="186"/>
      <c r="AC595" s="186"/>
      <c r="AD595" s="186"/>
      <c r="AE595" s="186"/>
      <c r="AF595" s="186"/>
      <c r="AG595" s="186"/>
      <c r="AH595" s="186"/>
      <c r="AI595" s="186"/>
      <c r="AJ595" s="186"/>
      <c r="AK595" s="186"/>
      <c r="AL595" s="186"/>
      <c r="AM595" s="188"/>
      <c r="AN595" s="189"/>
      <c r="AO595" s="186"/>
      <c r="AP595" s="186"/>
      <c r="AQ595" s="186"/>
      <c r="AR595" s="710"/>
    </row>
    <row r="596" spans="1:44" s="165" customFormat="1" ht="15" x14ac:dyDescent="0.25">
      <c r="A596" s="20"/>
      <c r="B596" s="20"/>
      <c r="C596" s="718"/>
      <c r="D596" s="732"/>
      <c r="E596" s="726"/>
      <c r="F596" s="726"/>
      <c r="G596" s="337">
        <v>43</v>
      </c>
      <c r="H596" s="933" t="s">
        <v>754</v>
      </c>
      <c r="I596" s="933"/>
      <c r="J596" s="933"/>
      <c r="K596" s="933"/>
      <c r="L596" s="933"/>
      <c r="M596" s="933"/>
      <c r="N596" s="933"/>
      <c r="O596" s="933"/>
      <c r="P596" s="933"/>
      <c r="Q596" s="933"/>
      <c r="R596" s="194"/>
      <c r="S596" s="194"/>
      <c r="T596" s="194"/>
      <c r="U596" s="194"/>
      <c r="V596" s="194"/>
      <c r="W596" s="194"/>
      <c r="X596" s="194"/>
      <c r="Y596" s="194"/>
      <c r="Z596" s="194"/>
      <c r="AA596" s="194"/>
      <c r="AB596" s="194"/>
      <c r="AC596" s="194"/>
      <c r="AD596" s="194"/>
      <c r="AE596" s="194"/>
      <c r="AF596" s="194"/>
      <c r="AG596" s="194"/>
      <c r="AH596" s="194"/>
      <c r="AI596" s="194"/>
      <c r="AJ596" s="194"/>
      <c r="AK596" s="194"/>
      <c r="AL596" s="194"/>
      <c r="AM596" s="196"/>
      <c r="AN596" s="194"/>
      <c r="AO596" s="194"/>
      <c r="AP596" s="194"/>
      <c r="AQ596" s="194"/>
      <c r="AR596" s="400"/>
    </row>
    <row r="597" spans="1:44" s="165" customFormat="1" ht="111" customHeight="1" x14ac:dyDescent="0.25">
      <c r="A597" s="20"/>
      <c r="B597" s="20"/>
      <c r="C597" s="719" t="s">
        <v>714</v>
      </c>
      <c r="D597" s="925" t="s">
        <v>755</v>
      </c>
      <c r="E597" s="982">
        <v>0</v>
      </c>
      <c r="F597" s="982">
        <v>1</v>
      </c>
      <c r="G597" s="912"/>
      <c r="H597" s="767">
        <v>151</v>
      </c>
      <c r="I597" s="762" t="s">
        <v>756</v>
      </c>
      <c r="J597" s="767" t="s">
        <v>38</v>
      </c>
      <c r="K597" s="767">
        <v>12</v>
      </c>
      <c r="L597" s="767">
        <v>12</v>
      </c>
      <c r="M597" s="924" t="s">
        <v>681</v>
      </c>
      <c r="N597" s="984" t="s">
        <v>757</v>
      </c>
      <c r="O597" s="924" t="s">
        <v>758</v>
      </c>
      <c r="P597" s="58" t="s">
        <v>47</v>
      </c>
      <c r="Q597" s="27">
        <v>0</v>
      </c>
      <c r="R597" s="27">
        <v>0</v>
      </c>
      <c r="S597" s="27">
        <v>0</v>
      </c>
      <c r="T597" s="27">
        <v>0</v>
      </c>
      <c r="U597" s="27">
        <v>0</v>
      </c>
      <c r="V597" s="27">
        <v>0</v>
      </c>
      <c r="W597" s="27">
        <v>0</v>
      </c>
      <c r="X597" s="106">
        <v>120837740</v>
      </c>
      <c r="Y597" s="106"/>
      <c r="Z597" s="106"/>
      <c r="AA597" s="27">
        <v>0</v>
      </c>
      <c r="AB597" s="27"/>
      <c r="AC597" s="257">
        <f>5339423-5339423</f>
        <v>0</v>
      </c>
      <c r="AD597" s="27">
        <v>0</v>
      </c>
      <c r="AE597" s="257"/>
      <c r="AF597" s="257"/>
      <c r="AG597" s="257"/>
      <c r="AH597" s="257"/>
      <c r="AI597" s="257"/>
      <c r="AJ597" s="257"/>
      <c r="AK597" s="27">
        <v>0</v>
      </c>
      <c r="AL597" s="27"/>
      <c r="AM597" s="112">
        <v>100000000</v>
      </c>
      <c r="AN597" s="5"/>
      <c r="AO597" s="27">
        <v>0</v>
      </c>
      <c r="AP597" s="526"/>
      <c r="AQ597" s="526"/>
      <c r="AR597" s="525">
        <f t="shared" si="448"/>
        <v>220837740</v>
      </c>
    </row>
    <row r="598" spans="1:44" s="165" customFormat="1" ht="71.25" customHeight="1" x14ac:dyDescent="0.25">
      <c r="A598" s="20"/>
      <c r="B598" s="20"/>
      <c r="C598" s="719"/>
      <c r="D598" s="926"/>
      <c r="E598" s="983"/>
      <c r="F598" s="983"/>
      <c r="G598" s="913"/>
      <c r="H598" s="767">
        <v>152</v>
      </c>
      <c r="I598" s="488" t="s">
        <v>759</v>
      </c>
      <c r="J598" s="318" t="s">
        <v>38</v>
      </c>
      <c r="K598" s="767">
        <v>1</v>
      </c>
      <c r="L598" s="723">
        <v>0.5</v>
      </c>
      <c r="M598" s="925"/>
      <c r="N598" s="985"/>
      <c r="O598" s="925"/>
      <c r="P598" s="58" t="s">
        <v>47</v>
      </c>
      <c r="Q598" s="27">
        <v>0</v>
      </c>
      <c r="R598" s="27">
        <v>0</v>
      </c>
      <c r="S598" s="27">
        <v>0</v>
      </c>
      <c r="T598" s="27">
        <v>0</v>
      </c>
      <c r="U598" s="27">
        <v>0</v>
      </c>
      <c r="V598" s="27">
        <v>0</v>
      </c>
      <c r="W598" s="27">
        <v>0</v>
      </c>
      <c r="X598" s="5">
        <v>89020304</v>
      </c>
      <c r="Y598" s="15"/>
      <c r="Z598" s="15"/>
      <c r="AA598" s="27">
        <v>0</v>
      </c>
      <c r="AB598" s="27"/>
      <c r="AC598" s="27">
        <v>0</v>
      </c>
      <c r="AD598" s="27">
        <v>0</v>
      </c>
      <c r="AE598" s="257"/>
      <c r="AF598" s="257"/>
      <c r="AG598" s="257"/>
      <c r="AH598" s="257"/>
      <c r="AI598" s="257"/>
      <c r="AJ598" s="257"/>
      <c r="AK598" s="27">
        <v>0</v>
      </c>
      <c r="AL598" s="27"/>
      <c r="AM598" s="112"/>
      <c r="AN598" s="327"/>
      <c r="AO598" s="27">
        <v>0</v>
      </c>
      <c r="AP598" s="290">
        <v>0</v>
      </c>
      <c r="AQ598" s="290"/>
      <c r="AR598" s="525">
        <f t="shared" si="448"/>
        <v>89020304</v>
      </c>
    </row>
    <row r="599" spans="1:44" s="165" customFormat="1" ht="99.75" customHeight="1" x14ac:dyDescent="0.25">
      <c r="A599" s="20"/>
      <c r="B599" s="20"/>
      <c r="C599" s="719" t="s">
        <v>714</v>
      </c>
      <c r="D599" s="731" t="s">
        <v>897</v>
      </c>
      <c r="E599" s="746">
        <v>0</v>
      </c>
      <c r="F599" s="746">
        <v>1</v>
      </c>
      <c r="G599" s="716"/>
      <c r="H599" s="767">
        <v>153</v>
      </c>
      <c r="I599" s="762" t="s">
        <v>898</v>
      </c>
      <c r="J599" s="767" t="s">
        <v>38</v>
      </c>
      <c r="K599" s="767">
        <v>150</v>
      </c>
      <c r="L599" s="723">
        <v>124</v>
      </c>
      <c r="M599" s="926"/>
      <c r="N599" s="986"/>
      <c r="O599" s="926"/>
      <c r="P599" s="58" t="s">
        <v>47</v>
      </c>
      <c r="Q599" s="27"/>
      <c r="R599" s="27"/>
      <c r="S599" s="27"/>
      <c r="T599" s="27"/>
      <c r="U599" s="27"/>
      <c r="V599" s="27"/>
      <c r="W599" s="27"/>
      <c r="X599" s="5"/>
      <c r="Y599" s="15"/>
      <c r="Z599" s="15"/>
      <c r="AA599" s="27"/>
      <c r="AB599" s="27"/>
      <c r="AC599" s="27">
        <v>1378557211</v>
      </c>
      <c r="AD599" s="27"/>
      <c r="AE599" s="257"/>
      <c r="AF599" s="257"/>
      <c r="AG599" s="257"/>
      <c r="AH599" s="257"/>
      <c r="AI599" s="257"/>
      <c r="AJ599" s="257"/>
      <c r="AK599" s="27"/>
      <c r="AL599" s="27"/>
      <c r="AM599" s="112"/>
      <c r="AN599" s="327"/>
      <c r="AO599" s="27"/>
      <c r="AP599" s="290"/>
      <c r="AQ599" s="290"/>
      <c r="AR599" s="525">
        <f t="shared" si="448"/>
        <v>1378557211</v>
      </c>
    </row>
    <row r="600" spans="1:44" s="165" customFormat="1" ht="19.5" customHeight="1" x14ac:dyDescent="0.25">
      <c r="A600" s="20"/>
      <c r="B600" s="21"/>
      <c r="C600" s="761"/>
      <c r="D600" s="159"/>
      <c r="E600" s="604"/>
      <c r="F600" s="604"/>
      <c r="G600" s="160"/>
      <c r="H600" s="161"/>
      <c r="I600" s="160"/>
      <c r="J600" s="161"/>
      <c r="K600" s="311"/>
      <c r="L600" s="311"/>
      <c r="M600" s="311"/>
      <c r="N600" s="163"/>
      <c r="O600" s="160"/>
      <c r="P600" s="161"/>
      <c r="Q600" s="164">
        <f>SUM(Q597:Q599)</f>
        <v>0</v>
      </c>
      <c r="R600" s="164">
        <f t="shared" ref="R600:AL600" si="451">SUM(R597:R599)</f>
        <v>0</v>
      </c>
      <c r="S600" s="164">
        <f t="shared" si="451"/>
        <v>0</v>
      </c>
      <c r="T600" s="164">
        <f t="shared" si="451"/>
        <v>0</v>
      </c>
      <c r="U600" s="164">
        <f t="shared" si="451"/>
        <v>0</v>
      </c>
      <c r="V600" s="164">
        <f t="shared" si="451"/>
        <v>0</v>
      </c>
      <c r="W600" s="164">
        <f t="shared" si="451"/>
        <v>0</v>
      </c>
      <c r="X600" s="164">
        <f t="shared" si="451"/>
        <v>209858044</v>
      </c>
      <c r="Y600" s="164">
        <f t="shared" si="451"/>
        <v>0</v>
      </c>
      <c r="Z600" s="164">
        <f t="shared" si="451"/>
        <v>0</v>
      </c>
      <c r="AA600" s="164">
        <f t="shared" si="451"/>
        <v>0</v>
      </c>
      <c r="AB600" s="164">
        <f t="shared" si="451"/>
        <v>0</v>
      </c>
      <c r="AC600" s="164">
        <f t="shared" si="451"/>
        <v>1378557211</v>
      </c>
      <c r="AD600" s="164">
        <f t="shared" si="451"/>
        <v>0</v>
      </c>
      <c r="AE600" s="164">
        <f t="shared" si="451"/>
        <v>0</v>
      </c>
      <c r="AF600" s="164">
        <f t="shared" si="451"/>
        <v>0</v>
      </c>
      <c r="AG600" s="164">
        <f t="shared" si="451"/>
        <v>0</v>
      </c>
      <c r="AH600" s="164">
        <f t="shared" si="451"/>
        <v>0</v>
      </c>
      <c r="AI600" s="164">
        <f t="shared" si="451"/>
        <v>0</v>
      </c>
      <c r="AJ600" s="164">
        <f t="shared" si="451"/>
        <v>0</v>
      </c>
      <c r="AK600" s="164">
        <f t="shared" si="451"/>
        <v>0</v>
      </c>
      <c r="AL600" s="164">
        <f t="shared" si="451"/>
        <v>0</v>
      </c>
      <c r="AM600" s="164">
        <f t="shared" ref="AM600:AP600" si="452">SUM(AM597:AM599)</f>
        <v>100000000</v>
      </c>
      <c r="AN600" s="164">
        <f t="shared" si="452"/>
        <v>0</v>
      </c>
      <c r="AO600" s="164">
        <f t="shared" si="452"/>
        <v>0</v>
      </c>
      <c r="AP600" s="164">
        <f t="shared" si="452"/>
        <v>0</v>
      </c>
      <c r="AQ600" s="164">
        <f t="shared" ref="AQ600" si="453">SUM(AQ597:AQ599)</f>
        <v>0</v>
      </c>
      <c r="AR600" s="394">
        <f t="shared" si="448"/>
        <v>1688415255</v>
      </c>
    </row>
    <row r="601" spans="1:44" s="165" customFormat="1" ht="22.5" customHeight="1" x14ac:dyDescent="0.25">
      <c r="A601" s="20"/>
      <c r="B601" s="21"/>
      <c r="C601" s="760"/>
      <c r="D601" s="183"/>
      <c r="E601" s="760"/>
      <c r="F601" s="760"/>
      <c r="G601" s="183"/>
      <c r="H601" s="760"/>
      <c r="I601" s="183"/>
      <c r="J601" s="760"/>
      <c r="K601" s="760"/>
      <c r="L601" s="830"/>
      <c r="M601" s="830"/>
      <c r="N601" s="833"/>
      <c r="O601" s="829"/>
      <c r="P601" s="760"/>
      <c r="Q601" s="186"/>
      <c r="R601" s="186"/>
      <c r="S601" s="186"/>
      <c r="T601" s="186"/>
      <c r="U601" s="186"/>
      <c r="V601" s="186"/>
      <c r="W601" s="186"/>
      <c r="X601" s="186"/>
      <c r="Y601" s="186"/>
      <c r="Z601" s="186"/>
      <c r="AA601" s="186"/>
      <c r="AB601" s="186"/>
      <c r="AC601" s="186"/>
      <c r="AD601" s="186"/>
      <c r="AE601" s="186"/>
      <c r="AF601" s="186"/>
      <c r="AG601" s="186"/>
      <c r="AH601" s="186"/>
      <c r="AI601" s="186"/>
      <c r="AJ601" s="186"/>
      <c r="AK601" s="186"/>
      <c r="AL601" s="186"/>
      <c r="AM601" s="188"/>
      <c r="AN601" s="189"/>
      <c r="AO601" s="186"/>
      <c r="AP601" s="186"/>
      <c r="AQ601" s="186"/>
      <c r="AR601" s="710"/>
    </row>
    <row r="602" spans="1:44" s="165" customFormat="1" ht="15" x14ac:dyDescent="0.25">
      <c r="A602" s="20"/>
      <c r="B602" s="21"/>
      <c r="C602" s="830"/>
      <c r="D602" s="732"/>
      <c r="E602" s="726"/>
      <c r="F602" s="726"/>
      <c r="G602" s="874">
        <v>44</v>
      </c>
      <c r="H602" s="933" t="s">
        <v>760</v>
      </c>
      <c r="I602" s="933"/>
      <c r="J602" s="933"/>
      <c r="K602" s="933"/>
      <c r="L602" s="933"/>
      <c r="M602" s="933"/>
      <c r="N602" s="933"/>
      <c r="O602" s="933"/>
      <c r="P602" s="933"/>
      <c r="Q602" s="933"/>
      <c r="R602" s="194"/>
      <c r="S602" s="194"/>
      <c r="T602" s="194"/>
      <c r="U602" s="194"/>
      <c r="V602" s="194"/>
      <c r="W602" s="194"/>
      <c r="X602" s="194"/>
      <c r="Y602" s="194"/>
      <c r="Z602" s="194"/>
      <c r="AA602" s="194"/>
      <c r="AB602" s="194"/>
      <c r="AC602" s="194"/>
      <c r="AD602" s="194"/>
      <c r="AE602" s="194"/>
      <c r="AF602" s="194"/>
      <c r="AG602" s="194"/>
      <c r="AH602" s="194"/>
      <c r="AI602" s="194"/>
      <c r="AJ602" s="194"/>
      <c r="AK602" s="194"/>
      <c r="AL602" s="194"/>
      <c r="AM602" s="196"/>
      <c r="AN602" s="194"/>
      <c r="AO602" s="194"/>
      <c r="AP602" s="194"/>
      <c r="AQ602" s="194"/>
      <c r="AR602" s="400"/>
    </row>
    <row r="603" spans="1:44" s="29" customFormat="1" ht="94.5" customHeight="1" x14ac:dyDescent="0.25">
      <c r="A603" s="20"/>
      <c r="B603" s="20"/>
      <c r="C603" s="767">
        <v>37</v>
      </c>
      <c r="D603" s="762" t="s">
        <v>674</v>
      </c>
      <c r="E603" s="767" t="s">
        <v>646</v>
      </c>
      <c r="F603" s="80">
        <v>0.6</v>
      </c>
      <c r="G603" s="86"/>
      <c r="H603" s="767">
        <v>154</v>
      </c>
      <c r="I603" s="762" t="s">
        <v>761</v>
      </c>
      <c r="J603" s="767" t="s">
        <v>38</v>
      </c>
      <c r="K603" s="33">
        <v>5</v>
      </c>
      <c r="L603" s="33">
        <v>1.5</v>
      </c>
      <c r="M603" s="953" t="s">
        <v>681</v>
      </c>
      <c r="N603" s="948" t="s">
        <v>762</v>
      </c>
      <c r="O603" s="941" t="s">
        <v>763</v>
      </c>
      <c r="P603" s="767" t="s">
        <v>47</v>
      </c>
      <c r="Q603" s="27">
        <v>0</v>
      </c>
      <c r="R603" s="27">
        <v>0</v>
      </c>
      <c r="S603" s="27">
        <v>0</v>
      </c>
      <c r="T603" s="27">
        <v>0</v>
      </c>
      <c r="U603" s="27">
        <v>0</v>
      </c>
      <c r="V603" s="27">
        <v>0</v>
      </c>
      <c r="W603" s="27">
        <v>0</v>
      </c>
      <c r="X603" s="15">
        <v>59500000</v>
      </c>
      <c r="Y603" s="15"/>
      <c r="Z603" s="15"/>
      <c r="AA603" s="27">
        <v>0</v>
      </c>
      <c r="AB603" s="27"/>
      <c r="AC603" s="27">
        <v>0</v>
      </c>
      <c r="AD603" s="27">
        <v>0</v>
      </c>
      <c r="AE603" s="27"/>
      <c r="AF603" s="27"/>
      <c r="AG603" s="27"/>
      <c r="AH603" s="27"/>
      <c r="AI603" s="27"/>
      <c r="AJ603" s="27"/>
      <c r="AK603" s="27">
        <v>0</v>
      </c>
      <c r="AL603" s="27">
        <v>0</v>
      </c>
      <c r="AM603" s="108">
        <v>100000000</v>
      </c>
      <c r="AN603" s="40"/>
      <c r="AO603" s="27">
        <v>0</v>
      </c>
      <c r="AP603" s="28">
        <v>0</v>
      </c>
      <c r="AQ603" s="28"/>
      <c r="AR603" s="525">
        <f t="shared" si="448"/>
        <v>159500000</v>
      </c>
    </row>
    <row r="604" spans="1:44" s="165" customFormat="1" ht="54" customHeight="1" x14ac:dyDescent="0.25">
      <c r="A604" s="20"/>
      <c r="B604" s="20"/>
      <c r="C604" s="747">
        <v>13</v>
      </c>
      <c r="D604" s="743" t="s">
        <v>921</v>
      </c>
      <c r="E604" s="605">
        <v>71.040000000000006</v>
      </c>
      <c r="F604" s="484">
        <v>0.88170000000000004</v>
      </c>
      <c r="G604" s="86"/>
      <c r="H604" s="767">
        <v>155</v>
      </c>
      <c r="I604" s="762" t="s">
        <v>764</v>
      </c>
      <c r="J604" s="767">
        <v>0</v>
      </c>
      <c r="K604" s="33">
        <v>1</v>
      </c>
      <c r="L604" s="33">
        <v>0.6</v>
      </c>
      <c r="M604" s="954"/>
      <c r="N604" s="959"/>
      <c r="O604" s="942"/>
      <c r="P604" s="58" t="s">
        <v>47</v>
      </c>
      <c r="Q604" s="27">
        <v>0</v>
      </c>
      <c r="R604" s="27">
        <v>0</v>
      </c>
      <c r="S604" s="27">
        <v>0</v>
      </c>
      <c r="T604" s="27">
        <v>0</v>
      </c>
      <c r="U604" s="27">
        <v>0</v>
      </c>
      <c r="V604" s="27">
        <v>0</v>
      </c>
      <c r="W604" s="27">
        <v>0</v>
      </c>
      <c r="X604" s="5">
        <v>34000000</v>
      </c>
      <c r="Y604" s="15"/>
      <c r="Z604" s="15"/>
      <c r="AA604" s="27">
        <v>0</v>
      </c>
      <c r="AB604" s="27"/>
      <c r="AC604" s="27">
        <v>0</v>
      </c>
      <c r="AD604" s="27">
        <v>0</v>
      </c>
      <c r="AE604" s="257"/>
      <c r="AF604" s="257"/>
      <c r="AG604" s="257"/>
      <c r="AH604" s="257"/>
      <c r="AI604" s="257"/>
      <c r="AJ604" s="257"/>
      <c r="AK604" s="27">
        <v>0</v>
      </c>
      <c r="AL604" s="27">
        <v>0</v>
      </c>
      <c r="AM604" s="108">
        <v>0</v>
      </c>
      <c r="AN604" s="40"/>
      <c r="AO604" s="27">
        <v>0</v>
      </c>
      <c r="AP604" s="290">
        <v>0</v>
      </c>
      <c r="AQ604" s="290"/>
      <c r="AR604" s="525">
        <f t="shared" si="448"/>
        <v>34000000</v>
      </c>
    </row>
    <row r="605" spans="1:44" s="165" customFormat="1" ht="51" customHeight="1" x14ac:dyDescent="0.25">
      <c r="A605" s="20"/>
      <c r="B605" s="20"/>
      <c r="C605" s="747" t="s">
        <v>765</v>
      </c>
      <c r="D605" s="749" t="s">
        <v>766</v>
      </c>
      <c r="E605" s="747" t="s">
        <v>767</v>
      </c>
      <c r="F605" s="747" t="s">
        <v>768</v>
      </c>
      <c r="G605" s="97"/>
      <c r="H605" s="767">
        <v>156</v>
      </c>
      <c r="I605" s="762" t="s">
        <v>769</v>
      </c>
      <c r="J605" s="767">
        <v>12</v>
      </c>
      <c r="K605" s="33">
        <v>12</v>
      </c>
      <c r="L605" s="33">
        <v>7</v>
      </c>
      <c r="M605" s="954"/>
      <c r="N605" s="959"/>
      <c r="O605" s="942"/>
      <c r="P605" s="58" t="s">
        <v>47</v>
      </c>
      <c r="Q605" s="27">
        <v>0</v>
      </c>
      <c r="R605" s="27">
        <v>0</v>
      </c>
      <c r="S605" s="27">
        <v>0</v>
      </c>
      <c r="T605" s="27">
        <v>0</v>
      </c>
      <c r="U605" s="27">
        <v>0</v>
      </c>
      <c r="V605" s="27">
        <v>0</v>
      </c>
      <c r="W605" s="27">
        <v>0</v>
      </c>
      <c r="X605" s="257">
        <v>119200000</v>
      </c>
      <c r="Y605" s="27"/>
      <c r="Z605" s="27"/>
      <c r="AA605" s="27">
        <v>0</v>
      </c>
      <c r="AB605" s="27"/>
      <c r="AC605" s="27">
        <v>0</v>
      </c>
      <c r="AD605" s="27">
        <v>0</v>
      </c>
      <c r="AE605" s="257"/>
      <c r="AF605" s="257"/>
      <c r="AG605" s="257"/>
      <c r="AH605" s="257"/>
      <c r="AI605" s="257"/>
      <c r="AJ605" s="257"/>
      <c r="AK605" s="27">
        <v>0</v>
      </c>
      <c r="AL605" s="27">
        <v>0</v>
      </c>
      <c r="AM605" s="108">
        <v>19440000</v>
      </c>
      <c r="AN605" s="40"/>
      <c r="AO605" s="27">
        <v>0</v>
      </c>
      <c r="AP605" s="290">
        <v>0</v>
      </c>
      <c r="AQ605" s="290"/>
      <c r="AR605" s="525">
        <f t="shared" si="448"/>
        <v>138640000</v>
      </c>
    </row>
    <row r="606" spans="1:44" s="165" customFormat="1" ht="54.75" customHeight="1" x14ac:dyDescent="0.25">
      <c r="A606" s="20"/>
      <c r="B606" s="20"/>
      <c r="C606" s="6">
        <v>34</v>
      </c>
      <c r="D606" s="483" t="s">
        <v>922</v>
      </c>
      <c r="E606" s="605" t="s">
        <v>38</v>
      </c>
      <c r="F606" s="527">
        <v>0.4</v>
      </c>
      <c r="G606" s="97"/>
      <c r="H606" s="767">
        <v>157</v>
      </c>
      <c r="I606" s="762" t="s">
        <v>770</v>
      </c>
      <c r="J606" s="767">
        <v>12</v>
      </c>
      <c r="K606" s="33">
        <v>12</v>
      </c>
      <c r="L606" s="33">
        <v>12</v>
      </c>
      <c r="M606" s="955"/>
      <c r="N606" s="949"/>
      <c r="O606" s="943"/>
      <c r="P606" s="58" t="s">
        <v>47</v>
      </c>
      <c r="Q606" s="27">
        <v>0</v>
      </c>
      <c r="R606" s="27">
        <v>0</v>
      </c>
      <c r="S606" s="27">
        <v>0</v>
      </c>
      <c r="T606" s="27">
        <v>0</v>
      </c>
      <c r="U606" s="27">
        <v>0</v>
      </c>
      <c r="V606" s="27">
        <v>0</v>
      </c>
      <c r="W606" s="27">
        <v>0</v>
      </c>
      <c r="X606" s="257">
        <v>61607604</v>
      </c>
      <c r="Y606" s="15"/>
      <c r="Z606" s="15"/>
      <c r="AA606" s="27">
        <v>0</v>
      </c>
      <c r="AB606" s="27"/>
      <c r="AC606" s="27">
        <v>0</v>
      </c>
      <c r="AD606" s="27">
        <v>0</v>
      </c>
      <c r="AE606" s="257"/>
      <c r="AF606" s="257"/>
      <c r="AG606" s="257"/>
      <c r="AH606" s="257"/>
      <c r="AI606" s="257"/>
      <c r="AJ606" s="257"/>
      <c r="AK606" s="27">
        <v>0</v>
      </c>
      <c r="AL606" s="27">
        <v>0</v>
      </c>
      <c r="AM606" s="108">
        <v>10560000</v>
      </c>
      <c r="AN606" s="40"/>
      <c r="AO606" s="27">
        <v>0</v>
      </c>
      <c r="AP606" s="290">
        <v>0</v>
      </c>
      <c r="AQ606" s="290"/>
      <c r="AR606" s="525">
        <f t="shared" si="448"/>
        <v>72167604</v>
      </c>
    </row>
    <row r="607" spans="1:44" s="165" customFormat="1" ht="15" x14ac:dyDescent="0.25">
      <c r="A607" s="20"/>
      <c r="B607" s="21"/>
      <c r="C607" s="717"/>
      <c r="D607" s="733"/>
      <c r="E607" s="751"/>
      <c r="F607" s="751"/>
      <c r="G607" s="160"/>
      <c r="H607" s="161"/>
      <c r="I607" s="160"/>
      <c r="J607" s="161"/>
      <c r="K607" s="311"/>
      <c r="L607" s="311"/>
      <c r="M607" s="311"/>
      <c r="N607" s="163"/>
      <c r="O607" s="160"/>
      <c r="P607" s="161"/>
      <c r="Q607" s="164">
        <f t="shared" ref="Q607:X607" si="454">SUM(Q603:Q606)</f>
        <v>0</v>
      </c>
      <c r="R607" s="164">
        <f t="shared" si="454"/>
        <v>0</v>
      </c>
      <c r="S607" s="164">
        <f t="shared" si="454"/>
        <v>0</v>
      </c>
      <c r="T607" s="164">
        <f t="shared" si="454"/>
        <v>0</v>
      </c>
      <c r="U607" s="164">
        <f t="shared" si="454"/>
        <v>0</v>
      </c>
      <c r="V607" s="164">
        <f t="shared" si="454"/>
        <v>0</v>
      </c>
      <c r="W607" s="164">
        <f t="shared" si="454"/>
        <v>0</v>
      </c>
      <c r="X607" s="164">
        <f t="shared" si="454"/>
        <v>274307604</v>
      </c>
      <c r="Y607" s="164"/>
      <c r="Z607" s="164"/>
      <c r="AA607" s="164">
        <f>SUM(AA603:AA606)</f>
        <v>0</v>
      </c>
      <c r="AB607" s="164"/>
      <c r="AC607" s="164">
        <f>SUM(AC603:AC606)</f>
        <v>0</v>
      </c>
      <c r="AD607" s="164">
        <f>SUM(AD603:AD606)</f>
        <v>0</v>
      </c>
      <c r="AE607" s="164">
        <f>SUM(AE603:AE606)</f>
        <v>0</v>
      </c>
      <c r="AF607" s="164">
        <f>SUM(AF603:AF606)</f>
        <v>0</v>
      </c>
      <c r="AG607" s="164"/>
      <c r="AH607" s="164">
        <f t="shared" ref="AH607:AM607" si="455">SUM(AH603:AH606)</f>
        <v>0</v>
      </c>
      <c r="AI607" s="164">
        <f t="shared" si="455"/>
        <v>0</v>
      </c>
      <c r="AJ607" s="164">
        <f t="shared" si="455"/>
        <v>0</v>
      </c>
      <c r="AK607" s="164">
        <f t="shared" si="455"/>
        <v>0</v>
      </c>
      <c r="AL607" s="164">
        <f t="shared" si="455"/>
        <v>0</v>
      </c>
      <c r="AM607" s="248">
        <f t="shared" si="455"/>
        <v>130000000</v>
      </c>
      <c r="AN607" s="248">
        <f t="shared" ref="AN607:AP607" si="456">SUM(AN603:AN606)</f>
        <v>0</v>
      </c>
      <c r="AO607" s="248">
        <f t="shared" si="456"/>
        <v>0</v>
      </c>
      <c r="AP607" s="248">
        <f t="shared" si="456"/>
        <v>0</v>
      </c>
      <c r="AQ607" s="248">
        <f t="shared" ref="AQ607" si="457">SUM(AQ603:AQ606)</f>
        <v>0</v>
      </c>
      <c r="AR607" s="394">
        <f t="shared" si="448"/>
        <v>404307604</v>
      </c>
    </row>
    <row r="608" spans="1:44" s="165" customFormat="1" ht="15" x14ac:dyDescent="0.25">
      <c r="A608" s="20"/>
      <c r="B608" s="21"/>
      <c r="C608" s="760"/>
      <c r="D608" s="183"/>
      <c r="E608" s="760"/>
      <c r="F608" s="760"/>
      <c r="G608" s="183"/>
      <c r="H608" s="760"/>
      <c r="I608" s="183"/>
      <c r="J608" s="760"/>
      <c r="K608" s="760"/>
      <c r="L608" s="830"/>
      <c r="M608" s="830"/>
      <c r="N608" s="833"/>
      <c r="O608" s="829"/>
      <c r="P608" s="760"/>
      <c r="Q608" s="186"/>
      <c r="R608" s="186"/>
      <c r="S608" s="186"/>
      <c r="T608" s="186"/>
      <c r="U608" s="186"/>
      <c r="V608" s="186"/>
      <c r="W608" s="186"/>
      <c r="X608" s="186"/>
      <c r="Y608" s="186"/>
      <c r="Z608" s="186"/>
      <c r="AA608" s="186"/>
      <c r="AB608" s="186"/>
      <c r="AC608" s="186"/>
      <c r="AD608" s="186"/>
      <c r="AE608" s="186"/>
      <c r="AF608" s="186"/>
      <c r="AG608" s="186"/>
      <c r="AH608" s="186"/>
      <c r="AI608" s="186"/>
      <c r="AJ608" s="186"/>
      <c r="AK608" s="186"/>
      <c r="AL608" s="186"/>
      <c r="AM608" s="188"/>
      <c r="AN608" s="189"/>
      <c r="AO608" s="186"/>
      <c r="AP608" s="186"/>
      <c r="AQ608" s="186"/>
      <c r="AR608" s="710"/>
    </row>
    <row r="609" spans="1:44" s="165" customFormat="1" ht="15" x14ac:dyDescent="0.25">
      <c r="A609" s="20"/>
      <c r="B609" s="21"/>
      <c r="C609" s="760"/>
      <c r="D609" s="159"/>
      <c r="E609" s="604"/>
      <c r="F609" s="604"/>
      <c r="G609" s="337">
        <v>45</v>
      </c>
      <c r="H609" s="933" t="s">
        <v>771</v>
      </c>
      <c r="I609" s="933"/>
      <c r="J609" s="933"/>
      <c r="K609" s="933"/>
      <c r="L609" s="933"/>
      <c r="M609" s="933"/>
      <c r="N609" s="933"/>
      <c r="O609" s="933"/>
      <c r="P609" s="194"/>
      <c r="Q609" s="194"/>
      <c r="R609" s="194"/>
      <c r="S609" s="194"/>
      <c r="T609" s="194"/>
      <c r="U609" s="194"/>
      <c r="V609" s="194"/>
      <c r="W609" s="194"/>
      <c r="X609" s="194"/>
      <c r="Y609" s="194"/>
      <c r="Z609" s="194"/>
      <c r="AA609" s="194"/>
      <c r="AB609" s="194"/>
      <c r="AC609" s="194"/>
      <c r="AD609" s="194"/>
      <c r="AE609" s="194"/>
      <c r="AF609" s="194"/>
      <c r="AG609" s="194"/>
      <c r="AH609" s="194"/>
      <c r="AI609" s="194"/>
      <c r="AJ609" s="194"/>
      <c r="AK609" s="194"/>
      <c r="AL609" s="194"/>
      <c r="AM609" s="196"/>
      <c r="AN609" s="194"/>
      <c r="AO609" s="194"/>
      <c r="AP609" s="194"/>
      <c r="AQ609" s="194"/>
      <c r="AR609" s="400"/>
    </row>
    <row r="610" spans="1:44" s="165" customFormat="1" ht="74.25" customHeight="1" x14ac:dyDescent="0.25">
      <c r="A610" s="20"/>
      <c r="B610" s="21"/>
      <c r="C610" s="980" t="s">
        <v>772</v>
      </c>
      <c r="D610" s="941" t="s">
        <v>773</v>
      </c>
      <c r="E610" s="924" t="s">
        <v>774</v>
      </c>
      <c r="F610" s="924" t="s">
        <v>775</v>
      </c>
      <c r="G610" s="953"/>
      <c r="H610" s="33">
        <v>158</v>
      </c>
      <c r="I610" s="762" t="s">
        <v>776</v>
      </c>
      <c r="J610" s="33" t="s">
        <v>38</v>
      </c>
      <c r="K610" s="767">
        <v>11</v>
      </c>
      <c r="L610" s="767">
        <v>11</v>
      </c>
      <c r="M610" s="924" t="s">
        <v>681</v>
      </c>
      <c r="N610" s="948" t="s">
        <v>777</v>
      </c>
      <c r="O610" s="941" t="s">
        <v>778</v>
      </c>
      <c r="P610" s="767" t="s">
        <v>47</v>
      </c>
      <c r="Q610" s="27">
        <v>0</v>
      </c>
      <c r="R610" s="27">
        <v>0</v>
      </c>
      <c r="S610" s="27">
        <v>0</v>
      </c>
      <c r="T610" s="27">
        <v>0</v>
      </c>
      <c r="U610" s="27">
        <v>0</v>
      </c>
      <c r="V610" s="27">
        <v>0</v>
      </c>
      <c r="W610" s="27">
        <v>0</v>
      </c>
      <c r="X610" s="27">
        <f>1396230606+100000000</f>
        <v>1496230606</v>
      </c>
      <c r="Y610" s="15"/>
      <c r="Z610" s="15"/>
      <c r="AA610" s="319">
        <v>0</v>
      </c>
      <c r="AB610" s="319"/>
      <c r="AC610" s="319">
        <v>0</v>
      </c>
      <c r="AD610" s="319">
        <v>0</v>
      </c>
      <c r="AE610" s="257"/>
      <c r="AF610" s="257"/>
      <c r="AG610" s="257"/>
      <c r="AH610" s="257"/>
      <c r="AI610" s="257"/>
      <c r="AJ610" s="257"/>
      <c r="AK610" s="319">
        <v>0</v>
      </c>
      <c r="AL610" s="319">
        <v>0</v>
      </c>
      <c r="AM610" s="506">
        <v>0</v>
      </c>
      <c r="AN610" s="507"/>
      <c r="AO610" s="319">
        <v>0</v>
      </c>
      <c r="AP610" s="290">
        <v>0</v>
      </c>
      <c r="AQ610" s="290"/>
      <c r="AR610" s="525">
        <f t="shared" si="448"/>
        <v>1496230606</v>
      </c>
    </row>
    <row r="611" spans="1:44" s="165" customFormat="1" ht="61.5" customHeight="1" x14ac:dyDescent="0.25">
      <c r="A611" s="20"/>
      <c r="B611" s="21"/>
      <c r="C611" s="981"/>
      <c r="D611" s="943"/>
      <c r="E611" s="926"/>
      <c r="F611" s="926"/>
      <c r="G611" s="955"/>
      <c r="H611" s="33">
        <v>159</v>
      </c>
      <c r="I611" s="762" t="s">
        <v>779</v>
      </c>
      <c r="J611" s="33" t="s">
        <v>38</v>
      </c>
      <c r="K611" s="767">
        <v>8</v>
      </c>
      <c r="L611" s="767">
        <v>0</v>
      </c>
      <c r="M611" s="926"/>
      <c r="N611" s="949"/>
      <c r="O611" s="943"/>
      <c r="P611" s="767" t="s">
        <v>47</v>
      </c>
      <c r="Q611" s="27">
        <v>0</v>
      </c>
      <c r="R611" s="27">
        <v>0</v>
      </c>
      <c r="S611" s="27">
        <v>0</v>
      </c>
      <c r="T611" s="27">
        <v>0</v>
      </c>
      <c r="U611" s="27">
        <v>0</v>
      </c>
      <c r="V611" s="27">
        <v>0</v>
      </c>
      <c r="W611" s="27">
        <v>0</v>
      </c>
      <c r="X611" s="257">
        <v>0</v>
      </c>
      <c r="Y611" s="27"/>
      <c r="Z611" s="27"/>
      <c r="AA611" s="319">
        <v>0</v>
      </c>
      <c r="AB611" s="319"/>
      <c r="AC611" s="319">
        <v>0</v>
      </c>
      <c r="AD611" s="319">
        <v>0</v>
      </c>
      <c r="AE611" s="257"/>
      <c r="AF611" s="257"/>
      <c r="AG611" s="257"/>
      <c r="AH611" s="257"/>
      <c r="AI611" s="257"/>
      <c r="AJ611" s="257"/>
      <c r="AK611" s="319">
        <v>0</v>
      </c>
      <c r="AL611" s="319">
        <v>0</v>
      </c>
      <c r="AM611" s="506">
        <v>0</v>
      </c>
      <c r="AN611" s="507"/>
      <c r="AO611" s="319">
        <v>0</v>
      </c>
      <c r="AP611" s="290">
        <v>0</v>
      </c>
      <c r="AQ611" s="290"/>
      <c r="AR611" s="525">
        <f t="shared" si="448"/>
        <v>0</v>
      </c>
    </row>
    <row r="612" spans="1:44" s="165" customFormat="1" ht="15" x14ac:dyDescent="0.25">
      <c r="A612" s="20"/>
      <c r="B612" s="21"/>
      <c r="C612" s="761"/>
      <c r="D612" s="159"/>
      <c r="E612" s="604"/>
      <c r="F612" s="604"/>
      <c r="G612" s="298"/>
      <c r="H612" s="311"/>
      <c r="I612" s="160"/>
      <c r="J612" s="311"/>
      <c r="K612" s="161"/>
      <c r="L612" s="161"/>
      <c r="M612" s="161"/>
      <c r="N612" s="163"/>
      <c r="O612" s="160"/>
      <c r="P612" s="161"/>
      <c r="Q612" s="164">
        <f t="shared" ref="Q612:X612" si="458">SUM(Q610:Q611)</f>
        <v>0</v>
      </c>
      <c r="R612" s="164">
        <f t="shared" si="458"/>
        <v>0</v>
      </c>
      <c r="S612" s="164">
        <f t="shared" si="458"/>
        <v>0</v>
      </c>
      <c r="T612" s="164">
        <f t="shared" si="458"/>
        <v>0</v>
      </c>
      <c r="U612" s="164">
        <f t="shared" si="458"/>
        <v>0</v>
      </c>
      <c r="V612" s="164">
        <f t="shared" si="458"/>
        <v>0</v>
      </c>
      <c r="W612" s="164">
        <f t="shared" si="458"/>
        <v>0</v>
      </c>
      <c r="X612" s="164">
        <f t="shared" si="458"/>
        <v>1496230606</v>
      </c>
      <c r="Y612" s="164"/>
      <c r="Z612" s="164"/>
      <c r="AA612" s="164">
        <f>SUM(AA610:AA611)</f>
        <v>0</v>
      </c>
      <c r="AB612" s="164"/>
      <c r="AC612" s="164">
        <f>SUM(AC610:AC611)</f>
        <v>0</v>
      </c>
      <c r="AD612" s="164">
        <f t="shared" ref="AD612" si="459">SUM(AD610:AD611)</f>
        <v>0</v>
      </c>
      <c r="AE612" s="164">
        <f>SUM(AE610:AE611)</f>
        <v>0</v>
      </c>
      <c r="AF612" s="164">
        <f>SUM(AF610:AF611)</f>
        <v>0</v>
      </c>
      <c r="AG612" s="164">
        <f t="shared" ref="AG612:AH612" si="460">SUM(AG610:AG611)</f>
        <v>0</v>
      </c>
      <c r="AH612" s="164">
        <f t="shared" si="460"/>
        <v>0</v>
      </c>
      <c r="AI612" s="164">
        <f t="shared" ref="AI612:AO612" si="461">SUM(AI610:AI611)</f>
        <v>0</v>
      </c>
      <c r="AJ612" s="164">
        <f t="shared" si="461"/>
        <v>0</v>
      </c>
      <c r="AK612" s="164">
        <f t="shared" si="461"/>
        <v>0</v>
      </c>
      <c r="AL612" s="164">
        <f t="shared" si="461"/>
        <v>0</v>
      </c>
      <c r="AM612" s="248">
        <f t="shared" si="461"/>
        <v>0</v>
      </c>
      <c r="AN612" s="248">
        <f t="shared" si="461"/>
        <v>0</v>
      </c>
      <c r="AO612" s="248">
        <f t="shared" si="461"/>
        <v>0</v>
      </c>
      <c r="AP612" s="164">
        <f>SUM(AP610:AP611)</f>
        <v>0</v>
      </c>
      <c r="AQ612" s="164">
        <f>SUM(AQ610:AQ611)</f>
        <v>0</v>
      </c>
      <c r="AR612" s="394">
        <f t="shared" si="448"/>
        <v>1496230606</v>
      </c>
    </row>
    <row r="613" spans="1:44" s="165" customFormat="1" ht="15" x14ac:dyDescent="0.25">
      <c r="A613" s="20"/>
      <c r="B613" s="21"/>
      <c r="C613" s="760"/>
      <c r="D613" s="183"/>
      <c r="E613" s="760"/>
      <c r="F613" s="760"/>
      <c r="G613" s="183"/>
      <c r="H613" s="760"/>
      <c r="I613" s="183"/>
      <c r="J613" s="760"/>
      <c r="K613" s="760"/>
      <c r="L613" s="830"/>
      <c r="M613" s="830"/>
      <c r="N613" s="833"/>
      <c r="O613" s="829"/>
      <c r="P613" s="760"/>
      <c r="Q613" s="186"/>
      <c r="R613" s="186"/>
      <c r="S613" s="186"/>
      <c r="T613" s="186"/>
      <c r="U613" s="186"/>
      <c r="V613" s="186"/>
      <c r="W613" s="186"/>
      <c r="X613" s="186"/>
      <c r="Y613" s="186"/>
      <c r="Z613" s="186"/>
      <c r="AA613" s="186"/>
      <c r="AB613" s="186"/>
      <c r="AC613" s="186"/>
      <c r="AD613" s="186"/>
      <c r="AE613" s="186"/>
      <c r="AF613" s="186"/>
      <c r="AG613" s="186"/>
      <c r="AH613" s="186"/>
      <c r="AI613" s="186"/>
      <c r="AJ613" s="186"/>
      <c r="AK613" s="186"/>
      <c r="AL613" s="186"/>
      <c r="AM613" s="188"/>
      <c r="AN613" s="189"/>
      <c r="AO613" s="186"/>
      <c r="AP613" s="186"/>
      <c r="AQ613" s="186"/>
      <c r="AR613" s="710"/>
    </row>
    <row r="614" spans="1:44" s="165" customFormat="1" ht="15" x14ac:dyDescent="0.25">
      <c r="A614" s="20"/>
      <c r="B614" s="21"/>
      <c r="C614" s="760"/>
      <c r="D614" s="159"/>
      <c r="E614" s="604"/>
      <c r="F614" s="604"/>
      <c r="G614" s="337">
        <v>46</v>
      </c>
      <c r="H614" s="933" t="s">
        <v>780</v>
      </c>
      <c r="I614" s="933"/>
      <c r="J614" s="933"/>
      <c r="K614" s="933"/>
      <c r="L614" s="933"/>
      <c r="M614" s="933"/>
      <c r="N614" s="933"/>
      <c r="O614" s="933"/>
      <c r="P614" s="933"/>
      <c r="Q614" s="933"/>
      <c r="R614" s="194"/>
      <c r="S614" s="194"/>
      <c r="T614" s="194"/>
      <c r="U614" s="194"/>
      <c r="V614" s="194"/>
      <c r="W614" s="194"/>
      <c r="X614" s="194"/>
      <c r="Y614" s="194"/>
      <c r="Z614" s="194"/>
      <c r="AA614" s="194"/>
      <c r="AB614" s="194"/>
      <c r="AC614" s="194"/>
      <c r="AD614" s="194"/>
      <c r="AE614" s="194"/>
      <c r="AF614" s="194"/>
      <c r="AG614" s="194"/>
      <c r="AH614" s="194"/>
      <c r="AI614" s="194"/>
      <c r="AJ614" s="194"/>
      <c r="AK614" s="194"/>
      <c r="AL614" s="194"/>
      <c r="AM614" s="196"/>
      <c r="AN614" s="194"/>
      <c r="AO614" s="194"/>
      <c r="AP614" s="194"/>
      <c r="AQ614" s="194"/>
      <c r="AR614" s="400"/>
    </row>
    <row r="615" spans="1:44" s="165" customFormat="1" ht="54.95" customHeight="1" x14ac:dyDescent="0.25">
      <c r="A615" s="20"/>
      <c r="B615" s="21"/>
      <c r="C615" s="761">
        <v>26</v>
      </c>
      <c r="D615" s="731" t="s">
        <v>781</v>
      </c>
      <c r="E615" s="723" t="s">
        <v>720</v>
      </c>
      <c r="F615" s="723" t="s">
        <v>782</v>
      </c>
      <c r="G615" s="24"/>
      <c r="H615" s="767">
        <v>160</v>
      </c>
      <c r="I615" s="71" t="s">
        <v>783</v>
      </c>
      <c r="J615" s="767">
        <v>250</v>
      </c>
      <c r="K615" s="767">
        <v>300</v>
      </c>
      <c r="L615" s="767">
        <v>347</v>
      </c>
      <c r="M615" s="767" t="s">
        <v>681</v>
      </c>
      <c r="N615" s="39" t="s">
        <v>784</v>
      </c>
      <c r="O615" s="762" t="s">
        <v>785</v>
      </c>
      <c r="P615" s="767" t="s">
        <v>47</v>
      </c>
      <c r="Q615" s="27">
        <v>0</v>
      </c>
      <c r="R615" s="27">
        <v>0</v>
      </c>
      <c r="S615" s="27">
        <v>0</v>
      </c>
      <c r="T615" s="27">
        <v>0</v>
      </c>
      <c r="U615" s="27">
        <v>0</v>
      </c>
      <c r="V615" s="27">
        <v>0</v>
      </c>
      <c r="W615" s="27">
        <v>0</v>
      </c>
      <c r="X615" s="27">
        <f>1021461289+229853919</f>
        <v>1251315208</v>
      </c>
      <c r="Y615" s="15"/>
      <c r="Z615" s="15"/>
      <c r="AA615" s="27">
        <v>0</v>
      </c>
      <c r="AB615" s="27"/>
      <c r="AC615" s="319">
        <v>0</v>
      </c>
      <c r="AD615" s="319">
        <v>0</v>
      </c>
      <c r="AE615" s="257"/>
      <c r="AF615" s="257"/>
      <c r="AG615" s="257"/>
      <c r="AH615" s="257"/>
      <c r="AI615" s="257"/>
      <c r="AJ615" s="257"/>
      <c r="AK615" s="319">
        <v>0</v>
      </c>
      <c r="AL615" s="319">
        <v>0</v>
      </c>
      <c r="AM615" s="506">
        <v>0</v>
      </c>
      <c r="AN615" s="507"/>
      <c r="AO615" s="319">
        <v>0</v>
      </c>
      <c r="AP615" s="290">
        <v>0</v>
      </c>
      <c r="AQ615" s="290"/>
      <c r="AR615" s="525">
        <f t="shared" si="448"/>
        <v>1251315208</v>
      </c>
    </row>
    <row r="616" spans="1:44" s="165" customFormat="1" ht="71.25" x14ac:dyDescent="0.25">
      <c r="A616" s="20"/>
      <c r="B616" s="21"/>
      <c r="C616" s="924" t="s">
        <v>786</v>
      </c>
      <c r="D616" s="924" t="s">
        <v>787</v>
      </c>
      <c r="E616" s="924" t="s">
        <v>788</v>
      </c>
      <c r="F616" s="924" t="s">
        <v>789</v>
      </c>
      <c r="G616" s="30"/>
      <c r="H616" s="767">
        <v>161</v>
      </c>
      <c r="I616" s="762" t="s">
        <v>790</v>
      </c>
      <c r="J616" s="767">
        <v>90</v>
      </c>
      <c r="K616" s="767">
        <v>100</v>
      </c>
      <c r="L616" s="767">
        <v>118</v>
      </c>
      <c r="M616" s="924" t="s">
        <v>681</v>
      </c>
      <c r="N616" s="948" t="s">
        <v>791</v>
      </c>
      <c r="O616" s="941" t="s">
        <v>792</v>
      </c>
      <c r="P616" s="767" t="s">
        <v>47</v>
      </c>
      <c r="Q616" s="27">
        <v>0</v>
      </c>
      <c r="R616" s="27">
        <v>0</v>
      </c>
      <c r="S616" s="27">
        <v>0</v>
      </c>
      <c r="T616" s="27">
        <v>0</v>
      </c>
      <c r="U616" s="27">
        <v>0</v>
      </c>
      <c r="V616" s="27">
        <v>0</v>
      </c>
      <c r="W616" s="27">
        <v>0</v>
      </c>
      <c r="X616" s="257">
        <v>87500000</v>
      </c>
      <c r="Y616" s="15"/>
      <c r="Z616" s="15"/>
      <c r="AA616" s="27">
        <v>0</v>
      </c>
      <c r="AB616" s="27"/>
      <c r="AC616" s="319">
        <v>0</v>
      </c>
      <c r="AD616" s="319">
        <v>0</v>
      </c>
      <c r="AE616" s="257"/>
      <c r="AF616" s="257"/>
      <c r="AG616" s="257"/>
      <c r="AH616" s="257"/>
      <c r="AI616" s="257"/>
      <c r="AJ616" s="257"/>
      <c r="AK616" s="319">
        <v>0</v>
      </c>
      <c r="AL616" s="319">
        <v>0</v>
      </c>
      <c r="AM616" s="506">
        <v>0</v>
      </c>
      <c r="AN616" s="507"/>
      <c r="AO616" s="319">
        <v>0</v>
      </c>
      <c r="AP616" s="290">
        <v>0</v>
      </c>
      <c r="AQ616" s="290"/>
      <c r="AR616" s="525">
        <f t="shared" si="448"/>
        <v>87500000</v>
      </c>
    </row>
    <row r="617" spans="1:44" s="165" customFormat="1" ht="75.75" customHeight="1" x14ac:dyDescent="0.25">
      <c r="A617" s="20"/>
      <c r="B617" s="21"/>
      <c r="C617" s="926"/>
      <c r="D617" s="926"/>
      <c r="E617" s="926"/>
      <c r="F617" s="926"/>
      <c r="G617" s="32"/>
      <c r="H617" s="767">
        <v>162</v>
      </c>
      <c r="I617" s="762" t="s">
        <v>793</v>
      </c>
      <c r="J617" s="767">
        <v>83</v>
      </c>
      <c r="K617" s="767">
        <v>83</v>
      </c>
      <c r="L617" s="723">
        <v>77</v>
      </c>
      <c r="M617" s="926"/>
      <c r="N617" s="949"/>
      <c r="O617" s="943"/>
      <c r="P617" s="767" t="s">
        <v>47</v>
      </c>
      <c r="Q617" s="27">
        <v>0</v>
      </c>
      <c r="R617" s="27">
        <v>0</v>
      </c>
      <c r="S617" s="27">
        <v>0</v>
      </c>
      <c r="T617" s="27">
        <v>0</v>
      </c>
      <c r="U617" s="27">
        <v>0</v>
      </c>
      <c r="V617" s="27">
        <v>0</v>
      </c>
      <c r="W617" s="27">
        <v>0</v>
      </c>
      <c r="X617" s="257">
        <v>279309844</v>
      </c>
      <c r="Y617" s="15"/>
      <c r="Z617" s="15"/>
      <c r="AA617" s="27">
        <v>0</v>
      </c>
      <c r="AB617" s="27"/>
      <c r="AC617" s="319">
        <v>0</v>
      </c>
      <c r="AD617" s="319">
        <v>0</v>
      </c>
      <c r="AE617" s="257"/>
      <c r="AF617" s="257"/>
      <c r="AG617" s="257"/>
      <c r="AH617" s="257"/>
      <c r="AI617" s="257"/>
      <c r="AJ617" s="257"/>
      <c r="AK617" s="319">
        <v>0</v>
      </c>
      <c r="AL617" s="319">
        <v>0</v>
      </c>
      <c r="AM617" s="506">
        <v>0</v>
      </c>
      <c r="AN617" s="507"/>
      <c r="AO617" s="319">
        <v>0</v>
      </c>
      <c r="AP617" s="290">
        <v>0</v>
      </c>
      <c r="AQ617" s="290"/>
      <c r="AR617" s="525">
        <f t="shared" si="448"/>
        <v>279309844</v>
      </c>
    </row>
    <row r="618" spans="1:44" s="165" customFormat="1" ht="15" x14ac:dyDescent="0.25">
      <c r="A618" s="21"/>
      <c r="B618" s="158"/>
      <c r="C618" s="761"/>
      <c r="D618" s="159"/>
      <c r="E618" s="604"/>
      <c r="F618" s="604"/>
      <c r="G618" s="160"/>
      <c r="H618" s="161"/>
      <c r="I618" s="160"/>
      <c r="J618" s="161"/>
      <c r="K618" s="161"/>
      <c r="L618" s="161"/>
      <c r="M618" s="161"/>
      <c r="N618" s="163"/>
      <c r="O618" s="160"/>
      <c r="P618" s="161"/>
      <c r="Q618" s="164">
        <f t="shared" ref="Q618:X618" si="462">SUM(Q615:Q617)</f>
        <v>0</v>
      </c>
      <c r="R618" s="164">
        <f t="shared" si="462"/>
        <v>0</v>
      </c>
      <c r="S618" s="164">
        <f t="shared" si="462"/>
        <v>0</v>
      </c>
      <c r="T618" s="164">
        <f t="shared" si="462"/>
        <v>0</v>
      </c>
      <c r="U618" s="164">
        <f t="shared" si="462"/>
        <v>0</v>
      </c>
      <c r="V618" s="164">
        <f t="shared" si="462"/>
        <v>0</v>
      </c>
      <c r="W618" s="164">
        <f t="shared" si="462"/>
        <v>0</v>
      </c>
      <c r="X618" s="164">
        <f t="shared" si="462"/>
        <v>1618125052</v>
      </c>
      <c r="Y618" s="164"/>
      <c r="Z618" s="164"/>
      <c r="AA618" s="164">
        <f>SUM(AA615:AA617)</f>
        <v>0</v>
      </c>
      <c r="AB618" s="164"/>
      <c r="AC618" s="164">
        <f>SUM(AC615:AC617)</f>
        <v>0</v>
      </c>
      <c r="AD618" s="164">
        <f t="shared" ref="AD618" si="463">SUM(AD615:AD617)</f>
        <v>0</v>
      </c>
      <c r="AE618" s="164">
        <f>SUM(AE615:AE617)</f>
        <v>0</v>
      </c>
      <c r="AF618" s="164">
        <f>SUM(AF615:AF617)</f>
        <v>0</v>
      </c>
      <c r="AG618" s="164">
        <f t="shared" ref="AG618:AO618" si="464">SUM(AG615:AG617)</f>
        <v>0</v>
      </c>
      <c r="AH618" s="164">
        <f t="shared" si="464"/>
        <v>0</v>
      </c>
      <c r="AI618" s="164">
        <f t="shared" si="464"/>
        <v>0</v>
      </c>
      <c r="AJ618" s="164">
        <f t="shared" si="464"/>
        <v>0</v>
      </c>
      <c r="AK618" s="164">
        <f t="shared" si="464"/>
        <v>0</v>
      </c>
      <c r="AL618" s="164">
        <f t="shared" si="464"/>
        <v>0</v>
      </c>
      <c r="AM618" s="164">
        <f t="shared" si="464"/>
        <v>0</v>
      </c>
      <c r="AN618" s="164">
        <f t="shared" si="464"/>
        <v>0</v>
      </c>
      <c r="AO618" s="164">
        <f t="shared" si="464"/>
        <v>0</v>
      </c>
      <c r="AP618" s="164">
        <f t="shared" ref="AP618" si="465">SUM(AP615:AP617)</f>
        <v>0</v>
      </c>
      <c r="AQ618" s="164">
        <f t="shared" ref="AQ618" si="466">SUM(AQ615:AQ617)</f>
        <v>0</v>
      </c>
      <c r="AR618" s="394">
        <f t="shared" si="448"/>
        <v>1618125052</v>
      </c>
    </row>
    <row r="619" spans="1:44" s="165" customFormat="1" ht="15" x14ac:dyDescent="0.25">
      <c r="A619" s="21"/>
      <c r="B619" s="227"/>
      <c r="C619" s="168"/>
      <c r="D619" s="167"/>
      <c r="E619" s="168"/>
      <c r="F619" s="168"/>
      <c r="G619" s="167"/>
      <c r="H619" s="168"/>
      <c r="I619" s="167"/>
      <c r="J619" s="168"/>
      <c r="K619" s="168"/>
      <c r="L619" s="168"/>
      <c r="M619" s="168"/>
      <c r="N619" s="170"/>
      <c r="O619" s="167"/>
      <c r="P619" s="168"/>
      <c r="Q619" s="171">
        <f t="shared" ref="Q619:X619" si="467">Q618+Q612+Q607+Q600+Q594+Q589+Q584+Q576+Q570+Q564+Q557</f>
        <v>0</v>
      </c>
      <c r="R619" s="171">
        <f t="shared" si="467"/>
        <v>0</v>
      </c>
      <c r="S619" s="171">
        <f t="shared" si="467"/>
        <v>0</v>
      </c>
      <c r="T619" s="171">
        <f t="shared" si="467"/>
        <v>0</v>
      </c>
      <c r="U619" s="171">
        <f t="shared" si="467"/>
        <v>0</v>
      </c>
      <c r="V619" s="171">
        <f t="shared" si="467"/>
        <v>0</v>
      </c>
      <c r="W619" s="171">
        <f t="shared" si="467"/>
        <v>0</v>
      </c>
      <c r="X619" s="171">
        <f t="shared" si="467"/>
        <v>4519555903.996911</v>
      </c>
      <c r="Y619" s="171"/>
      <c r="Z619" s="171"/>
      <c r="AA619" s="171">
        <f>AA618+AA612+AA607+AA600+AA594+AA589+AA584+AA576+AA570+AA564+AA557</f>
        <v>100000000</v>
      </c>
      <c r="AB619" s="171"/>
      <c r="AC619" s="171">
        <f>AC618+AC612+AC607+AC600+AC594+AC589+AC584+AC576+AC570+AC564+AC557</f>
        <v>1378557211</v>
      </c>
      <c r="AD619" s="171">
        <f t="shared" ref="AD619" si="468">AD618+AD612+AD607+AD600+AD594+AD589+AD584+AD576+AD570+AD564+AD557</f>
        <v>25351743</v>
      </c>
      <c r="AE619" s="171">
        <f>AE618+AE612+AE607+AE600+AE594+AE589+AE584+AE576+AE570+AE564+AE557</f>
        <v>0</v>
      </c>
      <c r="AF619" s="171">
        <f>AF618+AF612+AF607+AF600+AF594+AF589+AF584+AF576+AF570+AF564+AF557</f>
        <v>0</v>
      </c>
      <c r="AG619" s="171">
        <f t="shared" ref="AG619:AO619" si="469">AG618+AG612+AG607+AG600+AG594+AG589+AG584+AG576+AG570+AG564+AG557</f>
        <v>0</v>
      </c>
      <c r="AH619" s="171">
        <f t="shared" si="469"/>
        <v>0</v>
      </c>
      <c r="AI619" s="171">
        <f t="shared" si="469"/>
        <v>0</v>
      </c>
      <c r="AJ619" s="171">
        <f t="shared" si="469"/>
        <v>0</v>
      </c>
      <c r="AK619" s="171">
        <f t="shared" si="469"/>
        <v>0</v>
      </c>
      <c r="AL619" s="171">
        <f t="shared" si="469"/>
        <v>0</v>
      </c>
      <c r="AM619" s="171">
        <f t="shared" si="469"/>
        <v>230000000</v>
      </c>
      <c r="AN619" s="171">
        <f t="shared" si="469"/>
        <v>0</v>
      </c>
      <c r="AO619" s="171">
        <f t="shared" si="469"/>
        <v>0</v>
      </c>
      <c r="AP619" s="171">
        <f t="shared" ref="AP619" si="470">AP618+AP612+AP607+AP600+AP594+AP589+AP584+AP576+AP570+AP564+AP557</f>
        <v>475605641</v>
      </c>
      <c r="AQ619" s="171">
        <f t="shared" ref="AQ619" si="471">AQ618+AQ612+AQ607+AQ600+AQ594+AQ589+AQ584+AQ576+AQ570+AQ564+AQ557</f>
        <v>0</v>
      </c>
      <c r="AR619" s="395">
        <f t="shared" si="448"/>
        <v>6729070498.996911</v>
      </c>
    </row>
    <row r="620" spans="1:44" s="29" customFormat="1" ht="15" x14ac:dyDescent="0.25">
      <c r="A620" s="21"/>
      <c r="B620" s="183"/>
      <c r="C620" s="760"/>
      <c r="D620" s="183"/>
      <c r="E620" s="760"/>
      <c r="F620" s="760"/>
      <c r="G620" s="183"/>
      <c r="H620" s="760"/>
      <c r="I620" s="183"/>
      <c r="J620" s="760"/>
      <c r="K620" s="760"/>
      <c r="L620" s="830"/>
      <c r="M620" s="830"/>
      <c r="N620" s="833"/>
      <c r="O620" s="829"/>
      <c r="P620" s="760"/>
      <c r="Q620" s="186"/>
      <c r="R620" s="186"/>
      <c r="S620" s="186"/>
      <c r="T620" s="186"/>
      <c r="U620" s="186"/>
      <c r="V620" s="186"/>
      <c r="W620" s="186"/>
      <c r="X620" s="186"/>
      <c r="Y620" s="186"/>
      <c r="Z620" s="186"/>
      <c r="AA620" s="186"/>
      <c r="AB620" s="186"/>
      <c r="AC620" s="186"/>
      <c r="AD620" s="186"/>
      <c r="AE620" s="186"/>
      <c r="AF620" s="186"/>
      <c r="AG620" s="186"/>
      <c r="AH620" s="186"/>
      <c r="AI620" s="186"/>
      <c r="AJ620" s="186"/>
      <c r="AK620" s="186"/>
      <c r="AL620" s="186"/>
      <c r="AM620" s="188"/>
      <c r="AN620" s="186"/>
      <c r="AO620" s="186"/>
      <c r="AP620" s="186"/>
      <c r="AQ620" s="186"/>
      <c r="AR620" s="710"/>
    </row>
    <row r="621" spans="1:44" s="29" customFormat="1" x14ac:dyDescent="0.25">
      <c r="A621" s="21"/>
      <c r="B621" s="881">
        <v>13</v>
      </c>
      <c r="C621" s="148" t="s">
        <v>794</v>
      </c>
      <c r="D621" s="149"/>
      <c r="E621" s="149"/>
      <c r="F621" s="149"/>
      <c r="G621" s="149"/>
      <c r="H621" s="150"/>
      <c r="I621" s="149"/>
      <c r="J621" s="149"/>
      <c r="K621" s="149"/>
      <c r="L621" s="149"/>
      <c r="M621" s="149"/>
      <c r="N621" s="151"/>
      <c r="O621" s="149"/>
      <c r="P621" s="149"/>
      <c r="Q621" s="149"/>
      <c r="R621" s="149"/>
      <c r="S621" s="149"/>
      <c r="T621" s="149"/>
      <c r="U621" s="149"/>
      <c r="V621" s="149"/>
      <c r="W621" s="149"/>
      <c r="X621" s="149"/>
      <c r="Y621" s="149"/>
      <c r="Z621" s="149"/>
      <c r="AA621" s="149"/>
      <c r="AB621" s="149"/>
      <c r="AC621" s="149"/>
      <c r="AD621" s="149"/>
      <c r="AE621" s="149"/>
      <c r="AF621" s="149"/>
      <c r="AG621" s="149"/>
      <c r="AH621" s="149"/>
      <c r="AI621" s="149"/>
      <c r="AJ621" s="149"/>
      <c r="AK621" s="149"/>
      <c r="AL621" s="149"/>
      <c r="AM621" s="152"/>
      <c r="AN621" s="149"/>
      <c r="AO621" s="149"/>
      <c r="AP621" s="149"/>
      <c r="AQ621" s="149"/>
      <c r="AR621" s="711"/>
    </row>
    <row r="622" spans="1:44" s="29" customFormat="1" ht="15" x14ac:dyDescent="0.25">
      <c r="A622" s="20"/>
      <c r="B622" s="21"/>
      <c r="C622" s="760"/>
      <c r="D622" s="183"/>
      <c r="E622" s="760"/>
      <c r="F622" s="761"/>
      <c r="G622" s="370">
        <v>47</v>
      </c>
      <c r="H622" s="933" t="s">
        <v>795</v>
      </c>
      <c r="I622" s="933"/>
      <c r="J622" s="933"/>
      <c r="K622" s="933"/>
      <c r="L622" s="933"/>
      <c r="M622" s="933"/>
      <c r="N622" s="933"/>
      <c r="O622" s="933"/>
      <c r="P622" s="933"/>
      <c r="Q622" s="194"/>
      <c r="R622" s="194"/>
      <c r="S622" s="194"/>
      <c r="T622" s="194"/>
      <c r="U622" s="194"/>
      <c r="V622" s="194"/>
      <c r="W622" s="194"/>
      <c r="X622" s="194"/>
      <c r="Y622" s="194"/>
      <c r="Z622" s="194"/>
      <c r="AA622" s="194"/>
      <c r="AB622" s="194"/>
      <c r="AC622" s="194"/>
      <c r="AD622" s="194"/>
      <c r="AE622" s="194"/>
      <c r="AF622" s="194"/>
      <c r="AG622" s="194"/>
      <c r="AH622" s="194"/>
      <c r="AI622" s="194"/>
      <c r="AJ622" s="194"/>
      <c r="AK622" s="194"/>
      <c r="AL622" s="194"/>
      <c r="AM622" s="196"/>
      <c r="AN622" s="194"/>
      <c r="AO622" s="194"/>
      <c r="AP622" s="194"/>
      <c r="AQ622" s="194"/>
      <c r="AR622" s="400"/>
    </row>
    <row r="623" spans="1:44" s="165" customFormat="1" ht="54.95" customHeight="1" x14ac:dyDescent="0.25">
      <c r="A623" s="20"/>
      <c r="B623" s="21"/>
      <c r="C623" s="477">
        <v>27</v>
      </c>
      <c r="D623" s="522" t="s">
        <v>796</v>
      </c>
      <c r="E623" s="484">
        <v>0.89949999999999997</v>
      </c>
      <c r="F623" s="527">
        <v>0.92</v>
      </c>
      <c r="G623" s="7"/>
      <c r="H623" s="6">
        <v>163</v>
      </c>
      <c r="I623" s="7" t="s">
        <v>797</v>
      </c>
      <c r="J623" s="6">
        <v>12</v>
      </c>
      <c r="K623" s="767">
        <v>12</v>
      </c>
      <c r="L623" s="767">
        <v>12</v>
      </c>
      <c r="M623" s="6" t="s">
        <v>681</v>
      </c>
      <c r="N623" s="39" t="s">
        <v>798</v>
      </c>
      <c r="O623" s="7" t="s">
        <v>799</v>
      </c>
      <c r="P623" s="767" t="s">
        <v>47</v>
      </c>
      <c r="Q623" s="27">
        <v>0</v>
      </c>
      <c r="R623" s="27">
        <v>0</v>
      </c>
      <c r="S623" s="27">
        <v>0</v>
      </c>
      <c r="T623" s="27">
        <v>0</v>
      </c>
      <c r="U623" s="27">
        <v>0</v>
      </c>
      <c r="V623" s="27">
        <v>0</v>
      </c>
      <c r="W623" s="27">
        <v>0</v>
      </c>
      <c r="X623" s="27"/>
      <c r="Y623" s="27"/>
      <c r="Z623" s="27"/>
      <c r="AA623" s="15">
        <v>29046000</v>
      </c>
      <c r="AB623" s="15"/>
      <c r="AC623" s="27">
        <v>0</v>
      </c>
      <c r="AD623" s="319">
        <v>0</v>
      </c>
      <c r="AE623" s="257"/>
      <c r="AF623" s="257"/>
      <c r="AG623" s="257"/>
      <c r="AH623" s="257"/>
      <c r="AI623" s="257"/>
      <c r="AJ623" s="257"/>
      <c r="AK623" s="319">
        <v>0</v>
      </c>
      <c r="AL623" s="319">
        <v>0</v>
      </c>
      <c r="AM623" s="506">
        <v>0</v>
      </c>
      <c r="AN623" s="507"/>
      <c r="AO623" s="319">
        <v>0</v>
      </c>
      <c r="AP623" s="290">
        <v>0</v>
      </c>
      <c r="AQ623" s="290"/>
      <c r="AR623" s="525">
        <f t="shared" si="448"/>
        <v>29046000</v>
      </c>
    </row>
    <row r="624" spans="1:44" s="165" customFormat="1" ht="15" x14ac:dyDescent="0.25">
      <c r="A624" s="20"/>
      <c r="B624" s="21"/>
      <c r="C624" s="717"/>
      <c r="D624" s="733"/>
      <c r="E624" s="751"/>
      <c r="F624" s="751"/>
      <c r="G624" s="160"/>
      <c r="H624" s="161"/>
      <c r="I624" s="160"/>
      <c r="J624" s="161"/>
      <c r="K624" s="161"/>
      <c r="L624" s="161"/>
      <c r="M624" s="161"/>
      <c r="N624" s="163"/>
      <c r="O624" s="161"/>
      <c r="P624" s="161"/>
      <c r="Q624" s="164">
        <f t="shared" ref="Q624:X624" si="472">SUM(Q623)</f>
        <v>0</v>
      </c>
      <c r="R624" s="164">
        <f t="shared" si="472"/>
        <v>0</v>
      </c>
      <c r="S624" s="164">
        <f t="shared" si="472"/>
        <v>0</v>
      </c>
      <c r="T624" s="164">
        <f t="shared" si="472"/>
        <v>0</v>
      </c>
      <c r="U624" s="164">
        <f t="shared" si="472"/>
        <v>0</v>
      </c>
      <c r="V624" s="164">
        <f t="shared" si="472"/>
        <v>0</v>
      </c>
      <c r="W624" s="164">
        <f t="shared" si="472"/>
        <v>0</v>
      </c>
      <c r="X624" s="164">
        <f t="shared" si="472"/>
        <v>0</v>
      </c>
      <c r="Y624" s="164"/>
      <c r="Z624" s="164"/>
      <c r="AA624" s="164">
        <f>SUM(AA623)</f>
        <v>29046000</v>
      </c>
      <c r="AB624" s="164"/>
      <c r="AC624" s="164">
        <f>SUM(AC623)</f>
        <v>0</v>
      </c>
      <c r="AD624" s="164">
        <f>SUM(AD623)</f>
        <v>0</v>
      </c>
      <c r="AE624" s="164">
        <f>SUM(AE623)</f>
        <v>0</v>
      </c>
      <c r="AF624" s="164">
        <f>SUM(AF623)</f>
        <v>0</v>
      </c>
      <c r="AG624" s="164"/>
      <c r="AH624" s="164">
        <f t="shared" ref="AH624:AM624" si="473">SUM(AH623)</f>
        <v>0</v>
      </c>
      <c r="AI624" s="164">
        <f t="shared" si="473"/>
        <v>0</v>
      </c>
      <c r="AJ624" s="164">
        <f t="shared" si="473"/>
        <v>0</v>
      </c>
      <c r="AK624" s="164">
        <f t="shared" si="473"/>
        <v>0</v>
      </c>
      <c r="AL624" s="164">
        <f t="shared" si="473"/>
        <v>0</v>
      </c>
      <c r="AM624" s="248">
        <f t="shared" si="473"/>
        <v>0</v>
      </c>
      <c r="AN624" s="164"/>
      <c r="AO624" s="164">
        <f>SUM(AO623)</f>
        <v>0</v>
      </c>
      <c r="AP624" s="164">
        <f>SUM(AP623)</f>
        <v>0</v>
      </c>
      <c r="AQ624" s="164">
        <f>SUM(AQ623)</f>
        <v>0</v>
      </c>
      <c r="AR624" s="394">
        <f t="shared" si="448"/>
        <v>29046000</v>
      </c>
    </row>
    <row r="625" spans="1:44" s="165" customFormat="1" ht="15" x14ac:dyDescent="0.25">
      <c r="A625" s="20"/>
      <c r="B625" s="21"/>
      <c r="C625" s="760"/>
      <c r="D625" s="183"/>
      <c r="E625" s="760"/>
      <c r="F625" s="760"/>
      <c r="G625" s="183"/>
      <c r="H625" s="760"/>
      <c r="I625" s="183"/>
      <c r="J625" s="760"/>
      <c r="K625" s="760"/>
      <c r="L625" s="830"/>
      <c r="M625" s="830"/>
      <c r="N625" s="833"/>
      <c r="O625" s="830"/>
      <c r="P625" s="760"/>
      <c r="Q625" s="186"/>
      <c r="R625" s="186"/>
      <c r="S625" s="186"/>
      <c r="T625" s="186"/>
      <c r="U625" s="186"/>
      <c r="V625" s="186"/>
      <c r="W625" s="186"/>
      <c r="X625" s="186"/>
      <c r="Y625" s="186"/>
      <c r="Z625" s="186"/>
      <c r="AA625" s="186"/>
      <c r="AB625" s="186"/>
      <c r="AC625" s="186"/>
      <c r="AD625" s="186"/>
      <c r="AE625" s="186"/>
      <c r="AF625" s="186"/>
      <c r="AG625" s="186"/>
      <c r="AH625" s="186"/>
      <c r="AI625" s="186"/>
      <c r="AJ625" s="186"/>
      <c r="AK625" s="186"/>
      <c r="AL625" s="186"/>
      <c r="AM625" s="188"/>
      <c r="AN625" s="189"/>
      <c r="AO625" s="186"/>
      <c r="AP625" s="186"/>
      <c r="AQ625" s="186"/>
      <c r="AR625" s="710"/>
    </row>
    <row r="626" spans="1:44" s="165" customFormat="1" ht="15" x14ac:dyDescent="0.25">
      <c r="A626" s="20"/>
      <c r="B626" s="21"/>
      <c r="C626" s="760"/>
      <c r="D626" s="159"/>
      <c r="E626" s="604"/>
      <c r="F626" s="604"/>
      <c r="G626" s="337">
        <v>48</v>
      </c>
      <c r="H626" s="194" t="s">
        <v>800</v>
      </c>
      <c r="I626" s="194"/>
      <c r="J626" s="194"/>
      <c r="K626" s="194"/>
      <c r="L626" s="194"/>
      <c r="M626" s="194"/>
      <c r="N626" s="194"/>
      <c r="O626" s="194"/>
      <c r="P626" s="194"/>
      <c r="Q626" s="194"/>
      <c r="R626" s="194"/>
      <c r="S626" s="194"/>
      <c r="T626" s="194"/>
      <c r="U626" s="194"/>
      <c r="V626" s="194"/>
      <c r="W626" s="194"/>
      <c r="X626" s="194"/>
      <c r="Y626" s="194"/>
      <c r="Z626" s="194"/>
      <c r="AA626" s="194"/>
      <c r="AB626" s="194"/>
      <c r="AC626" s="194"/>
      <c r="AD626" s="194"/>
      <c r="AE626" s="194"/>
      <c r="AF626" s="194"/>
      <c r="AG626" s="194"/>
      <c r="AH626" s="194"/>
      <c r="AI626" s="194"/>
      <c r="AJ626" s="194"/>
      <c r="AK626" s="194"/>
      <c r="AL626" s="194"/>
      <c r="AM626" s="196"/>
      <c r="AN626" s="194"/>
      <c r="AO626" s="194"/>
      <c r="AP626" s="194"/>
      <c r="AQ626" s="194"/>
      <c r="AR626" s="400"/>
    </row>
    <row r="627" spans="1:44" s="165" customFormat="1" ht="50.1" customHeight="1" x14ac:dyDescent="0.25">
      <c r="A627" s="20"/>
      <c r="B627" s="21"/>
      <c r="C627" s="477">
        <v>27</v>
      </c>
      <c r="D627" s="522" t="s">
        <v>796</v>
      </c>
      <c r="E627" s="484">
        <v>0.89949999999999997</v>
      </c>
      <c r="F627" s="527">
        <v>0.92</v>
      </c>
      <c r="G627" s="7"/>
      <c r="H627" s="6">
        <v>164</v>
      </c>
      <c r="I627" s="7" t="s">
        <v>801</v>
      </c>
      <c r="J627" s="6">
        <v>12</v>
      </c>
      <c r="K627" s="767">
        <v>12</v>
      </c>
      <c r="L627" s="767">
        <v>12</v>
      </c>
      <c r="M627" s="6" t="s">
        <v>681</v>
      </c>
      <c r="N627" s="39" t="s">
        <v>798</v>
      </c>
      <c r="O627" s="7" t="s">
        <v>799</v>
      </c>
      <c r="P627" s="767" t="s">
        <v>47</v>
      </c>
      <c r="Q627" s="27">
        <v>0</v>
      </c>
      <c r="R627" s="27">
        <v>0</v>
      </c>
      <c r="S627" s="27">
        <v>0</v>
      </c>
      <c r="T627" s="27">
        <v>0</v>
      </c>
      <c r="U627" s="27">
        <v>0</v>
      </c>
      <c r="V627" s="27">
        <v>0</v>
      </c>
      <c r="W627" s="27">
        <v>0</v>
      </c>
      <c r="X627" s="27">
        <v>0</v>
      </c>
      <c r="Y627" s="27">
        <v>0</v>
      </c>
      <c r="Z627" s="27">
        <v>0</v>
      </c>
      <c r="AA627" s="27">
        <v>10699322720</v>
      </c>
      <c r="AB627" s="257">
        <v>0</v>
      </c>
      <c r="AC627" s="257">
        <v>0</v>
      </c>
      <c r="AD627" s="27">
        <v>5144759540</v>
      </c>
      <c r="AE627" s="257">
        <v>0</v>
      </c>
      <c r="AF627" s="257">
        <v>0</v>
      </c>
      <c r="AG627" s="257">
        <v>0</v>
      </c>
      <c r="AH627" s="257">
        <v>0</v>
      </c>
      <c r="AI627" s="257">
        <v>0</v>
      </c>
      <c r="AJ627" s="257">
        <v>0</v>
      </c>
      <c r="AK627" s="257">
        <v>0</v>
      </c>
      <c r="AL627" s="319">
        <v>0</v>
      </c>
      <c r="AM627" s="506">
        <v>0</v>
      </c>
      <c r="AN627" s="507">
        <v>0</v>
      </c>
      <c r="AO627" s="319">
        <v>0</v>
      </c>
      <c r="AP627" s="60">
        <v>800000</v>
      </c>
      <c r="AQ627" s="60"/>
      <c r="AR627" s="525">
        <f t="shared" si="448"/>
        <v>15844882260</v>
      </c>
    </row>
    <row r="628" spans="1:44" s="165" customFormat="1" ht="15" x14ac:dyDescent="0.25">
      <c r="A628" s="20"/>
      <c r="B628" s="21"/>
      <c r="C628" s="761"/>
      <c r="D628" s="159"/>
      <c r="E628" s="604"/>
      <c r="F628" s="604"/>
      <c r="G628" s="160"/>
      <c r="H628" s="161"/>
      <c r="I628" s="160"/>
      <c r="J628" s="161"/>
      <c r="K628" s="161"/>
      <c r="L628" s="161"/>
      <c r="M628" s="161"/>
      <c r="N628" s="163"/>
      <c r="O628" s="160"/>
      <c r="P628" s="161"/>
      <c r="Q628" s="164">
        <f t="shared" ref="Q628:X628" si="474">SUM(Q627)</f>
        <v>0</v>
      </c>
      <c r="R628" s="164">
        <f t="shared" si="474"/>
        <v>0</v>
      </c>
      <c r="S628" s="164">
        <f t="shared" si="474"/>
        <v>0</v>
      </c>
      <c r="T628" s="164">
        <f t="shared" si="474"/>
        <v>0</v>
      </c>
      <c r="U628" s="164">
        <f t="shared" si="474"/>
        <v>0</v>
      </c>
      <c r="V628" s="164">
        <f t="shared" si="474"/>
        <v>0</v>
      </c>
      <c r="W628" s="164">
        <f t="shared" si="474"/>
        <v>0</v>
      </c>
      <c r="X628" s="164">
        <f t="shared" si="474"/>
        <v>0</v>
      </c>
      <c r="Y628" s="164"/>
      <c r="Z628" s="164"/>
      <c r="AA628" s="164">
        <f>SUM(AA627)</f>
        <v>10699322720</v>
      </c>
      <c r="AB628" s="164"/>
      <c r="AC628" s="164">
        <f>SUM(AC627)</f>
        <v>0</v>
      </c>
      <c r="AD628" s="164">
        <f>SUM(AD627)</f>
        <v>5144759540</v>
      </c>
      <c r="AE628" s="164">
        <f>SUM(AE627)</f>
        <v>0</v>
      </c>
      <c r="AF628" s="164">
        <f>SUM(AF627)</f>
        <v>0</v>
      </c>
      <c r="AG628" s="164">
        <f t="shared" ref="AG628:AH628" si="475">SUM(AG627)</f>
        <v>0</v>
      </c>
      <c r="AH628" s="164">
        <f t="shared" si="475"/>
        <v>0</v>
      </c>
      <c r="AI628" s="164">
        <f t="shared" ref="AI628:AO628" si="476">SUM(AI627)</f>
        <v>0</v>
      </c>
      <c r="AJ628" s="164">
        <f t="shared" si="476"/>
        <v>0</v>
      </c>
      <c r="AK628" s="164">
        <f t="shared" si="476"/>
        <v>0</v>
      </c>
      <c r="AL628" s="164">
        <f t="shared" si="476"/>
        <v>0</v>
      </c>
      <c r="AM628" s="248">
        <f t="shared" si="476"/>
        <v>0</v>
      </c>
      <c r="AN628" s="248">
        <f t="shared" si="476"/>
        <v>0</v>
      </c>
      <c r="AO628" s="248">
        <f t="shared" si="476"/>
        <v>0</v>
      </c>
      <c r="AP628" s="164">
        <f>SUM(AP627)</f>
        <v>800000</v>
      </c>
      <c r="AQ628" s="164">
        <f>SUM(AQ627)</f>
        <v>0</v>
      </c>
      <c r="AR628" s="394">
        <f t="shared" si="448"/>
        <v>15844882260</v>
      </c>
    </row>
    <row r="629" spans="1:44" s="165" customFormat="1" ht="15" x14ac:dyDescent="0.25">
      <c r="A629" s="20"/>
      <c r="B629" s="21"/>
      <c r="C629" s="760"/>
      <c r="D629" s="183"/>
      <c r="E629" s="760"/>
      <c r="F629" s="760"/>
      <c r="G629" s="183"/>
      <c r="H629" s="760"/>
      <c r="I629" s="183"/>
      <c r="J629" s="760"/>
      <c r="K629" s="760"/>
      <c r="L629" s="830"/>
      <c r="M629" s="830"/>
      <c r="N629" s="833"/>
      <c r="O629" s="829"/>
      <c r="P629" s="760"/>
      <c r="Q629" s="186"/>
      <c r="R629" s="186"/>
      <c r="S629" s="186"/>
      <c r="T629" s="186"/>
      <c r="U629" s="186"/>
      <c r="V629" s="186"/>
      <c r="W629" s="186"/>
      <c r="X629" s="186"/>
      <c r="Y629" s="186"/>
      <c r="Z629" s="186"/>
      <c r="AA629" s="186"/>
      <c r="AB629" s="186"/>
      <c r="AC629" s="186"/>
      <c r="AD629" s="186"/>
      <c r="AE629" s="186"/>
      <c r="AF629" s="186"/>
      <c r="AG629" s="186"/>
      <c r="AH629" s="186"/>
      <c r="AI629" s="186"/>
      <c r="AJ629" s="186"/>
      <c r="AK629" s="186"/>
      <c r="AL629" s="186"/>
      <c r="AM629" s="188"/>
      <c r="AN629" s="189"/>
      <c r="AO629" s="186"/>
      <c r="AP629" s="186"/>
      <c r="AQ629" s="186"/>
      <c r="AR629" s="710"/>
    </row>
    <row r="630" spans="1:44" s="165" customFormat="1" ht="15" x14ac:dyDescent="0.25">
      <c r="A630" s="20"/>
      <c r="B630" s="21"/>
      <c r="C630" s="760"/>
      <c r="D630" s="159"/>
      <c r="E630" s="604"/>
      <c r="F630" s="604"/>
      <c r="G630" s="337">
        <v>49</v>
      </c>
      <c r="H630" s="950" t="s">
        <v>802</v>
      </c>
      <c r="I630" s="950"/>
      <c r="J630" s="950"/>
      <c r="K630" s="950"/>
      <c r="L630" s="950"/>
      <c r="M630" s="950"/>
      <c r="N630" s="950"/>
      <c r="O630" s="950"/>
      <c r="P630" s="950"/>
      <c r="Q630" s="194"/>
      <c r="R630" s="194"/>
      <c r="S630" s="194"/>
      <c r="T630" s="194"/>
      <c r="U630" s="194"/>
      <c r="V630" s="194"/>
      <c r="W630" s="194"/>
      <c r="X630" s="194"/>
      <c r="Y630" s="194"/>
      <c r="Z630" s="194"/>
      <c r="AA630" s="194"/>
      <c r="AB630" s="194"/>
      <c r="AC630" s="194"/>
      <c r="AD630" s="194"/>
      <c r="AE630" s="194"/>
      <c r="AF630" s="194"/>
      <c r="AG630" s="194"/>
      <c r="AH630" s="194"/>
      <c r="AI630" s="194"/>
      <c r="AJ630" s="194"/>
      <c r="AK630" s="194"/>
      <c r="AL630" s="194"/>
      <c r="AM630" s="196"/>
      <c r="AN630" s="194"/>
      <c r="AO630" s="194"/>
      <c r="AP630" s="194"/>
      <c r="AQ630" s="194"/>
      <c r="AR630" s="400"/>
    </row>
    <row r="631" spans="1:44" s="165" customFormat="1" ht="71.25" customHeight="1" x14ac:dyDescent="0.25">
      <c r="A631" s="20"/>
      <c r="B631" s="21"/>
      <c r="C631" s="477">
        <v>27</v>
      </c>
      <c r="D631" s="522" t="s">
        <v>796</v>
      </c>
      <c r="E631" s="484">
        <v>0.89949999999999997</v>
      </c>
      <c r="F631" s="527">
        <v>0.92</v>
      </c>
      <c r="G631" s="7"/>
      <c r="H631" s="6">
        <v>165</v>
      </c>
      <c r="I631" s="7" t="s">
        <v>803</v>
      </c>
      <c r="J631" s="528">
        <v>12</v>
      </c>
      <c r="K631" s="523">
        <v>12</v>
      </c>
      <c r="L631" s="523">
        <v>12</v>
      </c>
      <c r="M631" s="528" t="s">
        <v>681</v>
      </c>
      <c r="N631" s="39" t="s">
        <v>798</v>
      </c>
      <c r="O631" s="7" t="s">
        <v>799</v>
      </c>
      <c r="P631" s="767" t="s">
        <v>47</v>
      </c>
      <c r="Q631" s="27">
        <v>0</v>
      </c>
      <c r="R631" s="27">
        <v>0</v>
      </c>
      <c r="S631" s="27">
        <v>0</v>
      </c>
      <c r="T631" s="27">
        <v>0</v>
      </c>
      <c r="U631" s="27">
        <v>0</v>
      </c>
      <c r="V631" s="27">
        <v>0</v>
      </c>
      <c r="W631" s="27">
        <v>0</v>
      </c>
      <c r="X631" s="27"/>
      <c r="Y631" s="27"/>
      <c r="Z631" s="27"/>
      <c r="AA631" s="15">
        <v>20913120</v>
      </c>
      <c r="AB631" s="15"/>
      <c r="AC631" s="27">
        <v>0</v>
      </c>
      <c r="AD631" s="319">
        <v>0</v>
      </c>
      <c r="AE631" s="257"/>
      <c r="AF631" s="257"/>
      <c r="AG631" s="257"/>
      <c r="AH631" s="257"/>
      <c r="AI631" s="257"/>
      <c r="AJ631" s="257"/>
      <c r="AK631" s="319">
        <v>0</v>
      </c>
      <c r="AL631" s="319">
        <v>0</v>
      </c>
      <c r="AM631" s="506">
        <v>0</v>
      </c>
      <c r="AN631" s="507"/>
      <c r="AO631" s="319">
        <v>0</v>
      </c>
      <c r="AP631" s="290">
        <v>0</v>
      </c>
      <c r="AQ631" s="290"/>
      <c r="AR631" s="525">
        <f t="shared" si="448"/>
        <v>20913120</v>
      </c>
    </row>
    <row r="632" spans="1:44" s="165" customFormat="1" ht="15" x14ac:dyDescent="0.25">
      <c r="A632" s="20"/>
      <c r="B632" s="21"/>
      <c r="C632" s="761"/>
      <c r="D632" s="159"/>
      <c r="E632" s="604"/>
      <c r="F632" s="604"/>
      <c r="G632" s="160"/>
      <c r="H632" s="161"/>
      <c r="I632" s="160"/>
      <c r="J632" s="529"/>
      <c r="K632" s="529"/>
      <c r="L632" s="529"/>
      <c r="M632" s="529"/>
      <c r="N632" s="163"/>
      <c r="O632" s="160"/>
      <c r="P632" s="161"/>
      <c r="Q632" s="164">
        <f t="shared" ref="Q632:X632" si="477">SUM(Q631)</f>
        <v>0</v>
      </c>
      <c r="R632" s="164">
        <f t="shared" si="477"/>
        <v>0</v>
      </c>
      <c r="S632" s="164">
        <f t="shared" si="477"/>
        <v>0</v>
      </c>
      <c r="T632" s="164">
        <f t="shared" si="477"/>
        <v>0</v>
      </c>
      <c r="U632" s="164">
        <f t="shared" si="477"/>
        <v>0</v>
      </c>
      <c r="V632" s="164">
        <f t="shared" si="477"/>
        <v>0</v>
      </c>
      <c r="W632" s="164">
        <f t="shared" si="477"/>
        <v>0</v>
      </c>
      <c r="X632" s="164">
        <f t="shared" si="477"/>
        <v>0</v>
      </c>
      <c r="Y632" s="164"/>
      <c r="Z632" s="164"/>
      <c r="AA632" s="164">
        <f>SUM(AA631)</f>
        <v>20913120</v>
      </c>
      <c r="AB632" s="164"/>
      <c r="AC632" s="164">
        <f>SUM(AC631)</f>
        <v>0</v>
      </c>
      <c r="AD632" s="164">
        <f t="shared" ref="AD632" si="478">SUM(AD631)</f>
        <v>0</v>
      </c>
      <c r="AE632" s="164">
        <f>SUM(AE631)</f>
        <v>0</v>
      </c>
      <c r="AF632" s="164">
        <f>SUM(AF631)</f>
        <v>0</v>
      </c>
      <c r="AG632" s="164">
        <f t="shared" ref="AG632:AH632" si="479">SUM(AG631)</f>
        <v>0</v>
      </c>
      <c r="AH632" s="164">
        <f t="shared" si="479"/>
        <v>0</v>
      </c>
      <c r="AI632" s="164">
        <f t="shared" ref="AI632:AM632" si="480">SUM(AI631)</f>
        <v>0</v>
      </c>
      <c r="AJ632" s="164">
        <f t="shared" si="480"/>
        <v>0</v>
      </c>
      <c r="AK632" s="164">
        <f t="shared" si="480"/>
        <v>0</v>
      </c>
      <c r="AL632" s="164">
        <f t="shared" si="480"/>
        <v>0</v>
      </c>
      <c r="AM632" s="248">
        <f t="shared" si="480"/>
        <v>0</v>
      </c>
      <c r="AN632" s="248">
        <f t="shared" ref="AN632:AO632" si="481">SUM(AN631)</f>
        <v>0</v>
      </c>
      <c r="AO632" s="248">
        <f t="shared" si="481"/>
        <v>0</v>
      </c>
      <c r="AP632" s="164">
        <f>SUM(AP631)</f>
        <v>0</v>
      </c>
      <c r="AQ632" s="164">
        <f>SUM(AQ631)</f>
        <v>0</v>
      </c>
      <c r="AR632" s="394">
        <f t="shared" si="448"/>
        <v>20913120</v>
      </c>
    </row>
    <row r="633" spans="1:44" s="165" customFormat="1" ht="15" x14ac:dyDescent="0.25">
      <c r="A633" s="21"/>
      <c r="B633" s="430"/>
      <c r="C633" s="168"/>
      <c r="D633" s="167"/>
      <c r="E633" s="168"/>
      <c r="F633" s="168"/>
      <c r="G633" s="167"/>
      <c r="H633" s="168"/>
      <c r="I633" s="167"/>
      <c r="J633" s="530"/>
      <c r="K633" s="530"/>
      <c r="L633" s="530"/>
      <c r="M633" s="530"/>
      <c r="N633" s="170"/>
      <c r="O633" s="167"/>
      <c r="P633" s="168"/>
      <c r="Q633" s="171">
        <f t="shared" ref="Q633:X633" si="482">Q632+Q628+Q624</f>
        <v>0</v>
      </c>
      <c r="R633" s="171">
        <f t="shared" si="482"/>
        <v>0</v>
      </c>
      <c r="S633" s="171">
        <f t="shared" si="482"/>
        <v>0</v>
      </c>
      <c r="T633" s="171">
        <f t="shared" si="482"/>
        <v>0</v>
      </c>
      <c r="U633" s="171">
        <f t="shared" si="482"/>
        <v>0</v>
      </c>
      <c r="V633" s="171">
        <f t="shared" si="482"/>
        <v>0</v>
      </c>
      <c r="W633" s="171">
        <f t="shared" si="482"/>
        <v>0</v>
      </c>
      <c r="X633" s="171">
        <f t="shared" si="482"/>
        <v>0</v>
      </c>
      <c r="Y633" s="171"/>
      <c r="Z633" s="171"/>
      <c r="AA633" s="171">
        <f>AA632+AA628+AA624</f>
        <v>10749281840</v>
      </c>
      <c r="AB633" s="171"/>
      <c r="AC633" s="171">
        <f>AC632+AC628+AC624</f>
        <v>0</v>
      </c>
      <c r="AD633" s="171">
        <f t="shared" ref="AD633" si="483">AD632+AD628+AD624</f>
        <v>5144759540</v>
      </c>
      <c r="AE633" s="171">
        <f t="shared" ref="AE633:AP633" si="484">AE632+AE628+AE624</f>
        <v>0</v>
      </c>
      <c r="AF633" s="171">
        <f t="shared" si="484"/>
        <v>0</v>
      </c>
      <c r="AG633" s="171">
        <f t="shared" ref="AG633:AH633" si="485">AG632+AG628+AG624</f>
        <v>0</v>
      </c>
      <c r="AH633" s="171">
        <f t="shared" si="485"/>
        <v>0</v>
      </c>
      <c r="AI633" s="171">
        <f t="shared" si="484"/>
        <v>0</v>
      </c>
      <c r="AJ633" s="171">
        <f t="shared" si="484"/>
        <v>0</v>
      </c>
      <c r="AK633" s="171">
        <f t="shared" si="484"/>
        <v>0</v>
      </c>
      <c r="AL633" s="171">
        <f t="shared" si="484"/>
        <v>0</v>
      </c>
      <c r="AM633" s="171">
        <f t="shared" si="484"/>
        <v>0</v>
      </c>
      <c r="AN633" s="171">
        <f t="shared" ref="AN633:AO633" si="486">AN632+AN628+AN624</f>
        <v>0</v>
      </c>
      <c r="AO633" s="171">
        <f t="shared" si="486"/>
        <v>0</v>
      </c>
      <c r="AP633" s="171">
        <f t="shared" si="484"/>
        <v>800000</v>
      </c>
      <c r="AQ633" s="171">
        <f t="shared" ref="AQ633" si="487">AQ632+AQ628+AQ624</f>
        <v>0</v>
      </c>
      <c r="AR633" s="395">
        <f t="shared" si="448"/>
        <v>15894841380</v>
      </c>
    </row>
    <row r="634" spans="1:44" s="29" customFormat="1" ht="15" x14ac:dyDescent="0.25">
      <c r="A634" s="21"/>
      <c r="B634" s="183"/>
      <c r="C634" s="760"/>
      <c r="D634" s="183"/>
      <c r="E634" s="760"/>
      <c r="F634" s="760"/>
      <c r="G634" s="183"/>
      <c r="H634" s="760"/>
      <c r="I634" s="183"/>
      <c r="J634" s="760"/>
      <c r="K634" s="760"/>
      <c r="L634" s="830"/>
      <c r="M634" s="830"/>
      <c r="N634" s="833"/>
      <c r="O634" s="829"/>
      <c r="P634" s="760"/>
      <c r="Q634" s="186"/>
      <c r="R634" s="186"/>
      <c r="S634" s="186"/>
      <c r="T634" s="186"/>
      <c r="U634" s="186"/>
      <c r="V634" s="186"/>
      <c r="W634" s="186"/>
      <c r="X634" s="186"/>
      <c r="Y634" s="186"/>
      <c r="Z634" s="186"/>
      <c r="AA634" s="186"/>
      <c r="AB634" s="186"/>
      <c r="AC634" s="186"/>
      <c r="AD634" s="186"/>
      <c r="AE634" s="186"/>
      <c r="AF634" s="186"/>
      <c r="AG634" s="186"/>
      <c r="AH634" s="186"/>
      <c r="AI634" s="186"/>
      <c r="AJ634" s="186"/>
      <c r="AK634" s="186"/>
      <c r="AL634" s="186"/>
      <c r="AM634" s="188"/>
      <c r="AN634" s="186"/>
      <c r="AO634" s="186"/>
      <c r="AP634" s="186"/>
      <c r="AQ634" s="186"/>
      <c r="AR634" s="710"/>
    </row>
    <row r="635" spans="1:44" s="29" customFormat="1" x14ac:dyDescent="0.25">
      <c r="A635" s="21"/>
      <c r="B635" s="882">
        <v>14</v>
      </c>
      <c r="C635" s="148" t="s">
        <v>804</v>
      </c>
      <c r="D635" s="149"/>
      <c r="E635" s="149"/>
      <c r="F635" s="149"/>
      <c r="G635" s="149"/>
      <c r="H635" s="150"/>
      <c r="I635" s="149"/>
      <c r="J635" s="149"/>
      <c r="K635" s="149"/>
      <c r="L635" s="149"/>
      <c r="M635" s="149"/>
      <c r="N635" s="151"/>
      <c r="O635" s="149"/>
      <c r="P635" s="149"/>
      <c r="Q635" s="149"/>
      <c r="R635" s="149"/>
      <c r="S635" s="149"/>
      <c r="T635" s="149"/>
      <c r="U635" s="149"/>
      <c r="V635" s="149"/>
      <c r="W635" s="149"/>
      <c r="X635" s="149"/>
      <c r="Y635" s="149"/>
      <c r="Z635" s="149"/>
      <c r="AA635" s="149"/>
      <c r="AB635" s="149"/>
      <c r="AC635" s="149"/>
      <c r="AD635" s="149"/>
      <c r="AE635" s="149"/>
      <c r="AF635" s="149"/>
      <c r="AG635" s="149"/>
      <c r="AH635" s="149"/>
      <c r="AI635" s="149"/>
      <c r="AJ635" s="149"/>
      <c r="AK635" s="149"/>
      <c r="AL635" s="149"/>
      <c r="AM635" s="152"/>
      <c r="AN635" s="149"/>
      <c r="AO635" s="149"/>
      <c r="AP635" s="149"/>
      <c r="AQ635" s="149"/>
      <c r="AR635" s="711"/>
    </row>
    <row r="636" spans="1:44" s="29" customFormat="1" ht="15" x14ac:dyDescent="0.25">
      <c r="A636" s="20"/>
      <c r="B636" s="21"/>
      <c r="C636" s="760"/>
      <c r="D636" s="183"/>
      <c r="E636" s="760"/>
      <c r="F636" s="761"/>
      <c r="G636" s="337">
        <v>50</v>
      </c>
      <c r="H636" s="950" t="s">
        <v>805</v>
      </c>
      <c r="I636" s="950"/>
      <c r="J636" s="950"/>
      <c r="K636" s="950"/>
      <c r="L636" s="950"/>
      <c r="M636" s="950"/>
      <c r="N636" s="950"/>
      <c r="O636" s="950"/>
      <c r="P636" s="950"/>
      <c r="Q636" s="194"/>
      <c r="R636" s="194"/>
      <c r="S636" s="194"/>
      <c r="T636" s="194"/>
      <c r="U636" s="194"/>
      <c r="V636" s="194"/>
      <c r="W636" s="194"/>
      <c r="X636" s="194"/>
      <c r="Y636" s="194"/>
      <c r="Z636" s="194"/>
      <c r="AA636" s="194"/>
      <c r="AB636" s="194"/>
      <c r="AC636" s="194"/>
      <c r="AD636" s="194"/>
      <c r="AE636" s="194"/>
      <c r="AF636" s="194"/>
      <c r="AG636" s="194"/>
      <c r="AH636" s="194"/>
      <c r="AI636" s="194"/>
      <c r="AJ636" s="194"/>
      <c r="AK636" s="194"/>
      <c r="AL636" s="194"/>
      <c r="AM636" s="196"/>
      <c r="AN636" s="194"/>
      <c r="AO636" s="194"/>
      <c r="AP636" s="194"/>
      <c r="AQ636" s="194"/>
      <c r="AR636" s="400"/>
    </row>
    <row r="637" spans="1:44" s="165" customFormat="1" ht="85.5" x14ac:dyDescent="0.25">
      <c r="A637" s="20"/>
      <c r="B637" s="730"/>
      <c r="C637" s="965">
        <v>27</v>
      </c>
      <c r="D637" s="968" t="s">
        <v>796</v>
      </c>
      <c r="E637" s="971">
        <v>0.89949999999999997</v>
      </c>
      <c r="F637" s="974">
        <v>0.92</v>
      </c>
      <c r="G637" s="924"/>
      <c r="H637" s="6">
        <v>166</v>
      </c>
      <c r="I637" s="7" t="s">
        <v>806</v>
      </c>
      <c r="J637" s="528">
        <v>1</v>
      </c>
      <c r="K637" s="523">
        <v>0.8</v>
      </c>
      <c r="L637" s="510">
        <v>0.5</v>
      </c>
      <c r="M637" s="977" t="s">
        <v>681</v>
      </c>
      <c r="N637" s="948" t="s">
        <v>807</v>
      </c>
      <c r="O637" s="941" t="s">
        <v>808</v>
      </c>
      <c r="P637" s="767" t="s">
        <v>47</v>
      </c>
      <c r="Q637" s="27">
        <v>0</v>
      </c>
      <c r="R637" s="27">
        <v>0</v>
      </c>
      <c r="S637" s="27">
        <v>0</v>
      </c>
      <c r="T637" s="27">
        <v>0</v>
      </c>
      <c r="U637" s="27">
        <v>0</v>
      </c>
      <c r="V637" s="257">
        <v>0</v>
      </c>
      <c r="W637" s="257">
        <v>0</v>
      </c>
      <c r="X637" s="257"/>
      <c r="Y637" s="257"/>
      <c r="Z637" s="257"/>
      <c r="AA637" s="257">
        <v>0</v>
      </c>
      <c r="AB637" s="257"/>
      <c r="AC637" s="257">
        <v>0</v>
      </c>
      <c r="AD637" s="27">
        <v>0</v>
      </c>
      <c r="AE637" s="257"/>
      <c r="AF637" s="257"/>
      <c r="AG637" s="257"/>
      <c r="AH637" s="257"/>
      <c r="AI637" s="257"/>
      <c r="AJ637" s="257"/>
      <c r="AK637" s="27">
        <v>0</v>
      </c>
      <c r="AL637" s="319">
        <v>0</v>
      </c>
      <c r="AM637" s="506">
        <v>0</v>
      </c>
      <c r="AN637" s="507"/>
      <c r="AO637" s="319">
        <v>0</v>
      </c>
      <c r="AP637" s="478">
        <v>0</v>
      </c>
      <c r="AQ637" s="478"/>
      <c r="AR637" s="525">
        <f t="shared" si="448"/>
        <v>0</v>
      </c>
    </row>
    <row r="638" spans="1:44" s="29" customFormat="1" ht="57" x14ac:dyDescent="0.25">
      <c r="A638" s="20"/>
      <c r="B638" s="730"/>
      <c r="C638" s="966"/>
      <c r="D638" s="969"/>
      <c r="E638" s="972"/>
      <c r="F638" s="975"/>
      <c r="G638" s="925"/>
      <c r="H638" s="767">
        <v>167</v>
      </c>
      <c r="I638" s="762" t="s">
        <v>809</v>
      </c>
      <c r="J638" s="523">
        <v>15</v>
      </c>
      <c r="K638" s="523">
        <v>15</v>
      </c>
      <c r="L638" s="523">
        <v>15</v>
      </c>
      <c r="M638" s="978"/>
      <c r="N638" s="959"/>
      <c r="O638" s="942"/>
      <c r="P638" s="767" t="s">
        <v>47</v>
      </c>
      <c r="Q638" s="27">
        <v>0</v>
      </c>
      <c r="R638" s="27">
        <v>0</v>
      </c>
      <c r="S638" s="27">
        <v>0</v>
      </c>
      <c r="T638" s="27">
        <v>0</v>
      </c>
      <c r="U638" s="27">
        <v>0</v>
      </c>
      <c r="V638" s="27">
        <v>0</v>
      </c>
      <c r="W638" s="27">
        <v>1839000000</v>
      </c>
      <c r="X638" s="27">
        <v>300000000</v>
      </c>
      <c r="Y638" s="27">
        <v>4499205411</v>
      </c>
      <c r="Z638" s="27">
        <f>3001376249+1273669715+224955668</f>
        <v>4500001632</v>
      </c>
      <c r="AA638" s="27">
        <f>6448331330</f>
        <v>6448331330</v>
      </c>
      <c r="AB638" s="27"/>
      <c r="AC638" s="27"/>
      <c r="AD638" s="27">
        <v>2846900107</v>
      </c>
      <c r="AE638" s="27"/>
      <c r="AF638" s="27"/>
      <c r="AG638" s="27"/>
      <c r="AH638" s="27"/>
      <c r="AI638" s="27"/>
      <c r="AJ638" s="27"/>
      <c r="AK638" s="27">
        <v>0</v>
      </c>
      <c r="AL638" s="27">
        <v>0</v>
      </c>
      <c r="AM638" s="108">
        <v>0</v>
      </c>
      <c r="AN638" s="40"/>
      <c r="AO638" s="27">
        <v>0</v>
      </c>
      <c r="AP638" s="28">
        <f>1039377146+1034000000</f>
        <v>2073377146</v>
      </c>
      <c r="AQ638" s="28"/>
      <c r="AR638" s="525">
        <f t="shared" si="448"/>
        <v>22506815626</v>
      </c>
    </row>
    <row r="639" spans="1:44" s="165" customFormat="1" ht="81.75" customHeight="1" x14ac:dyDescent="0.25">
      <c r="A639" s="20"/>
      <c r="B639" s="730"/>
      <c r="C639" s="967"/>
      <c r="D639" s="970"/>
      <c r="E639" s="973"/>
      <c r="F639" s="976"/>
      <c r="G639" s="926"/>
      <c r="H639" s="6">
        <v>168</v>
      </c>
      <c r="I639" s="7" t="s">
        <v>810</v>
      </c>
      <c r="J639" s="528">
        <v>7</v>
      </c>
      <c r="K639" s="523">
        <v>14</v>
      </c>
      <c r="L639" s="523">
        <v>4</v>
      </c>
      <c r="M639" s="979"/>
      <c r="N639" s="949"/>
      <c r="O639" s="943"/>
      <c r="P639" s="767" t="s">
        <v>47</v>
      </c>
      <c r="Q639" s="27">
        <v>0</v>
      </c>
      <c r="R639" s="27">
        <v>0</v>
      </c>
      <c r="S639" s="27">
        <v>0</v>
      </c>
      <c r="T639" s="27">
        <v>0</v>
      </c>
      <c r="U639" s="27">
        <v>0</v>
      </c>
      <c r="V639" s="257">
        <v>0</v>
      </c>
      <c r="W639" s="257">
        <v>0</v>
      </c>
      <c r="X639" s="257"/>
      <c r="Y639" s="257"/>
      <c r="Z639" s="257"/>
      <c r="AA639" s="257"/>
      <c r="AB639" s="257"/>
      <c r="AC639" s="257">
        <v>0</v>
      </c>
      <c r="AD639" s="27">
        <v>0</v>
      </c>
      <c r="AE639" s="257"/>
      <c r="AF639" s="257"/>
      <c r="AG639" s="257"/>
      <c r="AH639" s="257"/>
      <c r="AI639" s="257"/>
      <c r="AJ639" s="257"/>
      <c r="AK639" s="27">
        <v>0</v>
      </c>
      <c r="AL639" s="319">
        <v>0</v>
      </c>
      <c r="AM639" s="506">
        <v>0</v>
      </c>
      <c r="AN639" s="507"/>
      <c r="AO639" s="319">
        <v>0</v>
      </c>
      <c r="AP639" s="290">
        <v>0</v>
      </c>
      <c r="AQ639" s="290"/>
      <c r="AR639" s="525">
        <f t="shared" si="448"/>
        <v>0</v>
      </c>
    </row>
    <row r="640" spans="1:44" s="165" customFormat="1" ht="15" x14ac:dyDescent="0.25">
      <c r="A640" s="20"/>
      <c r="B640" s="730"/>
      <c r="C640" s="761"/>
      <c r="D640" s="159"/>
      <c r="E640" s="604"/>
      <c r="F640" s="604"/>
      <c r="G640" s="160"/>
      <c r="H640" s="161"/>
      <c r="I640" s="160"/>
      <c r="J640" s="529"/>
      <c r="K640" s="529"/>
      <c r="L640" s="529"/>
      <c r="M640" s="529"/>
      <c r="N640" s="163"/>
      <c r="O640" s="160"/>
      <c r="P640" s="161"/>
      <c r="Q640" s="164">
        <f t="shared" ref="Q640:W640" si="488">SUM(Q637:Q639)</f>
        <v>0</v>
      </c>
      <c r="R640" s="164">
        <f t="shared" si="488"/>
        <v>0</v>
      </c>
      <c r="S640" s="164">
        <f t="shared" si="488"/>
        <v>0</v>
      </c>
      <c r="T640" s="164">
        <f t="shared" si="488"/>
        <v>0</v>
      </c>
      <c r="U640" s="164">
        <f t="shared" si="488"/>
        <v>0</v>
      </c>
      <c r="V640" s="164">
        <f t="shared" si="488"/>
        <v>0</v>
      </c>
      <c r="W640" s="164">
        <f t="shared" si="488"/>
        <v>1839000000</v>
      </c>
      <c r="X640" s="164">
        <f t="shared" ref="X640:AP640" si="489">SUM(X637:X639)</f>
        <v>300000000</v>
      </c>
      <c r="Y640" s="164">
        <f t="shared" si="489"/>
        <v>4499205411</v>
      </c>
      <c r="Z640" s="164">
        <f t="shared" si="489"/>
        <v>4500001632</v>
      </c>
      <c r="AA640" s="164">
        <f t="shared" si="489"/>
        <v>6448331330</v>
      </c>
      <c r="AB640" s="164">
        <f t="shared" si="489"/>
        <v>0</v>
      </c>
      <c r="AC640" s="164">
        <f t="shared" si="489"/>
        <v>0</v>
      </c>
      <c r="AD640" s="164">
        <f t="shared" si="489"/>
        <v>2846900107</v>
      </c>
      <c r="AE640" s="164">
        <f t="shared" si="489"/>
        <v>0</v>
      </c>
      <c r="AF640" s="164">
        <f t="shared" si="489"/>
        <v>0</v>
      </c>
      <c r="AG640" s="164">
        <f t="shared" si="489"/>
        <v>0</v>
      </c>
      <c r="AH640" s="164">
        <f t="shared" si="489"/>
        <v>0</v>
      </c>
      <c r="AI640" s="164">
        <f t="shared" si="489"/>
        <v>0</v>
      </c>
      <c r="AJ640" s="164">
        <f t="shared" si="489"/>
        <v>0</v>
      </c>
      <c r="AK640" s="164">
        <f t="shared" si="489"/>
        <v>0</v>
      </c>
      <c r="AL640" s="164">
        <f t="shared" si="489"/>
        <v>0</v>
      </c>
      <c r="AM640" s="164">
        <f t="shared" si="489"/>
        <v>0</v>
      </c>
      <c r="AN640" s="164">
        <f t="shared" si="489"/>
        <v>0</v>
      </c>
      <c r="AO640" s="164">
        <f t="shared" si="489"/>
        <v>0</v>
      </c>
      <c r="AP640" s="164">
        <f t="shared" si="489"/>
        <v>2073377146</v>
      </c>
      <c r="AQ640" s="164">
        <f t="shared" ref="AQ640" si="490">SUM(AQ637:AQ639)</f>
        <v>0</v>
      </c>
      <c r="AR640" s="394">
        <f t="shared" si="448"/>
        <v>22506815626</v>
      </c>
    </row>
    <row r="641" spans="1:44" s="165" customFormat="1" ht="15" x14ac:dyDescent="0.25">
      <c r="A641" s="20"/>
      <c r="B641" s="730"/>
      <c r="C641" s="760"/>
      <c r="D641" s="183"/>
      <c r="E641" s="760"/>
      <c r="F641" s="760"/>
      <c r="G641" s="183"/>
      <c r="H641" s="760"/>
      <c r="I641" s="183"/>
      <c r="J641" s="760"/>
      <c r="K641" s="760"/>
      <c r="L641" s="830"/>
      <c r="M641" s="830"/>
      <c r="N641" s="833"/>
      <c r="O641" s="829"/>
      <c r="P641" s="760"/>
      <c r="Q641" s="186"/>
      <c r="R641" s="186"/>
      <c r="S641" s="186"/>
      <c r="T641" s="186"/>
      <c r="U641" s="186"/>
      <c r="V641" s="186"/>
      <c r="W641" s="186"/>
      <c r="X641" s="186"/>
      <c r="Y641" s="186"/>
      <c r="Z641" s="186"/>
      <c r="AA641" s="186"/>
      <c r="AB641" s="186"/>
      <c r="AC641" s="186"/>
      <c r="AD641" s="186"/>
      <c r="AE641" s="186"/>
      <c r="AF641" s="186"/>
      <c r="AG641" s="186"/>
      <c r="AH641" s="186"/>
      <c r="AI641" s="186"/>
      <c r="AJ641" s="186"/>
      <c r="AK641" s="186"/>
      <c r="AL641" s="186"/>
      <c r="AM641" s="188"/>
      <c r="AN641" s="189"/>
      <c r="AO641" s="186"/>
      <c r="AP641" s="186"/>
      <c r="AQ641" s="186"/>
      <c r="AR641" s="712"/>
    </row>
    <row r="642" spans="1:44" s="165" customFormat="1" ht="15" x14ac:dyDescent="0.25">
      <c r="A642" s="20"/>
      <c r="B642" s="730"/>
      <c r="C642" s="760"/>
      <c r="D642" s="159"/>
      <c r="E642" s="604"/>
      <c r="F642" s="604"/>
      <c r="G642" s="337">
        <v>51</v>
      </c>
      <c r="H642" s="933" t="s">
        <v>811</v>
      </c>
      <c r="I642" s="933"/>
      <c r="J642" s="933"/>
      <c r="K642" s="933"/>
      <c r="L642" s="933"/>
      <c r="M642" s="933"/>
      <c r="N642" s="933"/>
      <c r="O642" s="933"/>
      <c r="P642" s="933"/>
      <c r="Q642" s="194"/>
      <c r="R642" s="194"/>
      <c r="S642" s="194"/>
      <c r="T642" s="194"/>
      <c r="U642" s="194"/>
      <c r="V642" s="194"/>
      <c r="W642" s="194"/>
      <c r="X642" s="194"/>
      <c r="Y642" s="194"/>
      <c r="Z642" s="194"/>
      <c r="AA642" s="194"/>
      <c r="AB642" s="194"/>
      <c r="AC642" s="194"/>
      <c r="AD642" s="194"/>
      <c r="AE642" s="194"/>
      <c r="AF642" s="194"/>
      <c r="AG642" s="194"/>
      <c r="AH642" s="194"/>
      <c r="AI642" s="194"/>
      <c r="AJ642" s="194"/>
      <c r="AK642" s="194"/>
      <c r="AL642" s="194"/>
      <c r="AM642" s="196"/>
      <c r="AN642" s="194"/>
      <c r="AO642" s="194"/>
      <c r="AP642" s="194"/>
      <c r="AQ642" s="194"/>
      <c r="AR642" s="713"/>
    </row>
    <row r="643" spans="1:44" s="165" customFormat="1" ht="59.25" customHeight="1" x14ac:dyDescent="0.25">
      <c r="A643" s="20"/>
      <c r="B643" s="730"/>
      <c r="C643" s="761" t="s">
        <v>714</v>
      </c>
      <c r="D643" s="749" t="s">
        <v>812</v>
      </c>
      <c r="E643" s="744">
        <v>0.6</v>
      </c>
      <c r="F643" s="744">
        <v>1</v>
      </c>
      <c r="G643" s="762"/>
      <c r="H643" s="767">
        <v>169</v>
      </c>
      <c r="I643" s="762" t="s">
        <v>813</v>
      </c>
      <c r="J643" s="523">
        <v>8</v>
      </c>
      <c r="K643" s="523">
        <v>12</v>
      </c>
      <c r="L643" s="523">
        <v>12</v>
      </c>
      <c r="M643" s="523" t="s">
        <v>681</v>
      </c>
      <c r="N643" s="39" t="s">
        <v>814</v>
      </c>
      <c r="O643" s="762" t="s">
        <v>815</v>
      </c>
      <c r="P643" s="767" t="s">
        <v>47</v>
      </c>
      <c r="Q643" s="319">
        <v>0</v>
      </c>
      <c r="R643" s="319">
        <v>0</v>
      </c>
      <c r="S643" s="319">
        <v>0</v>
      </c>
      <c r="T643" s="319">
        <v>0</v>
      </c>
      <c r="U643" s="319">
        <v>0</v>
      </c>
      <c r="V643" s="319">
        <v>0</v>
      </c>
      <c r="W643" s="319">
        <v>0</v>
      </c>
      <c r="X643" s="319"/>
      <c r="Y643" s="319"/>
      <c r="Z643" s="257"/>
      <c r="AA643" s="5">
        <v>44149920</v>
      </c>
      <c r="AB643" s="5"/>
      <c r="AC643" s="257">
        <v>0</v>
      </c>
      <c r="AD643" s="319">
        <v>0</v>
      </c>
      <c r="AE643" s="257"/>
      <c r="AF643" s="257"/>
      <c r="AG643" s="257"/>
      <c r="AH643" s="257"/>
      <c r="AI643" s="257"/>
      <c r="AJ643" s="257"/>
      <c r="AK643" s="319">
        <v>0</v>
      </c>
      <c r="AL643" s="319">
        <v>0</v>
      </c>
      <c r="AM643" s="506">
        <v>0</v>
      </c>
      <c r="AN643" s="507"/>
      <c r="AO643" s="319">
        <v>0</v>
      </c>
      <c r="AP643" s="290">
        <v>0</v>
      </c>
      <c r="AQ643" s="290"/>
      <c r="AR643" s="525">
        <f t="shared" si="448"/>
        <v>44149920</v>
      </c>
    </row>
    <row r="644" spans="1:44" s="165" customFormat="1" ht="15" x14ac:dyDescent="0.25">
      <c r="A644" s="20"/>
      <c r="B644" s="730"/>
      <c r="C644" s="761"/>
      <c r="D644" s="159"/>
      <c r="E644" s="604"/>
      <c r="F644" s="604"/>
      <c r="G644" s="160"/>
      <c r="H644" s="161"/>
      <c r="I644" s="160"/>
      <c r="J644" s="529"/>
      <c r="K644" s="529"/>
      <c r="L644" s="529"/>
      <c r="M644" s="529"/>
      <c r="N644" s="163"/>
      <c r="O644" s="160"/>
      <c r="P644" s="161"/>
      <c r="Q644" s="164">
        <f t="shared" ref="Q644:X644" si="491">Q643</f>
        <v>0</v>
      </c>
      <c r="R644" s="164">
        <f t="shared" si="491"/>
        <v>0</v>
      </c>
      <c r="S644" s="164">
        <f t="shared" si="491"/>
        <v>0</v>
      </c>
      <c r="T644" s="164">
        <f t="shared" si="491"/>
        <v>0</v>
      </c>
      <c r="U644" s="164">
        <f t="shared" si="491"/>
        <v>0</v>
      </c>
      <c r="V644" s="164">
        <f t="shared" si="491"/>
        <v>0</v>
      </c>
      <c r="W644" s="164">
        <f t="shared" si="491"/>
        <v>0</v>
      </c>
      <c r="X644" s="164">
        <f t="shared" si="491"/>
        <v>0</v>
      </c>
      <c r="Y644" s="164"/>
      <c r="Z644" s="164"/>
      <c r="AA644" s="164">
        <f>AA643</f>
        <v>44149920</v>
      </c>
      <c r="AB644" s="164"/>
      <c r="AC644" s="164">
        <f>AC643</f>
        <v>0</v>
      </c>
      <c r="AD644" s="164">
        <f>AD643</f>
        <v>0</v>
      </c>
      <c r="AE644" s="164">
        <f>AE643</f>
        <v>0</v>
      </c>
      <c r="AF644" s="164">
        <f>AF643</f>
        <v>0</v>
      </c>
      <c r="AG644" s="164">
        <f>AG643</f>
        <v>0</v>
      </c>
      <c r="AH644" s="164">
        <f t="shared" ref="AH644:AN644" si="492">AH643</f>
        <v>0</v>
      </c>
      <c r="AI644" s="164">
        <f t="shared" si="492"/>
        <v>0</v>
      </c>
      <c r="AJ644" s="164">
        <f t="shared" si="492"/>
        <v>0</v>
      </c>
      <c r="AK644" s="164">
        <f t="shared" si="492"/>
        <v>0</v>
      </c>
      <c r="AL644" s="164">
        <f t="shared" si="492"/>
        <v>0</v>
      </c>
      <c r="AM644" s="248">
        <f t="shared" si="492"/>
        <v>0</v>
      </c>
      <c r="AN644" s="248">
        <f t="shared" si="492"/>
        <v>0</v>
      </c>
      <c r="AO644" s="164">
        <f>AO643</f>
        <v>0</v>
      </c>
      <c r="AP644" s="531">
        <f>AP643</f>
        <v>0</v>
      </c>
      <c r="AQ644" s="531">
        <f>AQ643</f>
        <v>0</v>
      </c>
      <c r="AR644" s="394">
        <f t="shared" si="448"/>
        <v>44149920</v>
      </c>
    </row>
    <row r="645" spans="1:44" s="165" customFormat="1" ht="15" x14ac:dyDescent="0.25">
      <c r="A645" s="20"/>
      <c r="B645" s="730"/>
      <c r="C645" s="760"/>
      <c r="D645" s="183"/>
      <c r="E645" s="760"/>
      <c r="F645" s="760"/>
      <c r="G645" s="183"/>
      <c r="H645" s="760"/>
      <c r="I645" s="183"/>
      <c r="J645" s="760"/>
      <c r="K645" s="760"/>
      <c r="L645" s="830"/>
      <c r="M645" s="830"/>
      <c r="N645" s="833"/>
      <c r="O645" s="829"/>
      <c r="P645" s="760"/>
      <c r="Q645" s="186"/>
      <c r="R645" s="186"/>
      <c r="S645" s="186"/>
      <c r="T645" s="186"/>
      <c r="U645" s="186"/>
      <c r="V645" s="186"/>
      <c r="W645" s="186"/>
      <c r="X645" s="186"/>
      <c r="Y645" s="186"/>
      <c r="Z645" s="186"/>
      <c r="AA645" s="186"/>
      <c r="AB645" s="186"/>
      <c r="AC645" s="186"/>
      <c r="AD645" s="186"/>
      <c r="AE645" s="186"/>
      <c r="AF645" s="186"/>
      <c r="AG645" s="186"/>
      <c r="AH645" s="186"/>
      <c r="AI645" s="186"/>
      <c r="AJ645" s="186"/>
      <c r="AK645" s="186"/>
      <c r="AL645" s="186"/>
      <c r="AM645" s="188"/>
      <c r="AN645" s="189"/>
      <c r="AO645" s="186"/>
      <c r="AP645" s="186"/>
      <c r="AQ645" s="186"/>
      <c r="AR645" s="525"/>
    </row>
    <row r="646" spans="1:44" s="165" customFormat="1" ht="15" x14ac:dyDescent="0.25">
      <c r="A646" s="20"/>
      <c r="B646" s="730"/>
      <c r="C646" s="760"/>
      <c r="D646" s="159"/>
      <c r="E646" s="604"/>
      <c r="F646" s="604"/>
      <c r="G646" s="337">
        <v>52</v>
      </c>
      <c r="H646" s="933" t="s">
        <v>816</v>
      </c>
      <c r="I646" s="933"/>
      <c r="J646" s="933"/>
      <c r="K646" s="933"/>
      <c r="L646" s="933"/>
      <c r="M646" s="933"/>
      <c r="N646" s="933"/>
      <c r="O646" s="933"/>
      <c r="P646" s="933"/>
      <c r="Q646" s="194"/>
      <c r="R646" s="194"/>
      <c r="S646" s="194"/>
      <c r="T646" s="194"/>
      <c r="U646" s="194"/>
      <c r="V646" s="194"/>
      <c r="W646" s="194"/>
      <c r="X646" s="194"/>
      <c r="Y646" s="194"/>
      <c r="Z646" s="194"/>
      <c r="AA646" s="194"/>
      <c r="AB646" s="194"/>
      <c r="AC646" s="194"/>
      <c r="AD646" s="194"/>
      <c r="AE646" s="194"/>
      <c r="AF646" s="194"/>
      <c r="AG646" s="194"/>
      <c r="AH646" s="194"/>
      <c r="AI646" s="194"/>
      <c r="AJ646" s="194"/>
      <c r="AK646" s="194"/>
      <c r="AL646" s="194"/>
      <c r="AM646" s="196"/>
      <c r="AN646" s="194"/>
      <c r="AO646" s="194"/>
      <c r="AP646" s="194"/>
      <c r="AQ646" s="194"/>
      <c r="AR646" s="713"/>
    </row>
    <row r="647" spans="1:44" s="165" customFormat="1" ht="39" customHeight="1" x14ac:dyDescent="0.25">
      <c r="A647" s="20"/>
      <c r="B647" s="730"/>
      <c r="C647" s="912">
        <v>28</v>
      </c>
      <c r="D647" s="944" t="s">
        <v>817</v>
      </c>
      <c r="E647" s="946">
        <v>0.5</v>
      </c>
      <c r="F647" s="946">
        <v>1</v>
      </c>
      <c r="G647" s="24"/>
      <c r="H647" s="767">
        <v>170</v>
      </c>
      <c r="I647" s="762" t="s">
        <v>818</v>
      </c>
      <c r="J647" s="517">
        <v>14</v>
      </c>
      <c r="K647" s="517">
        <v>14</v>
      </c>
      <c r="L647" s="533">
        <v>0.5</v>
      </c>
      <c r="M647" s="963" t="s">
        <v>681</v>
      </c>
      <c r="N647" s="948" t="s">
        <v>819</v>
      </c>
      <c r="O647" s="941" t="s">
        <v>820</v>
      </c>
      <c r="P647" s="767" t="s">
        <v>47</v>
      </c>
      <c r="Q647" s="27">
        <v>0</v>
      </c>
      <c r="R647" s="27">
        <v>0</v>
      </c>
      <c r="S647" s="27">
        <v>0</v>
      </c>
      <c r="T647" s="27">
        <v>0</v>
      </c>
      <c r="U647" s="27">
        <v>0</v>
      </c>
      <c r="V647" s="27">
        <v>0</v>
      </c>
      <c r="W647" s="27">
        <v>0</v>
      </c>
      <c r="X647" s="27"/>
      <c r="Y647" s="27"/>
      <c r="Z647" s="27"/>
      <c r="AA647" s="534">
        <v>39484444</v>
      </c>
      <c r="AB647" s="534"/>
      <c r="AC647" s="257">
        <v>0</v>
      </c>
      <c r="AD647" s="27">
        <v>0</v>
      </c>
      <c r="AE647" s="27">
        <v>0</v>
      </c>
      <c r="AF647" s="27">
        <v>0</v>
      </c>
      <c r="AG647" s="27"/>
      <c r="AH647" s="27">
        <v>0</v>
      </c>
      <c r="AI647" s="27">
        <v>0</v>
      </c>
      <c r="AJ647" s="27">
        <v>0</v>
      </c>
      <c r="AK647" s="27">
        <v>0</v>
      </c>
      <c r="AL647" s="27">
        <v>0</v>
      </c>
      <c r="AM647" s="108">
        <v>0</v>
      </c>
      <c r="AN647" s="40"/>
      <c r="AO647" s="319">
        <v>0</v>
      </c>
      <c r="AP647" s="290">
        <v>0</v>
      </c>
      <c r="AQ647" s="290"/>
      <c r="AR647" s="525">
        <f t="shared" si="448"/>
        <v>39484444</v>
      </c>
    </row>
    <row r="648" spans="1:44" s="165" customFormat="1" ht="48" customHeight="1" x14ac:dyDescent="0.25">
      <c r="A648" s="20"/>
      <c r="B648" s="730"/>
      <c r="C648" s="914"/>
      <c r="D648" s="945"/>
      <c r="E648" s="947"/>
      <c r="F648" s="947"/>
      <c r="G648" s="30"/>
      <c r="H648" s="767">
        <v>171</v>
      </c>
      <c r="I648" s="762" t="s">
        <v>821</v>
      </c>
      <c r="J648" s="517">
        <v>1</v>
      </c>
      <c r="K648" s="517">
        <v>1</v>
      </c>
      <c r="L648" s="533">
        <v>0.2</v>
      </c>
      <c r="M648" s="964"/>
      <c r="N648" s="949"/>
      <c r="O648" s="943"/>
      <c r="P648" s="767" t="s">
        <v>47</v>
      </c>
      <c r="Q648" s="27">
        <v>0</v>
      </c>
      <c r="R648" s="27">
        <v>0</v>
      </c>
      <c r="S648" s="27">
        <v>0</v>
      </c>
      <c r="T648" s="27">
        <v>0</v>
      </c>
      <c r="U648" s="27">
        <v>0</v>
      </c>
      <c r="V648" s="27">
        <v>0</v>
      </c>
      <c r="W648" s="27">
        <v>0</v>
      </c>
      <c r="X648" s="27"/>
      <c r="Y648" s="27"/>
      <c r="Z648" s="27"/>
      <c r="AA648" s="534">
        <v>98711111</v>
      </c>
      <c r="AB648" s="534"/>
      <c r="AC648" s="257">
        <v>0</v>
      </c>
      <c r="AD648" s="27">
        <v>0</v>
      </c>
      <c r="AE648" s="27">
        <v>0</v>
      </c>
      <c r="AF648" s="27">
        <v>0</v>
      </c>
      <c r="AG648" s="27"/>
      <c r="AH648" s="27">
        <v>0</v>
      </c>
      <c r="AI648" s="27">
        <v>0</v>
      </c>
      <c r="AJ648" s="27">
        <v>0</v>
      </c>
      <c r="AK648" s="27">
        <v>0</v>
      </c>
      <c r="AL648" s="27">
        <v>0</v>
      </c>
      <c r="AM648" s="108">
        <v>0</v>
      </c>
      <c r="AN648" s="40"/>
      <c r="AO648" s="319">
        <v>0</v>
      </c>
      <c r="AP648" s="290">
        <v>0</v>
      </c>
      <c r="AQ648" s="290"/>
      <c r="AR648" s="525">
        <f t="shared" si="448"/>
        <v>98711111</v>
      </c>
    </row>
    <row r="649" spans="1:44" s="29" customFormat="1" ht="86.25" customHeight="1" x14ac:dyDescent="0.25">
      <c r="A649" s="20"/>
      <c r="B649" s="730"/>
      <c r="C649" s="761">
        <v>28</v>
      </c>
      <c r="D649" s="762" t="s">
        <v>817</v>
      </c>
      <c r="E649" s="80">
        <v>0.5</v>
      </c>
      <c r="F649" s="80">
        <v>1</v>
      </c>
      <c r="G649" s="32"/>
      <c r="H649" s="767">
        <v>172</v>
      </c>
      <c r="I649" s="762" t="s">
        <v>926</v>
      </c>
      <c r="J649" s="523">
        <v>12</v>
      </c>
      <c r="K649" s="523">
        <v>12</v>
      </c>
      <c r="L649" s="523">
        <v>12</v>
      </c>
      <c r="M649" s="523" t="s">
        <v>681</v>
      </c>
      <c r="N649" s="39" t="s">
        <v>822</v>
      </c>
      <c r="O649" s="762" t="s">
        <v>823</v>
      </c>
      <c r="P649" s="767" t="s">
        <v>47</v>
      </c>
      <c r="Q649" s="27">
        <v>0</v>
      </c>
      <c r="R649" s="27">
        <v>0</v>
      </c>
      <c r="S649" s="27">
        <v>0</v>
      </c>
      <c r="T649" s="27">
        <v>0</v>
      </c>
      <c r="U649" s="27">
        <v>0</v>
      </c>
      <c r="V649" s="27">
        <v>0</v>
      </c>
      <c r="W649" s="27">
        <v>0</v>
      </c>
      <c r="X649" s="27"/>
      <c r="Y649" s="27"/>
      <c r="Z649" s="27"/>
      <c r="AA649" s="535">
        <v>6004444</v>
      </c>
      <c r="AB649" s="535"/>
      <c r="AC649" s="27">
        <v>0</v>
      </c>
      <c r="AD649" s="27">
        <v>0</v>
      </c>
      <c r="AE649" s="27">
        <v>0</v>
      </c>
      <c r="AF649" s="27">
        <v>0</v>
      </c>
      <c r="AG649" s="27"/>
      <c r="AH649" s="27">
        <v>0</v>
      </c>
      <c r="AI649" s="27">
        <v>0</v>
      </c>
      <c r="AJ649" s="27">
        <v>0</v>
      </c>
      <c r="AK649" s="27">
        <v>0</v>
      </c>
      <c r="AL649" s="27">
        <v>0</v>
      </c>
      <c r="AM649" s="108">
        <f>300000000+400000000</f>
        <v>700000000</v>
      </c>
      <c r="AN649" s="40"/>
      <c r="AO649" s="27">
        <v>0</v>
      </c>
      <c r="AP649" s="28">
        <v>0</v>
      </c>
      <c r="AQ649" s="28"/>
      <c r="AR649" s="525">
        <f t="shared" si="448"/>
        <v>706004444</v>
      </c>
    </row>
    <row r="650" spans="1:44" s="165" customFormat="1" ht="15" x14ac:dyDescent="0.25">
      <c r="A650" s="20"/>
      <c r="B650" s="730"/>
      <c r="C650" s="761"/>
      <c r="D650" s="159"/>
      <c r="E650" s="604"/>
      <c r="F650" s="604"/>
      <c r="G650" s="160"/>
      <c r="H650" s="161"/>
      <c r="I650" s="160"/>
      <c r="J650" s="529"/>
      <c r="K650" s="529"/>
      <c r="L650" s="529"/>
      <c r="M650" s="529"/>
      <c r="N650" s="163"/>
      <c r="O650" s="160"/>
      <c r="P650" s="161"/>
      <c r="Q650" s="164">
        <f t="shared" ref="Q650:X650" si="493">SUM(Q647:Q649)</f>
        <v>0</v>
      </c>
      <c r="R650" s="164">
        <f t="shared" si="493"/>
        <v>0</v>
      </c>
      <c r="S650" s="164">
        <f t="shared" si="493"/>
        <v>0</v>
      </c>
      <c r="T650" s="164">
        <f t="shared" si="493"/>
        <v>0</v>
      </c>
      <c r="U650" s="164">
        <f t="shared" si="493"/>
        <v>0</v>
      </c>
      <c r="V650" s="164">
        <f t="shared" si="493"/>
        <v>0</v>
      </c>
      <c r="W650" s="164">
        <f t="shared" si="493"/>
        <v>0</v>
      </c>
      <c r="X650" s="164">
        <f t="shared" si="493"/>
        <v>0</v>
      </c>
      <c r="Y650" s="164"/>
      <c r="Z650" s="164"/>
      <c r="AA650" s="164">
        <f>SUM(AA647:AA649)</f>
        <v>144199999</v>
      </c>
      <c r="AB650" s="164">
        <f t="shared" ref="AB650" si="494">SUM(AB647:AB649)</f>
        <v>0</v>
      </c>
      <c r="AC650" s="164">
        <f>SUM(AC647:AC649)</f>
        <v>0</v>
      </c>
      <c r="AD650" s="164">
        <f>SUM(AD647:AD649)</f>
        <v>0</v>
      </c>
      <c r="AE650" s="164">
        <f>SUM(AE647:AE649)</f>
        <v>0</v>
      </c>
      <c r="AF650" s="164">
        <f>SUM(AF647:AF649)</f>
        <v>0</v>
      </c>
      <c r="AG650" s="164">
        <f t="shared" ref="AG650:AI650" si="495">SUM(AG647:AG649)</f>
        <v>0</v>
      </c>
      <c r="AH650" s="164">
        <f t="shared" si="495"/>
        <v>0</v>
      </c>
      <c r="AI650" s="164">
        <f t="shared" si="495"/>
        <v>0</v>
      </c>
      <c r="AJ650" s="164">
        <f t="shared" ref="AJ650:AO650" si="496">SUM(AJ647:AJ649)</f>
        <v>0</v>
      </c>
      <c r="AK650" s="164">
        <f t="shared" si="496"/>
        <v>0</v>
      </c>
      <c r="AL650" s="164">
        <f t="shared" si="496"/>
        <v>0</v>
      </c>
      <c r="AM650" s="248">
        <f t="shared" si="496"/>
        <v>700000000</v>
      </c>
      <c r="AN650" s="248">
        <f t="shared" si="496"/>
        <v>0</v>
      </c>
      <c r="AO650" s="248">
        <f t="shared" si="496"/>
        <v>0</v>
      </c>
      <c r="AP650" s="164">
        <f>SUM(AP647:AP649)</f>
        <v>0</v>
      </c>
      <c r="AQ650" s="164">
        <f>SUM(AQ647:AQ649)</f>
        <v>0</v>
      </c>
      <c r="AR650" s="394">
        <f t="shared" si="448"/>
        <v>844199999</v>
      </c>
    </row>
    <row r="651" spans="1:44" s="165" customFormat="1" ht="15" x14ac:dyDescent="0.25">
      <c r="A651" s="20"/>
      <c r="B651" s="730"/>
      <c r="C651" s="760"/>
      <c r="D651" s="183"/>
      <c r="E651" s="760"/>
      <c r="F651" s="760"/>
      <c r="G651" s="183"/>
      <c r="H651" s="760"/>
      <c r="I651" s="183"/>
      <c r="J651" s="760"/>
      <c r="K651" s="760"/>
      <c r="L651" s="830"/>
      <c r="M651" s="830"/>
      <c r="N651" s="833"/>
      <c r="O651" s="829"/>
      <c r="P651" s="760"/>
      <c r="Q651" s="186"/>
      <c r="R651" s="186"/>
      <c r="S651" s="186"/>
      <c r="T651" s="186"/>
      <c r="U651" s="186"/>
      <c r="V651" s="186"/>
      <c r="W651" s="186"/>
      <c r="X651" s="186"/>
      <c r="Y651" s="186"/>
      <c r="Z651" s="186"/>
      <c r="AA651" s="186"/>
      <c r="AB651" s="186"/>
      <c r="AC651" s="186"/>
      <c r="AD651" s="186"/>
      <c r="AE651" s="186"/>
      <c r="AF651" s="186"/>
      <c r="AG651" s="186"/>
      <c r="AH651" s="186"/>
      <c r="AI651" s="186"/>
      <c r="AJ651" s="186"/>
      <c r="AK651" s="186"/>
      <c r="AL651" s="186"/>
      <c r="AM651" s="188"/>
      <c r="AN651" s="189"/>
      <c r="AO651" s="186"/>
      <c r="AP651" s="186"/>
      <c r="AQ651" s="186"/>
      <c r="AR651" s="710"/>
    </row>
    <row r="652" spans="1:44" s="165" customFormat="1" ht="15" x14ac:dyDescent="0.25">
      <c r="A652" s="20"/>
      <c r="B652" s="730"/>
      <c r="C652" s="760"/>
      <c r="D652" s="159"/>
      <c r="E652" s="604"/>
      <c r="F652" s="604"/>
      <c r="G652" s="337">
        <v>53</v>
      </c>
      <c r="H652" s="950" t="s">
        <v>824</v>
      </c>
      <c r="I652" s="950"/>
      <c r="J652" s="950"/>
      <c r="K652" s="950"/>
      <c r="L652" s="950"/>
      <c r="M652" s="950"/>
      <c r="N652" s="950"/>
      <c r="O652" s="950"/>
      <c r="P652" s="950"/>
      <c r="Q652" s="194"/>
      <c r="R652" s="194"/>
      <c r="S652" s="194"/>
      <c r="T652" s="194"/>
      <c r="U652" s="194"/>
      <c r="V652" s="194"/>
      <c r="W652" s="194"/>
      <c r="X652" s="194"/>
      <c r="Y652" s="194"/>
      <c r="Z652" s="194"/>
      <c r="AA652" s="194"/>
      <c r="AB652" s="194"/>
      <c r="AC652" s="194"/>
      <c r="AD652" s="194"/>
      <c r="AE652" s="194"/>
      <c r="AF652" s="194"/>
      <c r="AG652" s="194"/>
      <c r="AH652" s="194"/>
      <c r="AI652" s="194"/>
      <c r="AJ652" s="194"/>
      <c r="AK652" s="194"/>
      <c r="AL652" s="194"/>
      <c r="AM652" s="196"/>
      <c r="AN652" s="194"/>
      <c r="AO652" s="194"/>
      <c r="AP652" s="194"/>
      <c r="AQ652" s="194"/>
      <c r="AR652" s="400"/>
    </row>
    <row r="653" spans="1:44" s="165" customFormat="1" ht="99.75" x14ac:dyDescent="0.25">
      <c r="A653" s="20"/>
      <c r="B653" s="730"/>
      <c r="C653" s="912">
        <v>28</v>
      </c>
      <c r="D653" s="944" t="s">
        <v>817</v>
      </c>
      <c r="E653" s="946">
        <v>0.5</v>
      </c>
      <c r="F653" s="946">
        <v>1</v>
      </c>
      <c r="G653" s="924"/>
      <c r="H653" s="767">
        <v>173</v>
      </c>
      <c r="I653" s="762" t="s">
        <v>825</v>
      </c>
      <c r="J653" s="517" t="s">
        <v>38</v>
      </c>
      <c r="K653" s="517">
        <v>7</v>
      </c>
      <c r="L653" s="533">
        <v>0.8</v>
      </c>
      <c r="M653" s="963" t="s">
        <v>681</v>
      </c>
      <c r="N653" s="948" t="s">
        <v>826</v>
      </c>
      <c r="O653" s="941" t="s">
        <v>827</v>
      </c>
      <c r="P653" s="767" t="s">
        <v>47</v>
      </c>
      <c r="Q653" s="27">
        <v>0</v>
      </c>
      <c r="R653" s="27">
        <v>0</v>
      </c>
      <c r="S653" s="27">
        <v>0</v>
      </c>
      <c r="T653" s="27">
        <v>0</v>
      </c>
      <c r="U653" s="27">
        <v>0</v>
      </c>
      <c r="V653" s="27">
        <v>0</v>
      </c>
      <c r="W653" s="27">
        <v>0</v>
      </c>
      <c r="X653" s="27"/>
      <c r="Y653" s="27"/>
      <c r="Z653" s="27"/>
      <c r="AA653" s="5">
        <v>35436120</v>
      </c>
      <c r="AB653" s="5"/>
      <c r="AC653" s="257">
        <v>0</v>
      </c>
      <c r="AD653" s="27">
        <v>0</v>
      </c>
      <c r="AE653" s="257"/>
      <c r="AF653" s="257"/>
      <c r="AG653" s="257"/>
      <c r="AH653" s="257"/>
      <c r="AI653" s="257"/>
      <c r="AJ653" s="257"/>
      <c r="AK653" s="319">
        <v>0</v>
      </c>
      <c r="AL653" s="319">
        <v>0</v>
      </c>
      <c r="AM653" s="506">
        <v>0</v>
      </c>
      <c r="AN653" s="507"/>
      <c r="AO653" s="319">
        <v>0</v>
      </c>
      <c r="AP653" s="290">
        <v>0</v>
      </c>
      <c r="AQ653" s="290"/>
      <c r="AR653" s="525">
        <f t="shared" ref="AR653:AR716" si="497">Q653+R653+S653+T653+U653+V653+W653+X653+Y653+Z653+AA653+AB653+AC653+AD653+AE653+AF653+AG653+AH653+AI653+AJ653+AK653+AL653+AM653+AN653+AO653+AP653+AQ653</f>
        <v>35436120</v>
      </c>
    </row>
    <row r="654" spans="1:44" s="165" customFormat="1" ht="54" customHeight="1" x14ac:dyDescent="0.25">
      <c r="A654" s="20"/>
      <c r="B654" s="730"/>
      <c r="C654" s="914"/>
      <c r="D654" s="945"/>
      <c r="E654" s="947"/>
      <c r="F654" s="947"/>
      <c r="G654" s="926"/>
      <c r="H654" s="767">
        <v>174</v>
      </c>
      <c r="I654" s="762" t="s">
        <v>828</v>
      </c>
      <c r="J654" s="767">
        <v>100</v>
      </c>
      <c r="K654" s="767">
        <v>150</v>
      </c>
      <c r="L654" s="767">
        <v>92</v>
      </c>
      <c r="M654" s="964"/>
      <c r="N654" s="949"/>
      <c r="O654" s="943"/>
      <c r="P654" s="767" t="s">
        <v>47</v>
      </c>
      <c r="Q654" s="27">
        <v>0</v>
      </c>
      <c r="R654" s="27">
        <v>0</v>
      </c>
      <c r="S654" s="27">
        <v>0</v>
      </c>
      <c r="T654" s="27">
        <v>0</v>
      </c>
      <c r="U654" s="27">
        <v>0</v>
      </c>
      <c r="V654" s="27">
        <v>0</v>
      </c>
      <c r="W654" s="27">
        <v>0</v>
      </c>
      <c r="X654" s="27"/>
      <c r="Y654" s="27"/>
      <c r="Z654" s="27"/>
      <c r="AA654" s="257">
        <v>0</v>
      </c>
      <c r="AB654" s="257"/>
      <c r="AC654" s="257">
        <v>0</v>
      </c>
      <c r="AD654" s="27">
        <v>0</v>
      </c>
      <c r="AE654" s="257"/>
      <c r="AF654" s="257"/>
      <c r="AG654" s="257"/>
      <c r="AH654" s="257"/>
      <c r="AI654" s="257"/>
      <c r="AJ654" s="257"/>
      <c r="AK654" s="319">
        <v>0</v>
      </c>
      <c r="AL654" s="319">
        <v>0</v>
      </c>
      <c r="AM654" s="506">
        <v>0</v>
      </c>
      <c r="AN654" s="507"/>
      <c r="AO654" s="319">
        <v>0</v>
      </c>
      <c r="AP654" s="290">
        <v>0</v>
      </c>
      <c r="AQ654" s="290"/>
      <c r="AR654" s="525">
        <f t="shared" si="497"/>
        <v>0</v>
      </c>
    </row>
    <row r="655" spans="1:44" s="165" customFormat="1" ht="15" x14ac:dyDescent="0.25">
      <c r="A655" s="20"/>
      <c r="B655" s="730"/>
      <c r="C655" s="761"/>
      <c r="D655" s="159"/>
      <c r="E655" s="604"/>
      <c r="F655" s="604"/>
      <c r="G655" s="160"/>
      <c r="H655" s="161"/>
      <c r="I655" s="160"/>
      <c r="J655" s="161"/>
      <c r="K655" s="161"/>
      <c r="L655" s="161"/>
      <c r="M655" s="161"/>
      <c r="N655" s="163"/>
      <c r="O655" s="160"/>
      <c r="P655" s="161"/>
      <c r="Q655" s="164">
        <f t="shared" ref="Q655:X655" si="498">SUM(Q653:Q654)</f>
        <v>0</v>
      </c>
      <c r="R655" s="164">
        <f t="shared" si="498"/>
        <v>0</v>
      </c>
      <c r="S655" s="164">
        <f t="shared" si="498"/>
        <v>0</v>
      </c>
      <c r="T655" s="164">
        <f t="shared" si="498"/>
        <v>0</v>
      </c>
      <c r="U655" s="164">
        <f t="shared" si="498"/>
        <v>0</v>
      </c>
      <c r="V655" s="164">
        <f t="shared" si="498"/>
        <v>0</v>
      </c>
      <c r="W655" s="164">
        <f t="shared" si="498"/>
        <v>0</v>
      </c>
      <c r="X655" s="164">
        <f t="shared" si="498"/>
        <v>0</v>
      </c>
      <c r="Y655" s="164"/>
      <c r="Z655" s="164"/>
      <c r="AA655" s="164">
        <f>SUM(AA653:AA654)</f>
        <v>35436120</v>
      </c>
      <c r="AB655" s="164"/>
      <c r="AC655" s="164">
        <f>SUM(AC653:AC654)</f>
        <v>0</v>
      </c>
      <c r="AD655" s="164">
        <f>SUM(AD653:AD654)</f>
        <v>0</v>
      </c>
      <c r="AE655" s="164">
        <f>SUM(AE653:AE654)</f>
        <v>0</v>
      </c>
      <c r="AF655" s="164">
        <f>SUM(AF653:AF654)</f>
        <v>0</v>
      </c>
      <c r="AG655" s="164">
        <f>SUM(AG653:AG654)</f>
        <v>0</v>
      </c>
      <c r="AH655" s="164">
        <f t="shared" ref="AH655:AO655" si="499">SUM(AH653:AH654)</f>
        <v>0</v>
      </c>
      <c r="AI655" s="164">
        <f t="shared" si="499"/>
        <v>0</v>
      </c>
      <c r="AJ655" s="164">
        <f t="shared" si="499"/>
        <v>0</v>
      </c>
      <c r="AK655" s="164">
        <f t="shared" si="499"/>
        <v>0</v>
      </c>
      <c r="AL655" s="164">
        <f t="shared" si="499"/>
        <v>0</v>
      </c>
      <c r="AM655" s="248">
        <f t="shared" si="499"/>
        <v>0</v>
      </c>
      <c r="AN655" s="248">
        <f t="shared" si="499"/>
        <v>0</v>
      </c>
      <c r="AO655" s="248">
        <f t="shared" si="499"/>
        <v>0</v>
      </c>
      <c r="AP655" s="164">
        <f>SUM(AP653:AP654)</f>
        <v>0</v>
      </c>
      <c r="AQ655" s="164">
        <f>SUM(AQ653:AQ654)</f>
        <v>0</v>
      </c>
      <c r="AR655" s="394">
        <f t="shared" si="497"/>
        <v>35436120</v>
      </c>
    </row>
    <row r="656" spans="1:44" s="165" customFormat="1" ht="15" x14ac:dyDescent="0.25">
      <c r="A656" s="20"/>
      <c r="B656" s="730"/>
      <c r="C656" s="760"/>
      <c r="D656" s="183"/>
      <c r="E656" s="760"/>
      <c r="F656" s="760"/>
      <c r="G656" s="183"/>
      <c r="H656" s="760"/>
      <c r="I656" s="183"/>
      <c r="J656" s="760"/>
      <c r="K656" s="760"/>
      <c r="L656" s="830"/>
      <c r="M656" s="830"/>
      <c r="N656" s="833"/>
      <c r="O656" s="829"/>
      <c r="P656" s="760"/>
      <c r="Q656" s="186"/>
      <c r="R656" s="186"/>
      <c r="S656" s="186"/>
      <c r="T656" s="186"/>
      <c r="U656" s="186"/>
      <c r="V656" s="186"/>
      <c r="W656" s="186"/>
      <c r="X656" s="186"/>
      <c r="Y656" s="186"/>
      <c r="Z656" s="186"/>
      <c r="AA656" s="186"/>
      <c r="AB656" s="186"/>
      <c r="AC656" s="186"/>
      <c r="AD656" s="186"/>
      <c r="AE656" s="186"/>
      <c r="AF656" s="186"/>
      <c r="AG656" s="186"/>
      <c r="AH656" s="186"/>
      <c r="AI656" s="186"/>
      <c r="AJ656" s="186"/>
      <c r="AK656" s="186"/>
      <c r="AL656" s="186"/>
      <c r="AM656" s="188"/>
      <c r="AN656" s="189"/>
      <c r="AO656" s="186"/>
      <c r="AP656" s="186"/>
      <c r="AQ656" s="186"/>
      <c r="AR656" s="710">
        <f t="shared" si="497"/>
        <v>0</v>
      </c>
    </row>
    <row r="657" spans="1:44" s="165" customFormat="1" ht="15" x14ac:dyDescent="0.25">
      <c r="A657" s="20"/>
      <c r="B657" s="730"/>
      <c r="C657" s="760"/>
      <c r="D657" s="159"/>
      <c r="E657" s="604"/>
      <c r="F657" s="604"/>
      <c r="G657" s="337">
        <v>54</v>
      </c>
      <c r="H657" s="933" t="s">
        <v>829</v>
      </c>
      <c r="I657" s="933"/>
      <c r="J657" s="933"/>
      <c r="K657" s="933"/>
      <c r="L657" s="933"/>
      <c r="M657" s="933"/>
      <c r="N657" s="933"/>
      <c r="O657" s="933"/>
      <c r="P657" s="933"/>
      <c r="Q657" s="194"/>
      <c r="R657" s="194"/>
      <c r="S657" s="194"/>
      <c r="T657" s="194"/>
      <c r="U657" s="194"/>
      <c r="V657" s="194"/>
      <c r="W657" s="194"/>
      <c r="X657" s="194"/>
      <c r="Y657" s="194"/>
      <c r="Z657" s="194"/>
      <c r="AA657" s="194"/>
      <c r="AB657" s="194"/>
      <c r="AC657" s="194"/>
      <c r="AD657" s="194"/>
      <c r="AE657" s="194"/>
      <c r="AF657" s="194"/>
      <c r="AG657" s="194"/>
      <c r="AH657" s="194"/>
      <c r="AI657" s="194"/>
      <c r="AJ657" s="194"/>
      <c r="AK657" s="194"/>
      <c r="AL657" s="194"/>
      <c r="AM657" s="196"/>
      <c r="AN657" s="194"/>
      <c r="AO657" s="194"/>
      <c r="AP657" s="194"/>
      <c r="AQ657" s="194"/>
      <c r="AR657" s="400">
        <f t="shared" si="497"/>
        <v>0</v>
      </c>
    </row>
    <row r="658" spans="1:44" s="165" customFormat="1" ht="57" customHeight="1" x14ac:dyDescent="0.25">
      <c r="A658" s="20"/>
      <c r="B658" s="730"/>
      <c r="C658" s="912">
        <v>28</v>
      </c>
      <c r="D658" s="944" t="s">
        <v>817</v>
      </c>
      <c r="E658" s="946">
        <v>0.5</v>
      </c>
      <c r="F658" s="946">
        <v>1</v>
      </c>
      <c r="G658" s="924"/>
      <c r="H658" s="767">
        <v>175</v>
      </c>
      <c r="I658" s="762" t="s">
        <v>830</v>
      </c>
      <c r="J658" s="767">
        <v>10</v>
      </c>
      <c r="K658" s="767">
        <v>14</v>
      </c>
      <c r="L658" s="767">
        <v>14</v>
      </c>
      <c r="M658" s="924" t="s">
        <v>681</v>
      </c>
      <c r="N658" s="948" t="s">
        <v>831</v>
      </c>
      <c r="O658" s="941" t="s">
        <v>832</v>
      </c>
      <c r="P658" s="767" t="s">
        <v>47</v>
      </c>
      <c r="Q658" s="27">
        <v>0</v>
      </c>
      <c r="R658" s="27">
        <v>0</v>
      </c>
      <c r="S658" s="27">
        <v>0</v>
      </c>
      <c r="T658" s="27">
        <v>0</v>
      </c>
      <c r="U658" s="27">
        <v>0</v>
      </c>
      <c r="V658" s="27">
        <v>0</v>
      </c>
      <c r="W658" s="27">
        <v>0</v>
      </c>
      <c r="X658" s="27"/>
      <c r="Y658" s="27"/>
      <c r="Z658" s="27"/>
      <c r="AA658" s="5">
        <v>23817720</v>
      </c>
      <c r="AB658" s="5"/>
      <c r="AC658" s="27">
        <v>0</v>
      </c>
      <c r="AD658" s="27">
        <v>0</v>
      </c>
      <c r="AE658" s="319">
        <v>0</v>
      </c>
      <c r="AF658" s="319">
        <v>0</v>
      </c>
      <c r="AG658" s="319"/>
      <c r="AH658" s="319">
        <v>0</v>
      </c>
      <c r="AI658" s="319">
        <v>0</v>
      </c>
      <c r="AJ658" s="319">
        <v>0</v>
      </c>
      <c r="AK658" s="319">
        <v>0</v>
      </c>
      <c r="AL658" s="319">
        <v>0</v>
      </c>
      <c r="AM658" s="506">
        <v>0</v>
      </c>
      <c r="AN658" s="507"/>
      <c r="AO658" s="319">
        <v>0</v>
      </c>
      <c r="AP658" s="290">
        <v>0</v>
      </c>
      <c r="AQ658" s="290"/>
      <c r="AR658" s="525">
        <f t="shared" si="497"/>
        <v>23817720</v>
      </c>
    </row>
    <row r="659" spans="1:44" s="165" customFormat="1" ht="68.25" customHeight="1" x14ac:dyDescent="0.25">
      <c r="A659" s="20"/>
      <c r="B659" s="730"/>
      <c r="C659" s="914"/>
      <c r="D659" s="945"/>
      <c r="E659" s="947"/>
      <c r="F659" s="947"/>
      <c r="G659" s="926"/>
      <c r="H659" s="767">
        <v>176</v>
      </c>
      <c r="I659" s="762" t="s">
        <v>833</v>
      </c>
      <c r="J659" s="767">
        <v>2</v>
      </c>
      <c r="K659" s="767">
        <v>2</v>
      </c>
      <c r="L659" s="723">
        <v>2</v>
      </c>
      <c r="M659" s="926"/>
      <c r="N659" s="949"/>
      <c r="O659" s="943"/>
      <c r="P659" s="767" t="s">
        <v>47</v>
      </c>
      <c r="Q659" s="27">
        <v>0</v>
      </c>
      <c r="R659" s="27">
        <v>0</v>
      </c>
      <c r="S659" s="27">
        <v>0</v>
      </c>
      <c r="T659" s="27">
        <v>0</v>
      </c>
      <c r="U659" s="27">
        <v>0</v>
      </c>
      <c r="V659" s="27">
        <v>0</v>
      </c>
      <c r="W659" s="27">
        <v>0</v>
      </c>
      <c r="X659" s="27"/>
      <c r="Y659" s="27"/>
      <c r="Z659" s="27"/>
      <c r="AA659" s="257">
        <v>0</v>
      </c>
      <c r="AB659" s="257"/>
      <c r="AC659" s="27">
        <v>0</v>
      </c>
      <c r="AD659" s="27">
        <v>0</v>
      </c>
      <c r="AE659" s="319">
        <v>0</v>
      </c>
      <c r="AF659" s="319">
        <v>0</v>
      </c>
      <c r="AG659" s="319"/>
      <c r="AH659" s="319">
        <v>0</v>
      </c>
      <c r="AI659" s="319">
        <v>0</v>
      </c>
      <c r="AJ659" s="319">
        <v>0</v>
      </c>
      <c r="AK659" s="319">
        <v>0</v>
      </c>
      <c r="AL659" s="319">
        <v>0</v>
      </c>
      <c r="AM659" s="108"/>
      <c r="AN659" s="40"/>
      <c r="AO659" s="319">
        <v>0</v>
      </c>
      <c r="AP659" s="290">
        <v>0</v>
      </c>
      <c r="AQ659" s="290"/>
      <c r="AR659" s="525">
        <f t="shared" si="497"/>
        <v>0</v>
      </c>
    </row>
    <row r="660" spans="1:44" s="165" customFormat="1" ht="15" x14ac:dyDescent="0.25">
      <c r="A660" s="20"/>
      <c r="B660" s="730"/>
      <c r="C660" s="761"/>
      <c r="D660" s="159"/>
      <c r="E660" s="604"/>
      <c r="F660" s="604"/>
      <c r="G660" s="160"/>
      <c r="H660" s="161"/>
      <c r="I660" s="160"/>
      <c r="J660" s="161"/>
      <c r="K660" s="161"/>
      <c r="L660" s="161"/>
      <c r="M660" s="161"/>
      <c r="N660" s="163"/>
      <c r="O660" s="160"/>
      <c r="P660" s="161"/>
      <c r="Q660" s="164">
        <f t="shared" ref="Q660:AL660" si="500">SUM(Q658:Q659)</f>
        <v>0</v>
      </c>
      <c r="R660" s="164">
        <f t="shared" si="500"/>
        <v>0</v>
      </c>
      <c r="S660" s="164">
        <f t="shared" si="500"/>
        <v>0</v>
      </c>
      <c r="T660" s="164">
        <f t="shared" si="500"/>
        <v>0</v>
      </c>
      <c r="U660" s="164">
        <f t="shared" si="500"/>
        <v>0</v>
      </c>
      <c r="V660" s="164">
        <f t="shared" si="500"/>
        <v>0</v>
      </c>
      <c r="W660" s="164">
        <f t="shared" si="500"/>
        <v>0</v>
      </c>
      <c r="X660" s="164">
        <f t="shared" si="500"/>
        <v>0</v>
      </c>
      <c r="Y660" s="164">
        <f t="shared" si="500"/>
        <v>0</v>
      </c>
      <c r="Z660" s="164">
        <f t="shared" si="500"/>
        <v>0</v>
      </c>
      <c r="AA660" s="164">
        <f t="shared" si="500"/>
        <v>23817720</v>
      </c>
      <c r="AB660" s="164">
        <f t="shared" si="500"/>
        <v>0</v>
      </c>
      <c r="AC660" s="164">
        <f t="shared" si="500"/>
        <v>0</v>
      </c>
      <c r="AD660" s="164">
        <f t="shared" si="500"/>
        <v>0</v>
      </c>
      <c r="AE660" s="164">
        <f t="shared" si="500"/>
        <v>0</v>
      </c>
      <c r="AF660" s="164">
        <f t="shared" si="500"/>
        <v>0</v>
      </c>
      <c r="AG660" s="164">
        <f t="shared" si="500"/>
        <v>0</v>
      </c>
      <c r="AH660" s="164">
        <f t="shared" si="500"/>
        <v>0</v>
      </c>
      <c r="AI660" s="164">
        <f t="shared" si="500"/>
        <v>0</v>
      </c>
      <c r="AJ660" s="164">
        <f t="shared" si="500"/>
        <v>0</v>
      </c>
      <c r="AK660" s="164">
        <f t="shared" si="500"/>
        <v>0</v>
      </c>
      <c r="AL660" s="164">
        <f t="shared" si="500"/>
        <v>0</v>
      </c>
      <c r="AM660" s="164">
        <f t="shared" ref="AM660:AP660" si="501">SUM(AM658:AM659)</f>
        <v>0</v>
      </c>
      <c r="AN660" s="164">
        <f t="shared" si="501"/>
        <v>0</v>
      </c>
      <c r="AO660" s="164">
        <f t="shared" si="501"/>
        <v>0</v>
      </c>
      <c r="AP660" s="164">
        <f t="shared" si="501"/>
        <v>0</v>
      </c>
      <c r="AQ660" s="164">
        <f t="shared" ref="AQ660" si="502">SUM(AQ658:AQ659)</f>
        <v>0</v>
      </c>
      <c r="AR660" s="394">
        <f t="shared" si="497"/>
        <v>23817720</v>
      </c>
    </row>
    <row r="661" spans="1:44" s="29" customFormat="1" ht="15" x14ac:dyDescent="0.25">
      <c r="A661" s="21"/>
      <c r="B661" s="430"/>
      <c r="C661" s="168"/>
      <c r="D661" s="167"/>
      <c r="E661" s="168"/>
      <c r="F661" s="168"/>
      <c r="G661" s="167"/>
      <c r="H661" s="168"/>
      <c r="I661" s="167"/>
      <c r="J661" s="168"/>
      <c r="K661" s="168"/>
      <c r="L661" s="168"/>
      <c r="M661" s="168"/>
      <c r="N661" s="170"/>
      <c r="O661" s="167"/>
      <c r="P661" s="168"/>
      <c r="Q661" s="171">
        <f t="shared" ref="Q661:AL661" si="503">Q660+Q655+Q650+Q644+Q640</f>
        <v>0</v>
      </c>
      <c r="R661" s="171">
        <f t="shared" si="503"/>
        <v>0</v>
      </c>
      <c r="S661" s="171">
        <f t="shared" si="503"/>
        <v>0</v>
      </c>
      <c r="T661" s="171">
        <f t="shared" si="503"/>
        <v>0</v>
      </c>
      <c r="U661" s="171">
        <f t="shared" si="503"/>
        <v>0</v>
      </c>
      <c r="V661" s="171">
        <f t="shared" si="503"/>
        <v>0</v>
      </c>
      <c r="W661" s="171">
        <f t="shared" si="503"/>
        <v>1839000000</v>
      </c>
      <c r="X661" s="171">
        <f t="shared" si="503"/>
        <v>300000000</v>
      </c>
      <c r="Y661" s="171">
        <f t="shared" si="503"/>
        <v>4499205411</v>
      </c>
      <c r="Z661" s="171">
        <f t="shared" si="503"/>
        <v>4500001632</v>
      </c>
      <c r="AA661" s="171">
        <f t="shared" si="503"/>
        <v>6695935089</v>
      </c>
      <c r="AB661" s="171">
        <f t="shared" si="503"/>
        <v>0</v>
      </c>
      <c r="AC661" s="171">
        <f t="shared" si="503"/>
        <v>0</v>
      </c>
      <c r="AD661" s="171">
        <f t="shared" si="503"/>
        <v>2846900107</v>
      </c>
      <c r="AE661" s="171">
        <f t="shared" si="503"/>
        <v>0</v>
      </c>
      <c r="AF661" s="171">
        <f t="shared" si="503"/>
        <v>0</v>
      </c>
      <c r="AG661" s="171">
        <f t="shared" si="503"/>
        <v>0</v>
      </c>
      <c r="AH661" s="171">
        <f t="shared" si="503"/>
        <v>0</v>
      </c>
      <c r="AI661" s="171">
        <f t="shared" si="503"/>
        <v>0</v>
      </c>
      <c r="AJ661" s="171">
        <f t="shared" si="503"/>
        <v>0</v>
      </c>
      <c r="AK661" s="171">
        <f t="shared" si="503"/>
        <v>0</v>
      </c>
      <c r="AL661" s="171">
        <f t="shared" si="503"/>
        <v>0</v>
      </c>
      <c r="AM661" s="171">
        <f t="shared" ref="AM661:AP661" si="504">AM660+AM655+AM650+AM644+AM640</f>
        <v>700000000</v>
      </c>
      <c r="AN661" s="171">
        <f t="shared" si="504"/>
        <v>0</v>
      </c>
      <c r="AO661" s="171">
        <f t="shared" si="504"/>
        <v>0</v>
      </c>
      <c r="AP661" s="171">
        <f t="shared" si="504"/>
        <v>2073377146</v>
      </c>
      <c r="AQ661" s="171">
        <f t="shared" ref="AQ661" si="505">AQ660+AQ655+AQ650+AQ644+AQ640</f>
        <v>0</v>
      </c>
      <c r="AR661" s="395">
        <f t="shared" si="497"/>
        <v>23454419385</v>
      </c>
    </row>
    <row r="662" spans="1:44" s="29" customFormat="1" ht="15" x14ac:dyDescent="0.25">
      <c r="A662" s="21"/>
      <c r="B662" s="183"/>
      <c r="C662" s="760"/>
      <c r="D662" s="183"/>
      <c r="E662" s="760"/>
      <c r="F662" s="760"/>
      <c r="G662" s="183"/>
      <c r="H662" s="760"/>
      <c r="I662" s="183"/>
      <c r="J662" s="760"/>
      <c r="K662" s="760"/>
      <c r="L662" s="830"/>
      <c r="M662" s="830"/>
      <c r="N662" s="833"/>
      <c r="O662" s="829"/>
      <c r="P662" s="760"/>
      <c r="Q662" s="186"/>
      <c r="R662" s="186"/>
      <c r="S662" s="186"/>
      <c r="T662" s="186"/>
      <c r="U662" s="186"/>
      <c r="V662" s="186"/>
      <c r="W662" s="186"/>
      <c r="X662" s="186"/>
      <c r="Y662" s="186"/>
      <c r="Z662" s="186"/>
      <c r="AA662" s="186"/>
      <c r="AB662" s="186"/>
      <c r="AC662" s="186"/>
      <c r="AD662" s="186"/>
      <c r="AE662" s="186"/>
      <c r="AF662" s="186"/>
      <c r="AG662" s="186"/>
      <c r="AH662" s="186"/>
      <c r="AI662" s="186"/>
      <c r="AJ662" s="186"/>
      <c r="AK662" s="186"/>
      <c r="AL662" s="186"/>
      <c r="AM662" s="188"/>
      <c r="AN662" s="186"/>
      <c r="AO662" s="186"/>
      <c r="AP662" s="186"/>
      <c r="AQ662" s="186"/>
      <c r="AR662" s="525"/>
    </row>
    <row r="663" spans="1:44" s="29" customFormat="1" x14ac:dyDescent="0.25">
      <c r="A663" s="21"/>
      <c r="B663" s="882">
        <v>15</v>
      </c>
      <c r="C663" s="148" t="s">
        <v>834</v>
      </c>
      <c r="D663" s="149"/>
      <c r="E663" s="149"/>
      <c r="F663" s="149"/>
      <c r="G663" s="149"/>
      <c r="H663" s="150"/>
      <c r="I663" s="149"/>
      <c r="J663" s="149"/>
      <c r="K663" s="149"/>
      <c r="L663" s="149"/>
      <c r="M663" s="149"/>
      <c r="N663" s="151"/>
      <c r="O663" s="149"/>
      <c r="P663" s="149"/>
      <c r="Q663" s="149"/>
      <c r="R663" s="149"/>
      <c r="S663" s="149"/>
      <c r="T663" s="149"/>
      <c r="U663" s="149"/>
      <c r="V663" s="149"/>
      <c r="W663" s="149"/>
      <c r="X663" s="149"/>
      <c r="Y663" s="149"/>
      <c r="Z663" s="149"/>
      <c r="AA663" s="149"/>
      <c r="AB663" s="149"/>
      <c r="AC663" s="149"/>
      <c r="AD663" s="149"/>
      <c r="AE663" s="149"/>
      <c r="AF663" s="149"/>
      <c r="AG663" s="149"/>
      <c r="AH663" s="149"/>
      <c r="AI663" s="149"/>
      <c r="AJ663" s="149"/>
      <c r="AK663" s="149"/>
      <c r="AL663" s="149"/>
      <c r="AM663" s="152"/>
      <c r="AN663" s="149"/>
      <c r="AO663" s="149"/>
      <c r="AP663" s="149"/>
      <c r="AQ663" s="149"/>
      <c r="AR663" s="714"/>
    </row>
    <row r="664" spans="1:44" s="29" customFormat="1" ht="15" x14ac:dyDescent="0.25">
      <c r="A664" s="20"/>
      <c r="B664" s="21"/>
      <c r="C664" s="760"/>
      <c r="D664" s="183"/>
      <c r="E664" s="760"/>
      <c r="F664" s="761"/>
      <c r="G664" s="337">
        <v>55</v>
      </c>
      <c r="H664" s="933" t="s">
        <v>835</v>
      </c>
      <c r="I664" s="933"/>
      <c r="J664" s="933"/>
      <c r="K664" s="933"/>
      <c r="L664" s="933"/>
      <c r="M664" s="933"/>
      <c r="N664" s="933"/>
      <c r="O664" s="933"/>
      <c r="P664" s="933"/>
      <c r="Q664" s="194"/>
      <c r="R664" s="194"/>
      <c r="S664" s="194"/>
      <c r="T664" s="194"/>
      <c r="U664" s="194"/>
      <c r="V664" s="194"/>
      <c r="W664" s="194"/>
      <c r="X664" s="194"/>
      <c r="Y664" s="194"/>
      <c r="Z664" s="194"/>
      <c r="AA664" s="194"/>
      <c r="AB664" s="194"/>
      <c r="AC664" s="194"/>
      <c r="AD664" s="194"/>
      <c r="AE664" s="194"/>
      <c r="AF664" s="194"/>
      <c r="AG664" s="194"/>
      <c r="AH664" s="194"/>
      <c r="AI664" s="194"/>
      <c r="AJ664" s="194"/>
      <c r="AK664" s="194"/>
      <c r="AL664" s="194"/>
      <c r="AM664" s="196"/>
      <c r="AN664" s="194"/>
      <c r="AO664" s="194"/>
      <c r="AP664" s="194"/>
      <c r="AQ664" s="194"/>
      <c r="AR664" s="713">
        <f t="shared" si="497"/>
        <v>0</v>
      </c>
    </row>
    <row r="665" spans="1:44" s="467" customFormat="1" ht="55.5" customHeight="1" x14ac:dyDescent="0.25">
      <c r="A665" s="20"/>
      <c r="B665" s="730"/>
      <c r="C665" s="761" t="s">
        <v>714</v>
      </c>
      <c r="D665" s="483" t="s">
        <v>836</v>
      </c>
      <c r="E665" s="537">
        <v>2</v>
      </c>
      <c r="F665" s="528">
        <v>2</v>
      </c>
      <c r="G665" s="924"/>
      <c r="H665" s="767">
        <v>177</v>
      </c>
      <c r="I665" s="762" t="s">
        <v>837</v>
      </c>
      <c r="J665" s="767">
        <v>2</v>
      </c>
      <c r="K665" s="767">
        <v>2</v>
      </c>
      <c r="L665" s="767">
        <v>2</v>
      </c>
      <c r="M665" s="924" t="s">
        <v>681</v>
      </c>
      <c r="N665" s="948" t="s">
        <v>838</v>
      </c>
      <c r="O665" s="941" t="s">
        <v>839</v>
      </c>
      <c r="P665" s="58" t="s">
        <v>47</v>
      </c>
      <c r="Q665" s="27">
        <v>0</v>
      </c>
      <c r="R665" s="27">
        <v>0</v>
      </c>
      <c r="S665" s="27">
        <v>0</v>
      </c>
      <c r="T665" s="27">
        <v>0</v>
      </c>
      <c r="U665" s="27">
        <v>0</v>
      </c>
      <c r="V665" s="27">
        <v>0</v>
      </c>
      <c r="W665" s="27">
        <v>0</v>
      </c>
      <c r="X665" s="27"/>
      <c r="Y665" s="27"/>
      <c r="Z665" s="27"/>
      <c r="AA665" s="257">
        <v>0</v>
      </c>
      <c r="AB665" s="257"/>
      <c r="AC665" s="257">
        <v>0</v>
      </c>
      <c r="AD665" s="319">
        <v>0</v>
      </c>
      <c r="AE665" s="257"/>
      <c r="AF665" s="257"/>
      <c r="AG665" s="257"/>
      <c r="AH665" s="257"/>
      <c r="AI665" s="257"/>
      <c r="AJ665" s="257"/>
      <c r="AK665" s="319">
        <v>0</v>
      </c>
      <c r="AL665" s="319">
        <v>0</v>
      </c>
      <c r="AM665" s="506">
        <v>0</v>
      </c>
      <c r="AN665" s="507"/>
      <c r="AO665" s="319">
        <v>0</v>
      </c>
      <c r="AP665" s="290">
        <v>0</v>
      </c>
      <c r="AQ665" s="290"/>
      <c r="AR665" s="525">
        <f t="shared" si="497"/>
        <v>0</v>
      </c>
    </row>
    <row r="666" spans="1:44" s="467" customFormat="1" ht="42.75" customHeight="1" x14ac:dyDescent="0.25">
      <c r="A666" s="20"/>
      <c r="B666" s="730"/>
      <c r="C666" s="761" t="s">
        <v>714</v>
      </c>
      <c r="D666" s="7" t="s">
        <v>840</v>
      </c>
      <c r="E666" s="538">
        <v>0</v>
      </c>
      <c r="F666" s="538">
        <v>0.8</v>
      </c>
      <c r="G666" s="925"/>
      <c r="H666" s="767">
        <v>178</v>
      </c>
      <c r="I666" s="762" t="s">
        <v>841</v>
      </c>
      <c r="J666" s="767">
        <v>0</v>
      </c>
      <c r="K666" s="767">
        <v>3</v>
      </c>
      <c r="L666" s="767">
        <v>3</v>
      </c>
      <c r="M666" s="925"/>
      <c r="N666" s="959"/>
      <c r="O666" s="942"/>
      <c r="P666" s="58" t="s">
        <v>47</v>
      </c>
      <c r="Q666" s="27">
        <v>0</v>
      </c>
      <c r="R666" s="27">
        <v>0</v>
      </c>
      <c r="S666" s="27">
        <v>0</v>
      </c>
      <c r="T666" s="27">
        <v>0</v>
      </c>
      <c r="U666" s="27">
        <v>0</v>
      </c>
      <c r="V666" s="27">
        <v>0</v>
      </c>
      <c r="W666" s="27">
        <v>0</v>
      </c>
      <c r="X666" s="27"/>
      <c r="Y666" s="27"/>
      <c r="Z666" s="27"/>
      <c r="AA666" s="5">
        <v>129545160</v>
      </c>
      <c r="AB666" s="5"/>
      <c r="AC666" s="257">
        <v>0</v>
      </c>
      <c r="AD666" s="319">
        <v>0</v>
      </c>
      <c r="AE666" s="257"/>
      <c r="AF666" s="257"/>
      <c r="AG666" s="257"/>
      <c r="AH666" s="257"/>
      <c r="AI666" s="257"/>
      <c r="AJ666" s="257"/>
      <c r="AK666" s="319">
        <v>0</v>
      </c>
      <c r="AL666" s="319">
        <v>0</v>
      </c>
      <c r="AM666" s="506">
        <v>0</v>
      </c>
      <c r="AN666" s="507"/>
      <c r="AO666" s="319">
        <v>0</v>
      </c>
      <c r="AP666" s="290">
        <v>8050000</v>
      </c>
      <c r="AQ666" s="290"/>
      <c r="AR666" s="525">
        <f t="shared" si="497"/>
        <v>137595160</v>
      </c>
    </row>
    <row r="667" spans="1:44" s="467" customFormat="1" ht="52.5" customHeight="1" x14ac:dyDescent="0.25">
      <c r="A667" s="20"/>
      <c r="B667" s="730"/>
      <c r="C667" s="774" t="s">
        <v>714</v>
      </c>
      <c r="D667" s="748" t="s">
        <v>842</v>
      </c>
      <c r="E667" s="794" t="s">
        <v>38</v>
      </c>
      <c r="F667" s="794">
        <v>0.9</v>
      </c>
      <c r="G667" s="926"/>
      <c r="H667" s="718">
        <v>179</v>
      </c>
      <c r="I667" s="729" t="s">
        <v>843</v>
      </c>
      <c r="J667" s="718">
        <v>4</v>
      </c>
      <c r="K667" s="718">
        <v>4</v>
      </c>
      <c r="L667" s="718">
        <v>4</v>
      </c>
      <c r="M667" s="926"/>
      <c r="N667" s="949"/>
      <c r="O667" s="943"/>
      <c r="P667" s="61" t="s">
        <v>47</v>
      </c>
      <c r="Q667" s="81">
        <v>0</v>
      </c>
      <c r="R667" s="81">
        <v>0</v>
      </c>
      <c r="S667" s="81">
        <v>0</v>
      </c>
      <c r="T667" s="81">
        <v>0</v>
      </c>
      <c r="U667" s="81">
        <v>0</v>
      </c>
      <c r="V667" s="81">
        <v>0</v>
      </c>
      <c r="W667" s="81">
        <v>0</v>
      </c>
      <c r="X667" s="81"/>
      <c r="Y667" s="81"/>
      <c r="Z667" s="81"/>
      <c r="AA667" s="566">
        <v>0</v>
      </c>
      <c r="AB667" s="566"/>
      <c r="AC667" s="566">
        <v>0</v>
      </c>
      <c r="AD667" s="795">
        <v>0</v>
      </c>
      <c r="AE667" s="566"/>
      <c r="AF667" s="566"/>
      <c r="AG667" s="566"/>
      <c r="AH667" s="566"/>
      <c r="AI667" s="566"/>
      <c r="AJ667" s="566"/>
      <c r="AK667" s="795">
        <v>0</v>
      </c>
      <c r="AL667" s="795">
        <v>0</v>
      </c>
      <c r="AM667" s="796">
        <v>0</v>
      </c>
      <c r="AN667" s="797"/>
      <c r="AO667" s="795">
        <v>0</v>
      </c>
      <c r="AP667" s="798">
        <v>0</v>
      </c>
      <c r="AQ667" s="798"/>
      <c r="AR667" s="799">
        <f t="shared" si="497"/>
        <v>0</v>
      </c>
    </row>
    <row r="668" spans="1:44" s="467" customFormat="1" ht="15" x14ac:dyDescent="0.25">
      <c r="A668" s="20"/>
      <c r="B668" s="422"/>
      <c r="C668" s="479"/>
      <c r="D668" s="777"/>
      <c r="E668" s="778"/>
      <c r="F668" s="778"/>
      <c r="G668" s="779"/>
      <c r="H668" s="780"/>
      <c r="I668" s="779"/>
      <c r="J668" s="780"/>
      <c r="K668" s="780"/>
      <c r="L668" s="780"/>
      <c r="M668" s="780"/>
      <c r="N668" s="782"/>
      <c r="O668" s="779"/>
      <c r="P668" s="780"/>
      <c r="Q668" s="708">
        <f>SUM(Q665:Q667)</f>
        <v>0</v>
      </c>
      <c r="R668" s="708">
        <f t="shared" ref="R668" si="506">SUM(R665:R667)</f>
        <v>0</v>
      </c>
      <c r="S668" s="708">
        <f>SUM(S665:S667)</f>
        <v>0</v>
      </c>
      <c r="T668" s="708">
        <f t="shared" ref="T668:U668" si="507">SUM(T665:T667)</f>
        <v>0</v>
      </c>
      <c r="U668" s="708">
        <f t="shared" si="507"/>
        <v>0</v>
      </c>
      <c r="V668" s="708">
        <f t="shared" ref="V668" si="508">SUM(V665:V667)</f>
        <v>0</v>
      </c>
      <c r="W668" s="708">
        <f>SUM(W665:W667)</f>
        <v>0</v>
      </c>
      <c r="X668" s="708">
        <f t="shared" ref="X668" si="509">SUM(X665:X667)</f>
        <v>0</v>
      </c>
      <c r="Y668" s="708">
        <f>SUM(Y665:Y667)</f>
        <v>0</v>
      </c>
      <c r="Z668" s="708">
        <f>SUM(Z665:Z667)</f>
        <v>0</v>
      </c>
      <c r="AA668" s="708">
        <f>SUM(AA665:AA667)</f>
        <v>129545160</v>
      </c>
      <c r="AB668" s="708">
        <f t="shared" ref="AB668:AD668" si="510">SUM(AB665:AB667)</f>
        <v>0</v>
      </c>
      <c r="AC668" s="708">
        <f t="shared" si="510"/>
        <v>0</v>
      </c>
      <c r="AD668" s="708">
        <f t="shared" si="510"/>
        <v>0</v>
      </c>
      <c r="AE668" s="708">
        <f t="shared" ref="AE668" si="511">SUM(AE665:AE667)</f>
        <v>0</v>
      </c>
      <c r="AF668" s="708">
        <f t="shared" ref="AF668" si="512">SUM(AF665:AF667)</f>
        <v>0</v>
      </c>
      <c r="AG668" s="708">
        <f t="shared" ref="AG668" si="513">SUM(AG665:AG667)</f>
        <v>0</v>
      </c>
      <c r="AH668" s="708">
        <f t="shared" ref="AH668" si="514">SUM(AH665:AH667)</f>
        <v>0</v>
      </c>
      <c r="AI668" s="708">
        <f t="shared" ref="AI668" si="515">SUM(AI665:AI667)</f>
        <v>0</v>
      </c>
      <c r="AJ668" s="708">
        <f t="shared" ref="AJ668" si="516">SUM(AJ665:AJ667)</f>
        <v>0</v>
      </c>
      <c r="AK668" s="708">
        <f t="shared" ref="AK668" si="517">SUM(AK665:AK667)</f>
        <v>0</v>
      </c>
      <c r="AL668" s="708">
        <f t="shared" ref="AL668" si="518">SUM(AL665:AL667)</f>
        <v>0</v>
      </c>
      <c r="AM668" s="708">
        <f t="shared" ref="AM668" si="519">SUM(AM665:AM667)</f>
        <v>0</v>
      </c>
      <c r="AN668" s="708">
        <f t="shared" ref="AN668" si="520">SUM(AN665:AN667)</f>
        <v>0</v>
      </c>
      <c r="AO668" s="708">
        <f t="shared" ref="AO668" si="521">SUM(AO665:AO667)</f>
        <v>0</v>
      </c>
      <c r="AP668" s="708">
        <f t="shared" ref="AP668:AQ668" si="522">SUM(AP665:AP667)</f>
        <v>8050000</v>
      </c>
      <c r="AQ668" s="708">
        <f t="shared" si="522"/>
        <v>0</v>
      </c>
      <c r="AR668" s="862">
        <f t="shared" si="497"/>
        <v>137595160</v>
      </c>
    </row>
    <row r="669" spans="1:44" s="467" customFormat="1" ht="15" x14ac:dyDescent="0.25">
      <c r="A669" s="472"/>
      <c r="B669" s="167"/>
      <c r="C669" s="168"/>
      <c r="D669" s="167"/>
      <c r="E669" s="168"/>
      <c r="F669" s="168"/>
      <c r="G669" s="167"/>
      <c r="H669" s="168"/>
      <c r="I669" s="167"/>
      <c r="J669" s="168"/>
      <c r="K669" s="168"/>
      <c r="L669" s="168"/>
      <c r="M669" s="168"/>
      <c r="N669" s="170"/>
      <c r="O669" s="167"/>
      <c r="P669" s="168"/>
      <c r="Q669" s="171">
        <f>Q668</f>
        <v>0</v>
      </c>
      <c r="R669" s="171">
        <f t="shared" ref="R669" si="523">R668</f>
        <v>0</v>
      </c>
      <c r="S669" s="171">
        <f>S668</f>
        <v>0</v>
      </c>
      <c r="T669" s="171">
        <f t="shared" ref="T669:U669" si="524">T668</f>
        <v>0</v>
      </c>
      <c r="U669" s="171">
        <f t="shared" si="524"/>
        <v>0</v>
      </c>
      <c r="V669" s="171">
        <f t="shared" ref="V669" si="525">V668</f>
        <v>0</v>
      </c>
      <c r="W669" s="171">
        <f>W668</f>
        <v>0</v>
      </c>
      <c r="X669" s="171">
        <f t="shared" ref="X669" si="526">X668</f>
        <v>0</v>
      </c>
      <c r="Y669" s="171">
        <f>Y668</f>
        <v>0</v>
      </c>
      <c r="Z669" s="171">
        <f>Z668</f>
        <v>0</v>
      </c>
      <c r="AA669" s="171">
        <f>AA668</f>
        <v>129545160</v>
      </c>
      <c r="AB669" s="171">
        <f t="shared" ref="AB669:AD669" si="527">AB668</f>
        <v>0</v>
      </c>
      <c r="AC669" s="171">
        <f t="shared" si="527"/>
        <v>0</v>
      </c>
      <c r="AD669" s="171">
        <f t="shared" si="527"/>
        <v>0</v>
      </c>
      <c r="AE669" s="171">
        <f t="shared" ref="AE669" si="528">AE668</f>
        <v>0</v>
      </c>
      <c r="AF669" s="171">
        <f t="shared" ref="AF669" si="529">AF668</f>
        <v>0</v>
      </c>
      <c r="AG669" s="171">
        <f t="shared" ref="AG669" si="530">AG668</f>
        <v>0</v>
      </c>
      <c r="AH669" s="171">
        <f t="shared" ref="AH669" si="531">AH668</f>
        <v>0</v>
      </c>
      <c r="AI669" s="171">
        <f t="shared" ref="AI669" si="532">AI668</f>
        <v>0</v>
      </c>
      <c r="AJ669" s="171">
        <f t="shared" ref="AJ669" si="533">AJ668</f>
        <v>0</v>
      </c>
      <c r="AK669" s="171">
        <f t="shared" ref="AK669" si="534">AK668</f>
        <v>0</v>
      </c>
      <c r="AL669" s="171">
        <f t="shared" ref="AL669" si="535">AL668</f>
        <v>0</v>
      </c>
      <c r="AM669" s="171">
        <f t="shared" ref="AM669" si="536">AM668</f>
        <v>0</v>
      </c>
      <c r="AN669" s="171">
        <f t="shared" ref="AN669" si="537">AN668</f>
        <v>0</v>
      </c>
      <c r="AO669" s="171">
        <f t="shared" ref="AO669" si="538">AO668</f>
        <v>0</v>
      </c>
      <c r="AP669" s="171">
        <f t="shared" ref="AP669:AQ669" si="539">AP668</f>
        <v>8050000</v>
      </c>
      <c r="AQ669" s="171">
        <f t="shared" si="539"/>
        <v>0</v>
      </c>
      <c r="AR669" s="171">
        <f t="shared" si="497"/>
        <v>137595160</v>
      </c>
    </row>
    <row r="670" spans="1:44" s="467" customFormat="1" ht="15" x14ac:dyDescent="0.25">
      <c r="A670" s="172"/>
      <c r="B670" s="172"/>
      <c r="C670" s="173"/>
      <c r="D670" s="172"/>
      <c r="E670" s="173"/>
      <c r="F670" s="173"/>
      <c r="G670" s="172"/>
      <c r="H670" s="173"/>
      <c r="I670" s="172"/>
      <c r="J670" s="173"/>
      <c r="K670" s="173"/>
      <c r="L670" s="173"/>
      <c r="M670" s="173"/>
      <c r="N670" s="175"/>
      <c r="O670" s="172"/>
      <c r="P670" s="173"/>
      <c r="Q670" s="176">
        <f>Q669+Q661+Q633+Q619+Q551</f>
        <v>0</v>
      </c>
      <c r="R670" s="176">
        <f t="shared" ref="R670" si="540">R669+R661+R633+R619+R551</f>
        <v>0</v>
      </c>
      <c r="S670" s="176">
        <f>S669+S661+S633+S619+S551</f>
        <v>0</v>
      </c>
      <c r="T670" s="176">
        <f t="shared" ref="T670:U670" si="541">T669+T661+T633+T619+T551</f>
        <v>0</v>
      </c>
      <c r="U670" s="176">
        <f t="shared" si="541"/>
        <v>0</v>
      </c>
      <c r="V670" s="176">
        <f t="shared" ref="V670" si="542">V669+V661+V633+V619+V551</f>
        <v>0</v>
      </c>
      <c r="W670" s="176">
        <f>W669+W661+W633+W619+W551</f>
        <v>1839000000</v>
      </c>
      <c r="X670" s="176">
        <f t="shared" ref="X670" si="543">X669+X661+X633+X619+X551</f>
        <v>5008955903.996911</v>
      </c>
      <c r="Y670" s="176">
        <f>Y669+Y661+Y633+Y619+Y551</f>
        <v>4499205411</v>
      </c>
      <c r="Z670" s="176">
        <f>Z669+Z661+Z633+Z619+Z551</f>
        <v>4500001632</v>
      </c>
      <c r="AA670" s="176">
        <f>AA669+AA661+AA633+AA619+AA551</f>
        <v>17674762089</v>
      </c>
      <c r="AB670" s="176">
        <f t="shared" ref="AB670:AD670" si="544">AB669+AB661+AB633+AB619+AB551</f>
        <v>0</v>
      </c>
      <c r="AC670" s="176">
        <f>AC669+AC661+AC633+AC619+AC551</f>
        <v>1378557211</v>
      </c>
      <c r="AD670" s="176">
        <f t="shared" si="544"/>
        <v>8017011390</v>
      </c>
      <c r="AE670" s="176">
        <f t="shared" ref="AE670" si="545">AE669+AE661+AE633+AE619+AE551</f>
        <v>0</v>
      </c>
      <c r="AF670" s="176">
        <f t="shared" ref="AF670" si="546">AF669+AF661+AF633+AF619+AF551</f>
        <v>0</v>
      </c>
      <c r="AG670" s="176">
        <f t="shared" ref="AG670" si="547">AG669+AG661+AG633+AG619+AG551</f>
        <v>0</v>
      </c>
      <c r="AH670" s="176">
        <f t="shared" ref="AH670" si="548">AH669+AH661+AH633+AH619+AH551</f>
        <v>0</v>
      </c>
      <c r="AI670" s="176">
        <f t="shared" ref="AI670" si="549">AI669+AI661+AI633+AI619+AI551</f>
        <v>0</v>
      </c>
      <c r="AJ670" s="176">
        <f t="shared" ref="AJ670" si="550">AJ669+AJ661+AJ633+AJ619+AJ551</f>
        <v>0</v>
      </c>
      <c r="AK670" s="176">
        <f t="shared" ref="AK670" si="551">AK669+AK661+AK633+AK619+AK551</f>
        <v>0</v>
      </c>
      <c r="AL670" s="176">
        <f t="shared" ref="AL670" si="552">AL669+AL661+AL633+AL619+AL551</f>
        <v>0</v>
      </c>
      <c r="AM670" s="176">
        <f t="shared" ref="AM670" si="553">AM669+AM661+AM633+AM619+AM551</f>
        <v>930000000</v>
      </c>
      <c r="AN670" s="176">
        <f t="shared" ref="AN670" si="554">AN669+AN661+AN633+AN619+AN551</f>
        <v>0</v>
      </c>
      <c r="AO670" s="176">
        <f t="shared" ref="AO670" si="555">AO669+AO661+AO633+AO619+AO551</f>
        <v>0</v>
      </c>
      <c r="AP670" s="176">
        <f t="shared" ref="AP670:AQ670" si="556">AP669+AP661+AP633+AP619+AP551</f>
        <v>2557832787</v>
      </c>
      <c r="AQ670" s="176">
        <f t="shared" si="556"/>
        <v>0</v>
      </c>
      <c r="AR670" s="176">
        <f t="shared" si="497"/>
        <v>46405326423.99691</v>
      </c>
    </row>
    <row r="671" spans="1:44" s="467" customFormat="1" ht="15" x14ac:dyDescent="0.25">
      <c r="A671" s="177"/>
      <c r="B671" s="177"/>
      <c r="C671" s="178"/>
      <c r="D671" s="177"/>
      <c r="E671" s="178"/>
      <c r="F671" s="178"/>
      <c r="G671" s="177"/>
      <c r="H671" s="178"/>
      <c r="I671" s="177"/>
      <c r="J671" s="178"/>
      <c r="K671" s="178"/>
      <c r="L671" s="178"/>
      <c r="M671" s="178"/>
      <c r="N671" s="180"/>
      <c r="O671" s="177"/>
      <c r="P671" s="178"/>
      <c r="Q671" s="181">
        <f>Q670</f>
        <v>0</v>
      </c>
      <c r="R671" s="181">
        <f t="shared" ref="R671" si="557">R670</f>
        <v>0</v>
      </c>
      <c r="S671" s="181">
        <f>S670</f>
        <v>0</v>
      </c>
      <c r="T671" s="181">
        <f t="shared" ref="T671:U671" si="558">T670</f>
        <v>0</v>
      </c>
      <c r="U671" s="181">
        <f t="shared" si="558"/>
        <v>0</v>
      </c>
      <c r="V671" s="181">
        <f t="shared" ref="V671" si="559">V670</f>
        <v>0</v>
      </c>
      <c r="W671" s="181">
        <f>W670</f>
        <v>1839000000</v>
      </c>
      <c r="X671" s="181">
        <f t="shared" ref="X671" si="560">X670</f>
        <v>5008955903.996911</v>
      </c>
      <c r="Y671" s="181">
        <f>Y670</f>
        <v>4499205411</v>
      </c>
      <c r="Z671" s="181">
        <f>Z670</f>
        <v>4500001632</v>
      </c>
      <c r="AA671" s="181">
        <f>AA670</f>
        <v>17674762089</v>
      </c>
      <c r="AB671" s="181">
        <f t="shared" ref="AB671:AD671" si="561">AB670</f>
        <v>0</v>
      </c>
      <c r="AC671" s="181">
        <f t="shared" si="561"/>
        <v>1378557211</v>
      </c>
      <c r="AD671" s="181">
        <f t="shared" si="561"/>
        <v>8017011390</v>
      </c>
      <c r="AE671" s="181">
        <f t="shared" ref="AE671" si="562">AE670</f>
        <v>0</v>
      </c>
      <c r="AF671" s="181">
        <f t="shared" ref="AF671" si="563">AF670</f>
        <v>0</v>
      </c>
      <c r="AG671" s="181">
        <f t="shared" ref="AG671" si="564">AG670</f>
        <v>0</v>
      </c>
      <c r="AH671" s="181">
        <f t="shared" ref="AH671" si="565">AH670</f>
        <v>0</v>
      </c>
      <c r="AI671" s="181">
        <f t="shared" ref="AI671" si="566">AI670</f>
        <v>0</v>
      </c>
      <c r="AJ671" s="181">
        <f t="shared" ref="AJ671" si="567">AJ670</f>
        <v>0</v>
      </c>
      <c r="AK671" s="181">
        <f t="shared" ref="AK671" si="568">AK670</f>
        <v>0</v>
      </c>
      <c r="AL671" s="181">
        <f t="shared" ref="AL671" si="569">AL670</f>
        <v>0</v>
      </c>
      <c r="AM671" s="181">
        <f t="shared" ref="AM671" si="570">AM670</f>
        <v>930000000</v>
      </c>
      <c r="AN671" s="181">
        <f t="shared" ref="AN671" si="571">AN670</f>
        <v>0</v>
      </c>
      <c r="AO671" s="181">
        <f t="shared" ref="AO671" si="572">AO670</f>
        <v>0</v>
      </c>
      <c r="AP671" s="181">
        <f t="shared" ref="AP671:AQ671" si="573">AP670</f>
        <v>2557832787</v>
      </c>
      <c r="AQ671" s="181">
        <f t="shared" si="573"/>
        <v>0</v>
      </c>
      <c r="AR671" s="181">
        <f t="shared" si="497"/>
        <v>46405326423.99691</v>
      </c>
    </row>
    <row r="672" spans="1:44" s="29" customFormat="1" ht="15" x14ac:dyDescent="0.25">
      <c r="A672" s="762"/>
      <c r="B672" s="762"/>
      <c r="C672" s="767"/>
      <c r="D672" s="762"/>
      <c r="E672" s="767"/>
      <c r="F672" s="767"/>
      <c r="G672" s="762"/>
      <c r="H672" s="767"/>
      <c r="I672" s="762"/>
      <c r="J672" s="767"/>
      <c r="K672" s="767"/>
      <c r="L672" s="767"/>
      <c r="M672" s="767"/>
      <c r="N672" s="39"/>
      <c r="O672" s="762"/>
      <c r="P672" s="767"/>
      <c r="Q672" s="27"/>
      <c r="R672" s="27"/>
      <c r="S672" s="27"/>
      <c r="T672" s="27"/>
      <c r="U672" s="27"/>
      <c r="V672" s="27"/>
      <c r="W672" s="27"/>
      <c r="X672" s="27"/>
      <c r="Y672" s="27"/>
      <c r="Z672" s="27"/>
      <c r="AA672" s="27"/>
      <c r="AB672" s="27"/>
      <c r="AC672" s="27"/>
      <c r="AD672" s="27"/>
      <c r="AE672" s="27"/>
      <c r="AF672" s="27"/>
      <c r="AG672" s="27"/>
      <c r="AH672" s="27"/>
      <c r="AI672" s="27"/>
      <c r="AJ672" s="27"/>
      <c r="AK672" s="27"/>
      <c r="AL672" s="27"/>
      <c r="AM672" s="108"/>
      <c r="AN672" s="27"/>
      <c r="AO672" s="27"/>
      <c r="AP672" s="27"/>
      <c r="AQ672" s="27"/>
      <c r="AR672" s="27"/>
    </row>
    <row r="673" spans="1:44" s="467" customFormat="1" ht="15" x14ac:dyDescent="0.25">
      <c r="A673" s="960" t="s">
        <v>937</v>
      </c>
      <c r="B673" s="960"/>
      <c r="C673" s="960"/>
      <c r="D673" s="960"/>
      <c r="E673" s="960"/>
      <c r="F673" s="960"/>
      <c r="G673" s="960"/>
      <c r="H673" s="960"/>
      <c r="I673" s="960"/>
      <c r="J673" s="960"/>
      <c r="K673" s="960"/>
      <c r="L673" s="960"/>
      <c r="M673" s="960"/>
      <c r="N673" s="960"/>
      <c r="O673" s="960"/>
      <c r="P673" s="539"/>
      <c r="Q673" s="540">
        <f>+Q671+Q541+Q531+Q465+Q359+Q342+Q268+Q226+Q194+Q117+Q81+Q67+Q24</f>
        <v>2846976320</v>
      </c>
      <c r="R673" s="540">
        <f>+R671+R541+R531+R465+R359+R342+R268+R226+R194+R117+R81+R67+R24</f>
        <v>4108997981</v>
      </c>
      <c r="S673" s="540">
        <f t="shared" ref="S673:AM673" si="574">+S671+S541+S531+S465+S359+S342+S268+S226+S194+S117+S81+S67+S24</f>
        <v>10000871781</v>
      </c>
      <c r="T673" s="540">
        <f t="shared" si="574"/>
        <v>9429631612</v>
      </c>
      <c r="U673" s="540">
        <f t="shared" si="574"/>
        <v>80296670</v>
      </c>
      <c r="V673" s="540">
        <f t="shared" si="574"/>
        <v>707154493</v>
      </c>
      <c r="W673" s="540">
        <f t="shared" si="574"/>
        <v>8319123642</v>
      </c>
      <c r="X673" s="540">
        <f t="shared" si="574"/>
        <v>5008955903.996911</v>
      </c>
      <c r="Y673" s="540">
        <f t="shared" si="574"/>
        <v>4499205411</v>
      </c>
      <c r="Z673" s="540">
        <f t="shared" si="574"/>
        <v>4500001632</v>
      </c>
      <c r="AA673" s="540">
        <f t="shared" si="574"/>
        <v>17674762089</v>
      </c>
      <c r="AB673" s="540">
        <f t="shared" si="574"/>
        <v>0</v>
      </c>
      <c r="AC673" s="540">
        <f t="shared" si="574"/>
        <v>1378557211</v>
      </c>
      <c r="AD673" s="540">
        <f t="shared" si="574"/>
        <v>8017011390</v>
      </c>
      <c r="AE673" s="540">
        <f t="shared" si="574"/>
        <v>87330780152</v>
      </c>
      <c r="AF673" s="540">
        <f t="shared" si="574"/>
        <v>37421069046</v>
      </c>
      <c r="AG673" s="540">
        <f t="shared" si="574"/>
        <v>814114495</v>
      </c>
      <c r="AH673" s="540">
        <f t="shared" si="574"/>
        <v>6431354</v>
      </c>
      <c r="AI673" s="540">
        <f t="shared" si="574"/>
        <v>1320503506</v>
      </c>
      <c r="AJ673" s="540">
        <f t="shared" si="574"/>
        <v>1200000000</v>
      </c>
      <c r="AK673" s="540">
        <f t="shared" si="574"/>
        <v>7105069271</v>
      </c>
      <c r="AL673" s="540">
        <f t="shared" si="574"/>
        <v>2432800181.7399998</v>
      </c>
      <c r="AM673" s="540">
        <f t="shared" si="574"/>
        <v>26356288523.176529</v>
      </c>
      <c r="AN673" s="540">
        <f t="shared" ref="AN673:AP673" si="575">+AN671+AN541+AN531+AN465+AN359+AN342+AN268+AN226+AN194+AN117+AN81+AN67+AN24</f>
        <v>0</v>
      </c>
      <c r="AO673" s="540">
        <f t="shared" si="575"/>
        <v>869672480</v>
      </c>
      <c r="AP673" s="540">
        <f t="shared" si="575"/>
        <v>3005207390</v>
      </c>
      <c r="AQ673" s="540">
        <f t="shared" ref="AQ673" si="576">+AQ671+AQ541+AQ531+AQ465+AQ359+AQ342+AQ268+AQ226+AQ194+AQ117+AQ81+AQ67+AQ24</f>
        <v>0</v>
      </c>
      <c r="AR673" s="540">
        <f t="shared" si="497"/>
        <v>244433482534.91345</v>
      </c>
    </row>
    <row r="674" spans="1:44" s="467" customFormat="1" ht="36.75" customHeight="1" x14ac:dyDescent="0.25">
      <c r="A674" s="883"/>
      <c r="B674" s="541"/>
      <c r="C674" s="542"/>
      <c r="D674" s="541"/>
      <c r="E674" s="542"/>
      <c r="F674" s="542"/>
      <c r="G674" s="541"/>
      <c r="H674" s="542"/>
      <c r="I674" s="541"/>
      <c r="J674" s="542"/>
      <c r="K674" s="542"/>
      <c r="L674" s="542"/>
      <c r="M674" s="542"/>
      <c r="N674" s="543"/>
      <c r="O674" s="541"/>
      <c r="P674" s="542"/>
      <c r="Q674" s="544"/>
      <c r="R674" s="544"/>
      <c r="S674" s="544"/>
      <c r="T674" s="544"/>
      <c r="U674" s="544"/>
      <c r="V674" s="544"/>
      <c r="W674" s="544"/>
      <c r="X674" s="544"/>
      <c r="Y674" s="544"/>
      <c r="Z674" s="544"/>
      <c r="AA674" s="544"/>
      <c r="AB674" s="544"/>
      <c r="AC674" s="544"/>
      <c r="AD674" s="544"/>
      <c r="AE674" s="544"/>
      <c r="AF674" s="544"/>
      <c r="AG674" s="544"/>
      <c r="AH674" s="544"/>
      <c r="AI674" s="544"/>
      <c r="AJ674" s="544"/>
      <c r="AK674" s="544"/>
      <c r="AL674" s="544"/>
      <c r="AM674" s="545"/>
      <c r="AN674" s="544"/>
      <c r="AO674" s="544"/>
      <c r="AP674" s="544"/>
      <c r="AQ674" s="544"/>
      <c r="AR674" s="884"/>
    </row>
    <row r="675" spans="1:44" s="165" customFormat="1" ht="23.25" x14ac:dyDescent="0.25">
      <c r="A675" s="546" t="s">
        <v>844</v>
      </c>
      <c r="B675" s="547"/>
      <c r="C675" s="548"/>
      <c r="D675" s="547"/>
      <c r="E675" s="547"/>
      <c r="F675" s="547"/>
      <c r="G675" s="547"/>
      <c r="H675" s="548"/>
      <c r="I675" s="547"/>
      <c r="J675" s="547"/>
      <c r="K675" s="547"/>
      <c r="L675" s="547"/>
      <c r="M675" s="547"/>
      <c r="N675" s="138"/>
      <c r="O675" s="547"/>
      <c r="P675" s="548"/>
      <c r="Q675" s="547"/>
      <c r="R675" s="547"/>
      <c r="S675" s="547"/>
      <c r="T675" s="547"/>
      <c r="U675" s="547"/>
      <c r="V675" s="547"/>
      <c r="W675" s="547"/>
      <c r="X675" s="547"/>
      <c r="Y675" s="547"/>
      <c r="Z675" s="547"/>
      <c r="AA675" s="547"/>
      <c r="AB675" s="547"/>
      <c r="AC675" s="547"/>
      <c r="AD675" s="547"/>
      <c r="AE675" s="547"/>
      <c r="AF675" s="547"/>
      <c r="AG675" s="547"/>
      <c r="AH675" s="547"/>
      <c r="AI675" s="547"/>
      <c r="AJ675" s="547"/>
      <c r="AK675" s="547"/>
      <c r="AL675" s="547"/>
      <c r="AM675" s="549"/>
      <c r="AN675" s="550"/>
      <c r="AO675" s="547"/>
      <c r="AP675" s="547"/>
      <c r="AQ675" s="547"/>
      <c r="AR675" s="675"/>
    </row>
    <row r="676" spans="1:44" s="165" customFormat="1" x14ac:dyDescent="0.25">
      <c r="A676" s="826">
        <v>3</v>
      </c>
      <c r="B676" s="142" t="s">
        <v>431</v>
      </c>
      <c r="C676" s="143"/>
      <c r="D676" s="142"/>
      <c r="E676" s="142"/>
      <c r="F676" s="142"/>
      <c r="G676" s="142"/>
      <c r="H676" s="143"/>
      <c r="I676" s="142"/>
      <c r="J676" s="142"/>
      <c r="K676" s="142"/>
      <c r="L676" s="142"/>
      <c r="M676" s="142"/>
      <c r="N676" s="144"/>
      <c r="O676" s="142"/>
      <c r="P676" s="142"/>
      <c r="Q676" s="142"/>
      <c r="R676" s="142"/>
      <c r="S676" s="142"/>
      <c r="T676" s="142"/>
      <c r="U676" s="142"/>
      <c r="V676" s="142"/>
      <c r="W676" s="142"/>
      <c r="X676" s="142"/>
      <c r="Y676" s="142"/>
      <c r="Z676" s="142"/>
      <c r="AA676" s="142"/>
      <c r="AB676" s="142"/>
      <c r="AC676" s="142"/>
      <c r="AD676" s="142"/>
      <c r="AE676" s="142"/>
      <c r="AF676" s="142"/>
      <c r="AG676" s="142"/>
      <c r="AH676" s="142"/>
      <c r="AI676" s="142"/>
      <c r="AJ676" s="142"/>
      <c r="AK676" s="142"/>
      <c r="AL676" s="142"/>
      <c r="AM676" s="145"/>
      <c r="AN676" s="142"/>
      <c r="AO676" s="142"/>
      <c r="AP676" s="142"/>
      <c r="AQ676" s="142"/>
      <c r="AR676" s="551"/>
    </row>
    <row r="677" spans="1:44" s="165" customFormat="1" x14ac:dyDescent="0.25">
      <c r="A677" s="190"/>
      <c r="B677" s="243">
        <v>20</v>
      </c>
      <c r="C677" s="150" t="s">
        <v>845</v>
      </c>
      <c r="D677" s="149"/>
      <c r="E677" s="149"/>
      <c r="F677" s="149"/>
      <c r="G677" s="149"/>
      <c r="H677" s="150"/>
      <c r="I677" s="149"/>
      <c r="J677" s="149"/>
      <c r="K677" s="149"/>
      <c r="L677" s="149"/>
      <c r="M677" s="149"/>
      <c r="N677" s="151"/>
      <c r="O677" s="149"/>
      <c r="P677" s="149"/>
      <c r="Q677" s="149"/>
      <c r="R677" s="149"/>
      <c r="S677" s="149"/>
      <c r="T677" s="149"/>
      <c r="U677" s="149"/>
      <c r="V677" s="149"/>
      <c r="W677" s="149"/>
      <c r="X677" s="149"/>
      <c r="Y677" s="149"/>
      <c r="Z677" s="149"/>
      <c r="AA677" s="149"/>
      <c r="AB677" s="149"/>
      <c r="AC677" s="149"/>
      <c r="AD677" s="149"/>
      <c r="AE677" s="149"/>
      <c r="AF677" s="149"/>
      <c r="AG677" s="149"/>
      <c r="AH677" s="149"/>
      <c r="AI677" s="149"/>
      <c r="AJ677" s="149"/>
      <c r="AK677" s="149"/>
      <c r="AL677" s="149"/>
      <c r="AM677" s="152"/>
      <c r="AN677" s="149"/>
      <c r="AO677" s="149"/>
      <c r="AP677" s="149"/>
      <c r="AQ677" s="149"/>
      <c r="AR677" s="536"/>
    </row>
    <row r="678" spans="1:44" s="165" customFormat="1" ht="15" x14ac:dyDescent="0.25">
      <c r="A678" s="21"/>
      <c r="B678" s="190"/>
      <c r="C678" s="760"/>
      <c r="D678" s="183"/>
      <c r="E678" s="760"/>
      <c r="F678" s="761"/>
      <c r="G678" s="337">
        <v>68</v>
      </c>
      <c r="H678" s="933" t="s">
        <v>846</v>
      </c>
      <c r="I678" s="933"/>
      <c r="J678" s="933"/>
      <c r="K678" s="933"/>
      <c r="L678" s="933"/>
      <c r="M678" s="933"/>
      <c r="N678" s="933"/>
      <c r="O678" s="933"/>
      <c r="P678" s="933"/>
      <c r="Q678" s="194"/>
      <c r="R678" s="194"/>
      <c r="S678" s="194"/>
      <c r="T678" s="194"/>
      <c r="U678" s="194"/>
      <c r="V678" s="194"/>
      <c r="W678" s="194"/>
      <c r="X678" s="194"/>
      <c r="Y678" s="194"/>
      <c r="Z678" s="194"/>
      <c r="AA678" s="194"/>
      <c r="AB678" s="245">
        <f>+AB679-128000000</f>
        <v>158252550</v>
      </c>
      <c r="AC678" s="194"/>
      <c r="AD678" s="194"/>
      <c r="AE678" s="194"/>
      <c r="AF678" s="194"/>
      <c r="AG678" s="194"/>
      <c r="AH678" s="194"/>
      <c r="AI678" s="194"/>
      <c r="AJ678" s="194"/>
      <c r="AK678" s="194"/>
      <c r="AL678" s="194"/>
      <c r="AM678" s="196"/>
      <c r="AN678" s="194"/>
      <c r="AO678" s="194"/>
      <c r="AP678" s="194"/>
      <c r="AQ678" s="194"/>
      <c r="AR678" s="532"/>
    </row>
    <row r="679" spans="1:44" s="29" customFormat="1" ht="51.75" customHeight="1" x14ac:dyDescent="0.25">
      <c r="A679" s="21"/>
      <c r="B679" s="21"/>
      <c r="C679" s="912">
        <v>36</v>
      </c>
      <c r="D679" s="934" t="s">
        <v>847</v>
      </c>
      <c r="E679" s="918">
        <v>0.4</v>
      </c>
      <c r="F679" s="921">
        <v>0.6</v>
      </c>
      <c r="G679" s="24"/>
      <c r="H679" s="761">
        <v>202</v>
      </c>
      <c r="I679" s="762" t="s">
        <v>848</v>
      </c>
      <c r="J679" s="33">
        <v>23</v>
      </c>
      <c r="K679" s="33">
        <v>23</v>
      </c>
      <c r="L679" s="33">
        <v>20</v>
      </c>
      <c r="M679" s="33" t="s">
        <v>849</v>
      </c>
      <c r="N679" s="927" t="s">
        <v>850</v>
      </c>
      <c r="O679" s="961" t="s">
        <v>851</v>
      </c>
      <c r="P679" s="33" t="s">
        <v>47</v>
      </c>
      <c r="Q679" s="27">
        <v>0</v>
      </c>
      <c r="R679" s="27">
        <v>0</v>
      </c>
      <c r="S679" s="27">
        <v>0</v>
      </c>
      <c r="T679" s="27">
        <v>0</v>
      </c>
      <c r="U679" s="27">
        <v>0</v>
      </c>
      <c r="V679" s="27">
        <v>0</v>
      </c>
      <c r="W679" s="27">
        <v>0</v>
      </c>
      <c r="X679" s="27"/>
      <c r="Y679" s="27"/>
      <c r="Z679" s="27"/>
      <c r="AA679" s="27">
        <v>0</v>
      </c>
      <c r="AB679" s="205">
        <f>288000000-160000000+158252550+112611784-112611784</f>
        <v>286252550</v>
      </c>
      <c r="AC679" s="27">
        <v>0</v>
      </c>
      <c r="AD679" s="27">
        <v>0</v>
      </c>
      <c r="AE679" s="27"/>
      <c r="AF679" s="27"/>
      <c r="AG679" s="27"/>
      <c r="AH679" s="27"/>
      <c r="AI679" s="27"/>
      <c r="AJ679" s="27"/>
      <c r="AK679" s="27">
        <v>0</v>
      </c>
      <c r="AL679" s="27">
        <v>0</v>
      </c>
      <c r="AM679" s="108">
        <v>310000000</v>
      </c>
      <c r="AN679" s="40"/>
      <c r="AO679" s="552"/>
      <c r="AP679" s="28">
        <v>0</v>
      </c>
      <c r="AQ679" s="28"/>
      <c r="AR679" s="27">
        <f t="shared" si="497"/>
        <v>596252550</v>
      </c>
    </row>
    <row r="680" spans="1:44" s="29" customFormat="1" ht="57" customHeight="1" x14ac:dyDescent="0.25">
      <c r="A680" s="21"/>
      <c r="B680" s="21"/>
      <c r="C680" s="914"/>
      <c r="D680" s="935"/>
      <c r="E680" s="920"/>
      <c r="F680" s="923"/>
      <c r="G680" s="30"/>
      <c r="H680" s="761">
        <v>203</v>
      </c>
      <c r="I680" s="762" t="s">
        <v>852</v>
      </c>
      <c r="J680" s="33">
        <v>20</v>
      </c>
      <c r="K680" s="33">
        <v>20</v>
      </c>
      <c r="L680" s="33">
        <v>20</v>
      </c>
      <c r="M680" s="33" t="s">
        <v>849</v>
      </c>
      <c r="N680" s="929"/>
      <c r="O680" s="962"/>
      <c r="P680" s="33" t="s">
        <v>47</v>
      </c>
      <c r="Q680" s="27">
        <v>0</v>
      </c>
      <c r="R680" s="27">
        <v>0</v>
      </c>
      <c r="S680" s="27">
        <v>0</v>
      </c>
      <c r="T680" s="27">
        <v>0</v>
      </c>
      <c r="U680" s="27">
        <v>0</v>
      </c>
      <c r="V680" s="27">
        <v>0</v>
      </c>
      <c r="W680" s="27">
        <v>0</v>
      </c>
      <c r="X680" s="27"/>
      <c r="Y680" s="27"/>
      <c r="Z680" s="27"/>
      <c r="AA680" s="27">
        <v>0</v>
      </c>
      <c r="AB680" s="27">
        <v>160000000</v>
      </c>
      <c r="AC680" s="27">
        <v>0</v>
      </c>
      <c r="AD680" s="27">
        <v>0</v>
      </c>
      <c r="AE680" s="27"/>
      <c r="AF680" s="27"/>
      <c r="AG680" s="27"/>
      <c r="AH680" s="27"/>
      <c r="AI680" s="27"/>
      <c r="AJ680" s="27"/>
      <c r="AK680" s="27">
        <v>0</v>
      </c>
      <c r="AL680" s="27">
        <v>0</v>
      </c>
      <c r="AM680" s="552">
        <f>310000000-310000000</f>
        <v>0</v>
      </c>
      <c r="AN680" s="552"/>
      <c r="AO680" s="553">
        <v>0</v>
      </c>
      <c r="AP680" s="28">
        <v>0</v>
      </c>
      <c r="AQ680" s="28"/>
      <c r="AR680" s="27">
        <f t="shared" si="497"/>
        <v>160000000</v>
      </c>
    </row>
    <row r="681" spans="1:44" s="165" customFormat="1" ht="15" x14ac:dyDescent="0.25">
      <c r="A681" s="21"/>
      <c r="B681" s="21"/>
      <c r="C681" s="224"/>
      <c r="D681" s="159"/>
      <c r="E681" s="604"/>
      <c r="F681" s="604"/>
      <c r="G681" s="160"/>
      <c r="H681" s="161"/>
      <c r="I681" s="160"/>
      <c r="J681" s="311"/>
      <c r="K681" s="311"/>
      <c r="L681" s="311"/>
      <c r="M681" s="311"/>
      <c r="N681" s="380"/>
      <c r="O681" s="298"/>
      <c r="P681" s="414">
        <f t="shared" ref="P681:W681" si="577">SUM(P679:P680)</f>
        <v>0</v>
      </c>
      <c r="Q681" s="414">
        <f t="shared" si="577"/>
        <v>0</v>
      </c>
      <c r="R681" s="414">
        <f t="shared" si="577"/>
        <v>0</v>
      </c>
      <c r="S681" s="414">
        <f t="shared" si="577"/>
        <v>0</v>
      </c>
      <c r="T681" s="414">
        <f t="shared" si="577"/>
        <v>0</v>
      </c>
      <c r="U681" s="414">
        <f t="shared" si="577"/>
        <v>0</v>
      </c>
      <c r="V681" s="414">
        <f t="shared" si="577"/>
        <v>0</v>
      </c>
      <c r="W681" s="414">
        <f t="shared" si="577"/>
        <v>0</v>
      </c>
      <c r="X681" s="414"/>
      <c r="Y681" s="414"/>
      <c r="Z681" s="414"/>
      <c r="AA681" s="414">
        <f>SUM(AA679:AA680)</f>
        <v>0</v>
      </c>
      <c r="AB681" s="414">
        <f>SUM(AB679:AB680)</f>
        <v>446252550</v>
      </c>
      <c r="AC681" s="414">
        <f>SUM(AC679:AC680)</f>
        <v>0</v>
      </c>
      <c r="AD681" s="414">
        <f>SUM(AD679:AD680)</f>
        <v>0</v>
      </c>
      <c r="AE681" s="554"/>
      <c r="AF681" s="554"/>
      <c r="AG681" s="554"/>
      <c r="AH681" s="554"/>
      <c r="AI681" s="554"/>
      <c r="AJ681" s="554"/>
      <c r="AK681" s="414">
        <f>SUM(AK679:AK680)</f>
        <v>0</v>
      </c>
      <c r="AL681" s="414">
        <f>SUM(AL679:AL680)</f>
        <v>0</v>
      </c>
      <c r="AM681" s="248">
        <f>SUM(AM679:AM680)</f>
        <v>310000000</v>
      </c>
      <c r="AN681" s="414"/>
      <c r="AO681" s="414">
        <f>SUM(AO679:AO680)</f>
        <v>0</v>
      </c>
      <c r="AP681" s="555">
        <f>SUM(AP679:AP680)</f>
        <v>0</v>
      </c>
      <c r="AQ681" s="555">
        <f>SUM(AQ679:AQ680)</f>
        <v>0</v>
      </c>
      <c r="AR681" s="453">
        <f t="shared" si="497"/>
        <v>756252550</v>
      </c>
    </row>
    <row r="682" spans="1:44" s="165" customFormat="1" ht="15" x14ac:dyDescent="0.25">
      <c r="A682" s="21"/>
      <c r="B682" s="21"/>
      <c r="C682" s="760"/>
      <c r="D682" s="183"/>
      <c r="E682" s="760"/>
      <c r="F682" s="760"/>
      <c r="G682" s="183"/>
      <c r="H682" s="760"/>
      <c r="I682" s="183"/>
      <c r="J682" s="760"/>
      <c r="K682" s="760"/>
      <c r="L682" s="830"/>
      <c r="M682" s="830"/>
      <c r="N682" s="833"/>
      <c r="O682" s="829"/>
      <c r="P682" s="760"/>
      <c r="Q682" s="186"/>
      <c r="R682" s="186"/>
      <c r="S682" s="186"/>
      <c r="T682" s="186"/>
      <c r="U682" s="186"/>
      <c r="V682" s="186"/>
      <c r="W682" s="186"/>
      <c r="X682" s="186"/>
      <c r="Y682" s="186"/>
      <c r="Z682" s="186"/>
      <c r="AA682" s="186"/>
      <c r="AB682" s="186"/>
      <c r="AC682" s="186"/>
      <c r="AD682" s="186"/>
      <c r="AE682" s="187"/>
      <c r="AF682" s="187"/>
      <c r="AG682" s="187"/>
      <c r="AH682" s="187"/>
      <c r="AI682" s="187"/>
      <c r="AJ682" s="187"/>
      <c r="AK682" s="186"/>
      <c r="AL682" s="186"/>
      <c r="AM682" s="188"/>
      <c r="AN682" s="189"/>
      <c r="AO682" s="186"/>
      <c r="AP682" s="186"/>
      <c r="AQ682" s="186"/>
      <c r="AR682" s="27">
        <f t="shared" si="497"/>
        <v>0</v>
      </c>
    </row>
    <row r="683" spans="1:44" s="165" customFormat="1" ht="15" x14ac:dyDescent="0.25">
      <c r="A683" s="21"/>
      <c r="B683" s="21"/>
      <c r="C683" s="760"/>
      <c r="D683" s="159"/>
      <c r="E683" s="604"/>
      <c r="F683" s="604"/>
      <c r="G683" s="337">
        <v>69</v>
      </c>
      <c r="H683" s="194" t="s">
        <v>853</v>
      </c>
      <c r="I683" s="194"/>
      <c r="J683" s="194"/>
      <c r="K683" s="194"/>
      <c r="L683" s="194"/>
      <c r="M683" s="194"/>
      <c r="N683" s="194"/>
      <c r="O683" s="194"/>
      <c r="P683" s="194"/>
      <c r="Q683" s="194"/>
      <c r="R683" s="194"/>
      <c r="S683" s="194"/>
      <c r="T683" s="194"/>
      <c r="U683" s="194"/>
      <c r="V683" s="194"/>
      <c r="W683" s="194"/>
      <c r="X683" s="194"/>
      <c r="Y683" s="194"/>
      <c r="Z683" s="194"/>
      <c r="AA683" s="194"/>
      <c r="AB683" s="194"/>
      <c r="AC683" s="194"/>
      <c r="AD683" s="194"/>
      <c r="AE683" s="194"/>
      <c r="AF683" s="194"/>
      <c r="AG683" s="194"/>
      <c r="AH683" s="194"/>
      <c r="AI683" s="194"/>
      <c r="AJ683" s="194"/>
      <c r="AK683" s="194"/>
      <c r="AL683" s="194"/>
      <c r="AM683" s="196"/>
      <c r="AN683" s="194"/>
      <c r="AO683" s="194"/>
      <c r="AP683" s="194"/>
      <c r="AQ683" s="194"/>
      <c r="AR683" s="532"/>
    </row>
    <row r="684" spans="1:44" s="29" customFormat="1" ht="65.099999999999994" customHeight="1" x14ac:dyDescent="0.25">
      <c r="A684" s="21"/>
      <c r="B684" s="21"/>
      <c r="C684" s="761">
        <v>36</v>
      </c>
      <c r="D684" s="55" t="s">
        <v>847</v>
      </c>
      <c r="E684" s="490">
        <v>0.4</v>
      </c>
      <c r="F684" s="491">
        <v>0.6</v>
      </c>
      <c r="G684" s="762"/>
      <c r="H684" s="767">
        <v>204</v>
      </c>
      <c r="I684" s="762" t="s">
        <v>854</v>
      </c>
      <c r="J684" s="33">
        <v>13</v>
      </c>
      <c r="K684" s="33">
        <v>13</v>
      </c>
      <c r="L684" s="33">
        <v>4</v>
      </c>
      <c r="M684" s="33" t="s">
        <v>849</v>
      </c>
      <c r="N684" s="720" t="s">
        <v>850</v>
      </c>
      <c r="O684" s="71" t="s">
        <v>851</v>
      </c>
      <c r="P684" s="33" t="s">
        <v>47</v>
      </c>
      <c r="Q684" s="27">
        <v>0</v>
      </c>
      <c r="R684" s="27">
        <v>0</v>
      </c>
      <c r="S684" s="27">
        <v>0</v>
      </c>
      <c r="T684" s="27">
        <v>0</v>
      </c>
      <c r="U684" s="27">
        <v>0</v>
      </c>
      <c r="V684" s="27">
        <v>0</v>
      </c>
      <c r="W684" s="27">
        <v>0</v>
      </c>
      <c r="X684" s="27"/>
      <c r="Y684" s="27"/>
      <c r="Z684" s="27"/>
      <c r="AA684" s="27">
        <v>0</v>
      </c>
      <c r="AB684" s="27">
        <v>112611783.81</v>
      </c>
      <c r="AC684" s="27">
        <v>0</v>
      </c>
      <c r="AD684" s="27">
        <v>0</v>
      </c>
      <c r="AE684" s="27"/>
      <c r="AF684" s="27"/>
      <c r="AG684" s="27"/>
      <c r="AH684" s="27"/>
      <c r="AI684" s="27"/>
      <c r="AJ684" s="27"/>
      <c r="AK684" s="27">
        <v>0</v>
      </c>
      <c r="AL684" s="27">
        <v>0</v>
      </c>
      <c r="AM684" s="108">
        <v>113400000</v>
      </c>
      <c r="AN684" s="19"/>
      <c r="AO684" s="27">
        <v>5276896</v>
      </c>
      <c r="AP684" s="28">
        <v>0</v>
      </c>
      <c r="AQ684" s="28"/>
      <c r="AR684" s="27">
        <f t="shared" si="497"/>
        <v>231288679.81</v>
      </c>
    </row>
    <row r="685" spans="1:44" s="165" customFormat="1" ht="15" x14ac:dyDescent="0.25">
      <c r="A685" s="21"/>
      <c r="B685" s="21"/>
      <c r="C685" s="224"/>
      <c r="D685" s="159"/>
      <c r="E685" s="604"/>
      <c r="F685" s="604"/>
      <c r="G685" s="160"/>
      <c r="H685" s="161"/>
      <c r="I685" s="160"/>
      <c r="J685" s="311"/>
      <c r="K685" s="311"/>
      <c r="L685" s="311"/>
      <c r="M685" s="311"/>
      <c r="N685" s="380"/>
      <c r="O685" s="298"/>
      <c r="P685" s="311"/>
      <c r="Q685" s="164">
        <f t="shared" ref="Q685:W685" si="578">SUM(Q684)</f>
        <v>0</v>
      </c>
      <c r="R685" s="164">
        <f t="shared" si="578"/>
        <v>0</v>
      </c>
      <c r="S685" s="164">
        <f t="shared" si="578"/>
        <v>0</v>
      </c>
      <c r="T685" s="164">
        <f t="shared" si="578"/>
        <v>0</v>
      </c>
      <c r="U685" s="164">
        <f t="shared" si="578"/>
        <v>0</v>
      </c>
      <c r="V685" s="164">
        <f t="shared" si="578"/>
        <v>0</v>
      </c>
      <c r="W685" s="164">
        <f t="shared" si="578"/>
        <v>0</v>
      </c>
      <c r="X685" s="164"/>
      <c r="Y685" s="164"/>
      <c r="Z685" s="164"/>
      <c r="AA685" s="164">
        <f t="shared" ref="AA685:AF685" si="579">SUM(AA684)</f>
        <v>0</v>
      </c>
      <c r="AB685" s="164">
        <f t="shared" si="579"/>
        <v>112611783.81</v>
      </c>
      <c r="AC685" s="164">
        <f t="shared" si="579"/>
        <v>0</v>
      </c>
      <c r="AD685" s="164">
        <f t="shared" si="579"/>
        <v>0</v>
      </c>
      <c r="AE685" s="164">
        <f t="shared" si="579"/>
        <v>0</v>
      </c>
      <c r="AF685" s="164">
        <f t="shared" si="579"/>
        <v>0</v>
      </c>
      <c r="AG685" s="164"/>
      <c r="AH685" s="164">
        <f t="shared" ref="AH685:AM685" si="580">SUM(AH684)</f>
        <v>0</v>
      </c>
      <c r="AI685" s="164">
        <f t="shared" si="580"/>
        <v>0</v>
      </c>
      <c r="AJ685" s="164">
        <f t="shared" si="580"/>
        <v>0</v>
      </c>
      <c r="AK685" s="164">
        <f t="shared" si="580"/>
        <v>0</v>
      </c>
      <c r="AL685" s="164">
        <f t="shared" si="580"/>
        <v>0</v>
      </c>
      <c r="AM685" s="248">
        <f t="shared" si="580"/>
        <v>113400000</v>
      </c>
      <c r="AN685" s="248">
        <f t="shared" ref="AN685:AO685" si="581">SUM(AN684)</f>
        <v>0</v>
      </c>
      <c r="AO685" s="248">
        <f t="shared" si="581"/>
        <v>5276896</v>
      </c>
      <c r="AP685" s="531">
        <f>SUM(AP684)</f>
        <v>0</v>
      </c>
      <c r="AQ685" s="531">
        <f>SUM(AQ684)</f>
        <v>0</v>
      </c>
      <c r="AR685" s="164">
        <f t="shared" si="497"/>
        <v>231288679.81</v>
      </c>
    </row>
    <row r="686" spans="1:44" s="165" customFormat="1" ht="15" x14ac:dyDescent="0.25">
      <c r="A686" s="21"/>
      <c r="B686" s="21"/>
      <c r="C686" s="760"/>
      <c r="D686" s="183"/>
      <c r="E686" s="760"/>
      <c r="F686" s="760"/>
      <c r="G686" s="183"/>
      <c r="H686" s="760"/>
      <c r="I686" s="183"/>
      <c r="J686" s="760"/>
      <c r="K686" s="760"/>
      <c r="L686" s="830"/>
      <c r="M686" s="830"/>
      <c r="N686" s="833"/>
      <c r="O686" s="829"/>
      <c r="P686" s="760"/>
      <c r="Q686" s="186"/>
      <c r="R686" s="186"/>
      <c r="S686" s="186"/>
      <c r="T686" s="186"/>
      <c r="U686" s="186"/>
      <c r="V686" s="186"/>
      <c r="W686" s="186"/>
      <c r="X686" s="186"/>
      <c r="Y686" s="186"/>
      <c r="Z686" s="186"/>
      <c r="AA686" s="186"/>
      <c r="AB686" s="186"/>
      <c r="AC686" s="186"/>
      <c r="AD686" s="186"/>
      <c r="AE686" s="187"/>
      <c r="AF686" s="187"/>
      <c r="AG686" s="187"/>
      <c r="AH686" s="187"/>
      <c r="AI686" s="187"/>
      <c r="AJ686" s="187"/>
      <c r="AK686" s="186"/>
      <c r="AL686" s="186"/>
      <c r="AM686" s="188"/>
      <c r="AN686" s="189"/>
      <c r="AO686" s="186"/>
      <c r="AP686" s="186"/>
      <c r="AQ686" s="186"/>
      <c r="AR686" s="27">
        <f t="shared" si="497"/>
        <v>0</v>
      </c>
    </row>
    <row r="687" spans="1:44" s="165" customFormat="1" ht="15" x14ac:dyDescent="0.25">
      <c r="A687" s="21"/>
      <c r="B687" s="21"/>
      <c r="C687" s="760"/>
      <c r="D687" s="159"/>
      <c r="E687" s="604"/>
      <c r="F687" s="604"/>
      <c r="G687" s="337">
        <v>70</v>
      </c>
      <c r="H687" s="194" t="s">
        <v>855</v>
      </c>
      <c r="I687" s="194"/>
      <c r="J687" s="194"/>
      <c r="K687" s="194"/>
      <c r="L687" s="194"/>
      <c r="M687" s="194"/>
      <c r="N687" s="194"/>
      <c r="O687" s="194"/>
      <c r="P687" s="194"/>
      <c r="Q687" s="194"/>
      <c r="R687" s="194"/>
      <c r="S687" s="194"/>
      <c r="T687" s="194"/>
      <c r="U687" s="194"/>
      <c r="V687" s="194"/>
      <c r="W687" s="194"/>
      <c r="X687" s="194"/>
      <c r="Y687" s="194"/>
      <c r="Z687" s="194"/>
      <c r="AA687" s="194"/>
      <c r="AB687" s="194"/>
      <c r="AC687" s="194"/>
      <c r="AD687" s="194"/>
      <c r="AE687" s="194"/>
      <c r="AF687" s="194"/>
      <c r="AG687" s="194"/>
      <c r="AH687" s="194"/>
      <c r="AI687" s="194"/>
      <c r="AJ687" s="194"/>
      <c r="AK687" s="194"/>
      <c r="AL687" s="194"/>
      <c r="AM687" s="196"/>
      <c r="AN687" s="194"/>
      <c r="AO687" s="194"/>
      <c r="AP687" s="194"/>
      <c r="AQ687" s="194"/>
      <c r="AR687" s="532"/>
    </row>
    <row r="688" spans="1:44" s="29" customFormat="1" ht="54.75" customHeight="1" x14ac:dyDescent="0.25">
      <c r="A688" s="21"/>
      <c r="B688" s="21"/>
      <c r="C688" s="761">
        <v>36</v>
      </c>
      <c r="D688" s="55" t="s">
        <v>847</v>
      </c>
      <c r="E688" s="490">
        <v>0.4</v>
      </c>
      <c r="F688" s="491">
        <v>0.6</v>
      </c>
      <c r="G688" s="762"/>
      <c r="H688" s="767">
        <v>205</v>
      </c>
      <c r="I688" s="762" t="s">
        <v>856</v>
      </c>
      <c r="J688" s="33">
        <v>4</v>
      </c>
      <c r="K688" s="33">
        <v>1</v>
      </c>
      <c r="L688" s="33">
        <v>0.5</v>
      </c>
      <c r="M688" s="33" t="s">
        <v>849</v>
      </c>
      <c r="N688" s="720" t="s">
        <v>857</v>
      </c>
      <c r="O688" s="556" t="s">
        <v>858</v>
      </c>
      <c r="P688" s="33" t="s">
        <v>42</v>
      </c>
      <c r="Q688" s="27">
        <v>0</v>
      </c>
      <c r="R688" s="27">
        <v>0</v>
      </c>
      <c r="S688" s="27">
        <v>0</v>
      </c>
      <c r="T688" s="27">
        <v>0</v>
      </c>
      <c r="U688" s="27">
        <v>0</v>
      </c>
      <c r="V688" s="27">
        <v>0</v>
      </c>
      <c r="W688" s="27">
        <v>0</v>
      </c>
      <c r="X688" s="27"/>
      <c r="Y688" s="27"/>
      <c r="Z688" s="27"/>
      <c r="AA688" s="27">
        <v>0</v>
      </c>
      <c r="AB688" s="27"/>
      <c r="AC688" s="27">
        <v>0</v>
      </c>
      <c r="AD688" s="27">
        <v>0</v>
      </c>
      <c r="AE688" s="27"/>
      <c r="AF688" s="27"/>
      <c r="AG688" s="27"/>
      <c r="AH688" s="27"/>
      <c r="AI688" s="27"/>
      <c r="AJ688" s="27"/>
      <c r="AK688" s="27">
        <v>0</v>
      </c>
      <c r="AL688" s="27">
        <v>0</v>
      </c>
      <c r="AM688" s="108">
        <f>80000000+200000000</f>
        <v>280000000</v>
      </c>
      <c r="AN688" s="19">
        <f>131747972-6095580</f>
        <v>125652392</v>
      </c>
      <c r="AO688" s="27">
        <v>0</v>
      </c>
      <c r="AP688" s="28">
        <v>0</v>
      </c>
      <c r="AQ688" s="28"/>
      <c r="AR688" s="27">
        <f t="shared" si="497"/>
        <v>405652392</v>
      </c>
    </row>
    <row r="689" spans="1:44" s="165" customFormat="1" ht="15" x14ac:dyDescent="0.25">
      <c r="A689" s="21"/>
      <c r="B689" s="21"/>
      <c r="C689" s="224"/>
      <c r="D689" s="159"/>
      <c r="E689" s="604"/>
      <c r="F689" s="604"/>
      <c r="G689" s="160"/>
      <c r="H689" s="161"/>
      <c r="I689" s="160"/>
      <c r="J689" s="311"/>
      <c r="K689" s="311"/>
      <c r="L689" s="311"/>
      <c r="M689" s="311"/>
      <c r="N689" s="380"/>
      <c r="O689" s="298"/>
      <c r="P689" s="311"/>
      <c r="Q689" s="164">
        <f t="shared" ref="Q689:W689" si="582">SUM(Q688)</f>
        <v>0</v>
      </c>
      <c r="R689" s="164">
        <f t="shared" si="582"/>
        <v>0</v>
      </c>
      <c r="S689" s="164">
        <f t="shared" si="582"/>
        <v>0</v>
      </c>
      <c r="T689" s="164">
        <f t="shared" si="582"/>
        <v>0</v>
      </c>
      <c r="U689" s="164">
        <f t="shared" si="582"/>
        <v>0</v>
      </c>
      <c r="V689" s="164">
        <f t="shared" si="582"/>
        <v>0</v>
      </c>
      <c r="W689" s="164">
        <f t="shared" si="582"/>
        <v>0</v>
      </c>
      <c r="X689" s="164"/>
      <c r="Y689" s="164"/>
      <c r="Z689" s="164"/>
      <c r="AA689" s="164">
        <f t="shared" ref="AA689:AF689" si="583">SUM(AA688)</f>
        <v>0</v>
      </c>
      <c r="AB689" s="164">
        <f t="shared" si="583"/>
        <v>0</v>
      </c>
      <c r="AC689" s="164">
        <f t="shared" si="583"/>
        <v>0</v>
      </c>
      <c r="AD689" s="164">
        <f t="shared" si="583"/>
        <v>0</v>
      </c>
      <c r="AE689" s="164">
        <f t="shared" si="583"/>
        <v>0</v>
      </c>
      <c r="AF689" s="164">
        <f t="shared" si="583"/>
        <v>0</v>
      </c>
      <c r="AG689" s="164"/>
      <c r="AH689" s="164">
        <f t="shared" ref="AH689:AM689" si="584">SUM(AH688)</f>
        <v>0</v>
      </c>
      <c r="AI689" s="164">
        <f t="shared" si="584"/>
        <v>0</v>
      </c>
      <c r="AJ689" s="164">
        <f t="shared" si="584"/>
        <v>0</v>
      </c>
      <c r="AK689" s="164">
        <f t="shared" si="584"/>
        <v>0</v>
      </c>
      <c r="AL689" s="164">
        <f t="shared" si="584"/>
        <v>0</v>
      </c>
      <c r="AM689" s="248">
        <f t="shared" si="584"/>
        <v>280000000</v>
      </c>
      <c r="AN689" s="248">
        <f t="shared" ref="AN689:AO689" si="585">SUM(AN688)</f>
        <v>125652392</v>
      </c>
      <c r="AO689" s="248">
        <f t="shared" si="585"/>
        <v>0</v>
      </c>
      <c r="AP689" s="249">
        <f>SUM(AP688)</f>
        <v>0</v>
      </c>
      <c r="AQ689" s="249">
        <f>SUM(AQ688)</f>
        <v>0</v>
      </c>
      <c r="AR689" s="249">
        <f t="shared" si="497"/>
        <v>405652392</v>
      </c>
    </row>
    <row r="690" spans="1:44" s="29" customFormat="1" ht="15" x14ac:dyDescent="0.25">
      <c r="A690" s="21"/>
      <c r="B690" s="21"/>
      <c r="C690" s="760"/>
      <c r="D690" s="183"/>
      <c r="E690" s="760"/>
      <c r="F690" s="760"/>
      <c r="G690" s="183"/>
      <c r="H690" s="760"/>
      <c r="I690" s="183"/>
      <c r="J690" s="760"/>
      <c r="K690" s="760"/>
      <c r="L690" s="830"/>
      <c r="M690" s="830"/>
      <c r="N690" s="833"/>
      <c r="O690" s="829"/>
      <c r="P690" s="760"/>
      <c r="Q690" s="186"/>
      <c r="R690" s="186"/>
      <c r="S690" s="186"/>
      <c r="T690" s="186"/>
      <c r="U690" s="186"/>
      <c r="V690" s="186"/>
      <c r="W690" s="186"/>
      <c r="X690" s="186"/>
      <c r="Y690" s="186"/>
      <c r="Z690" s="186"/>
      <c r="AA690" s="186"/>
      <c r="AB690" s="186"/>
      <c r="AC690" s="186"/>
      <c r="AD690" s="186"/>
      <c r="AE690" s="187"/>
      <c r="AF690" s="187"/>
      <c r="AG690" s="187"/>
      <c r="AH690" s="187"/>
      <c r="AI690" s="187"/>
      <c r="AJ690" s="187"/>
      <c r="AK690" s="186"/>
      <c r="AL690" s="186"/>
      <c r="AM690" s="188"/>
      <c r="AN690" s="189"/>
      <c r="AO690" s="186"/>
      <c r="AP690" s="186"/>
      <c r="AQ690" s="186"/>
      <c r="AR690" s="27">
        <f t="shared" si="497"/>
        <v>0</v>
      </c>
    </row>
    <row r="691" spans="1:44" s="29" customFormat="1" ht="15" x14ac:dyDescent="0.25">
      <c r="A691" s="21"/>
      <c r="B691" s="21"/>
      <c r="C691" s="760"/>
      <c r="D691" s="159"/>
      <c r="E691" s="604"/>
      <c r="F691" s="604"/>
      <c r="G691" s="337">
        <v>71</v>
      </c>
      <c r="H691" s="194" t="s">
        <v>859</v>
      </c>
      <c r="I691" s="194"/>
      <c r="J691" s="194"/>
      <c r="K691" s="194"/>
      <c r="L691" s="194"/>
      <c r="M691" s="194"/>
      <c r="N691" s="194"/>
      <c r="O691" s="194"/>
      <c r="P691" s="194"/>
      <c r="Q691" s="194"/>
      <c r="R691" s="194"/>
      <c r="S691" s="194"/>
      <c r="T691" s="194"/>
      <c r="U691" s="194"/>
      <c r="V691" s="194"/>
      <c r="W691" s="194"/>
      <c r="X691" s="194"/>
      <c r="Y691" s="194"/>
      <c r="Z691" s="194"/>
      <c r="AA691" s="194"/>
      <c r="AB691" s="194"/>
      <c r="AC691" s="194"/>
      <c r="AD691" s="194"/>
      <c r="AE691" s="194"/>
      <c r="AF691" s="194"/>
      <c r="AG691" s="194"/>
      <c r="AH691" s="194"/>
      <c r="AI691" s="194"/>
      <c r="AJ691" s="194"/>
      <c r="AK691" s="194"/>
      <c r="AL691" s="194"/>
      <c r="AM691" s="196"/>
      <c r="AN691" s="194"/>
      <c r="AO691" s="194"/>
      <c r="AP691" s="194"/>
      <c r="AQ691" s="194"/>
      <c r="AR691" s="532"/>
    </row>
    <row r="692" spans="1:44" s="29" customFormat="1" ht="103.5" customHeight="1" x14ac:dyDescent="0.25">
      <c r="A692" s="21"/>
      <c r="B692" s="21"/>
      <c r="C692" s="912">
        <v>36</v>
      </c>
      <c r="D692" s="915" t="s">
        <v>847</v>
      </c>
      <c r="E692" s="918">
        <v>0.4</v>
      </c>
      <c r="F692" s="921">
        <v>0.6</v>
      </c>
      <c r="G692" s="924"/>
      <c r="H692" s="767">
        <v>206</v>
      </c>
      <c r="I692" s="762" t="s">
        <v>860</v>
      </c>
      <c r="J692" s="33">
        <v>12</v>
      </c>
      <c r="K692" s="33">
        <v>12</v>
      </c>
      <c r="L692" s="33">
        <v>12</v>
      </c>
      <c r="M692" s="33" t="s">
        <v>849</v>
      </c>
      <c r="N692" s="927" t="s">
        <v>861</v>
      </c>
      <c r="O692" s="930" t="s">
        <v>862</v>
      </c>
      <c r="P692" s="33" t="s">
        <v>47</v>
      </c>
      <c r="Q692" s="27">
        <v>0</v>
      </c>
      <c r="R692" s="27">
        <v>0</v>
      </c>
      <c r="S692" s="27">
        <v>0</v>
      </c>
      <c r="T692" s="27">
        <v>0</v>
      </c>
      <c r="U692" s="27">
        <v>0</v>
      </c>
      <c r="V692" s="27">
        <v>0</v>
      </c>
      <c r="W692" s="27">
        <v>0</v>
      </c>
      <c r="X692" s="27"/>
      <c r="Y692" s="27"/>
      <c r="Z692" s="27"/>
      <c r="AA692" s="27">
        <v>0</v>
      </c>
      <c r="AB692" s="19">
        <v>106800000</v>
      </c>
      <c r="AC692" s="27">
        <v>0</v>
      </c>
      <c r="AD692" s="27">
        <v>0</v>
      </c>
      <c r="AE692" s="27"/>
      <c r="AF692" s="27"/>
      <c r="AG692" s="27"/>
      <c r="AH692" s="27"/>
      <c r="AI692" s="27"/>
      <c r="AJ692" s="27"/>
      <c r="AK692" s="27">
        <v>0</v>
      </c>
      <c r="AL692" s="27">
        <v>0</v>
      </c>
      <c r="AM692" s="108">
        <v>0</v>
      </c>
      <c r="AN692" s="15">
        <v>34991380</v>
      </c>
      <c r="AO692" s="27">
        <v>0</v>
      </c>
      <c r="AP692" s="28">
        <v>0</v>
      </c>
      <c r="AQ692" s="28"/>
      <c r="AR692" s="27">
        <f t="shared" si="497"/>
        <v>141791380</v>
      </c>
    </row>
    <row r="693" spans="1:44" s="29" customFormat="1" ht="50.25" customHeight="1" x14ac:dyDescent="0.25">
      <c r="A693" s="21"/>
      <c r="B693" s="21"/>
      <c r="C693" s="913"/>
      <c r="D693" s="916"/>
      <c r="E693" s="919"/>
      <c r="F693" s="922"/>
      <c r="G693" s="925"/>
      <c r="H693" s="767">
        <v>207</v>
      </c>
      <c r="I693" s="762" t="s">
        <v>863</v>
      </c>
      <c r="J693" s="33">
        <v>4</v>
      </c>
      <c r="K693" s="33">
        <v>1</v>
      </c>
      <c r="L693" s="33">
        <v>0.5</v>
      </c>
      <c r="M693" s="33" t="s">
        <v>849</v>
      </c>
      <c r="N693" s="928"/>
      <c r="O693" s="931"/>
      <c r="P693" s="33" t="s">
        <v>42</v>
      </c>
      <c r="Q693" s="27">
        <v>0</v>
      </c>
      <c r="R693" s="27">
        <v>0</v>
      </c>
      <c r="S693" s="27">
        <v>0</v>
      </c>
      <c r="T693" s="27">
        <v>0</v>
      </c>
      <c r="U693" s="27">
        <v>0</v>
      </c>
      <c r="V693" s="27">
        <v>0</v>
      </c>
      <c r="W693" s="27">
        <v>0</v>
      </c>
      <c r="X693" s="27"/>
      <c r="Y693" s="27"/>
      <c r="Z693" s="27"/>
      <c r="AA693" s="27">
        <v>0</v>
      </c>
      <c r="AB693" s="27"/>
      <c r="AC693" s="27">
        <v>0</v>
      </c>
      <c r="AD693" s="27">
        <v>0</v>
      </c>
      <c r="AE693" s="27"/>
      <c r="AF693" s="27"/>
      <c r="AG693" s="27"/>
      <c r="AH693" s="27"/>
      <c r="AI693" s="27"/>
      <c r="AJ693" s="27"/>
      <c r="AK693" s="27">
        <v>0</v>
      </c>
      <c r="AL693" s="27">
        <v>0</v>
      </c>
      <c r="AM693" s="108">
        <f>107173+333200274</f>
        <v>333307447</v>
      </c>
      <c r="AN693" s="19">
        <f>20000000+10000000</f>
        <v>30000000</v>
      </c>
      <c r="AO693" s="27">
        <v>0</v>
      </c>
      <c r="AP693" s="28">
        <v>0</v>
      </c>
      <c r="AQ693" s="28"/>
      <c r="AR693" s="27">
        <f t="shared" si="497"/>
        <v>363307447</v>
      </c>
    </row>
    <row r="694" spans="1:44" s="29" customFormat="1" ht="42.75" x14ac:dyDescent="0.25">
      <c r="A694" s="21"/>
      <c r="B694" s="21"/>
      <c r="C694" s="914"/>
      <c r="D694" s="917"/>
      <c r="E694" s="920"/>
      <c r="F694" s="923"/>
      <c r="G694" s="926"/>
      <c r="H694" s="767">
        <v>208</v>
      </c>
      <c r="I694" s="762" t="s">
        <v>864</v>
      </c>
      <c r="J694" s="33">
        <v>1</v>
      </c>
      <c r="K694" s="33">
        <v>1</v>
      </c>
      <c r="L694" s="33">
        <v>0</v>
      </c>
      <c r="M694" s="33" t="s">
        <v>849</v>
      </c>
      <c r="N694" s="929"/>
      <c r="O694" s="932"/>
      <c r="P694" s="33" t="s">
        <v>47</v>
      </c>
      <c r="Q694" s="27">
        <v>0</v>
      </c>
      <c r="R694" s="27">
        <v>0</v>
      </c>
      <c r="S694" s="27">
        <v>0</v>
      </c>
      <c r="T694" s="27">
        <v>0</v>
      </c>
      <c r="U694" s="27">
        <v>0</v>
      </c>
      <c r="V694" s="27">
        <v>0</v>
      </c>
      <c r="W694" s="27">
        <v>0</v>
      </c>
      <c r="X694" s="27"/>
      <c r="Y694" s="27"/>
      <c r="Z694" s="27"/>
      <c r="AA694" s="27">
        <v>0</v>
      </c>
      <c r="AB694" s="27"/>
      <c r="AC694" s="27">
        <v>0</v>
      </c>
      <c r="AD694" s="27">
        <v>0</v>
      </c>
      <c r="AE694" s="27"/>
      <c r="AF694" s="27"/>
      <c r="AG694" s="27"/>
      <c r="AH694" s="27"/>
      <c r="AI694" s="27"/>
      <c r="AJ694" s="27"/>
      <c r="AK694" s="27">
        <v>0</v>
      </c>
      <c r="AL694" s="27">
        <v>0</v>
      </c>
      <c r="AM694" s="108">
        <f>10000000+10000000+30000000</f>
        <v>50000000</v>
      </c>
      <c r="AN694" s="19"/>
      <c r="AO694" s="27">
        <v>0</v>
      </c>
      <c r="AP694" s="28">
        <v>0</v>
      </c>
      <c r="AQ694" s="28"/>
      <c r="AR694" s="27">
        <f t="shared" si="497"/>
        <v>50000000</v>
      </c>
    </row>
    <row r="695" spans="1:44" s="165" customFormat="1" ht="15" x14ac:dyDescent="0.25">
      <c r="A695" s="21"/>
      <c r="B695" s="158"/>
      <c r="C695" s="885"/>
      <c r="D695" s="159"/>
      <c r="E695" s="604"/>
      <c r="F695" s="604"/>
      <c r="G695" s="160"/>
      <c r="H695" s="161"/>
      <c r="I695" s="160"/>
      <c r="J695" s="311"/>
      <c r="K695" s="311"/>
      <c r="L695" s="311"/>
      <c r="M695" s="311"/>
      <c r="N695" s="380"/>
      <c r="O695" s="298"/>
      <c r="P695" s="311"/>
      <c r="Q695" s="164">
        <f t="shared" ref="Q695:W695" si="586">SUM(Q692:Q694)</f>
        <v>0</v>
      </c>
      <c r="R695" s="164">
        <f t="shared" si="586"/>
        <v>0</v>
      </c>
      <c r="S695" s="164">
        <f t="shared" si="586"/>
        <v>0</v>
      </c>
      <c r="T695" s="164">
        <f t="shared" si="586"/>
        <v>0</v>
      </c>
      <c r="U695" s="164">
        <f t="shared" si="586"/>
        <v>0</v>
      </c>
      <c r="V695" s="164">
        <f t="shared" si="586"/>
        <v>0</v>
      </c>
      <c r="W695" s="164">
        <f t="shared" si="586"/>
        <v>0</v>
      </c>
      <c r="X695" s="164"/>
      <c r="Y695" s="164"/>
      <c r="Z695" s="164"/>
      <c r="AA695" s="164">
        <f t="shared" ref="AA695:AF695" si="587">SUM(AA692:AA694)</f>
        <v>0</v>
      </c>
      <c r="AB695" s="164">
        <f t="shared" si="587"/>
        <v>106800000</v>
      </c>
      <c r="AC695" s="164">
        <f t="shared" si="587"/>
        <v>0</v>
      </c>
      <c r="AD695" s="164">
        <f t="shared" si="587"/>
        <v>0</v>
      </c>
      <c r="AE695" s="164">
        <f t="shared" si="587"/>
        <v>0</v>
      </c>
      <c r="AF695" s="164">
        <f t="shared" si="587"/>
        <v>0</v>
      </c>
      <c r="AG695" s="164"/>
      <c r="AH695" s="164">
        <f t="shared" ref="AH695:AM695" si="588">SUM(AH692:AH694)</f>
        <v>0</v>
      </c>
      <c r="AI695" s="164">
        <f t="shared" si="588"/>
        <v>0</v>
      </c>
      <c r="AJ695" s="164">
        <f t="shared" si="588"/>
        <v>0</v>
      </c>
      <c r="AK695" s="164">
        <f t="shared" si="588"/>
        <v>0</v>
      </c>
      <c r="AL695" s="164">
        <f t="shared" si="588"/>
        <v>0</v>
      </c>
      <c r="AM695" s="248">
        <f t="shared" si="588"/>
        <v>383307447</v>
      </c>
      <c r="AN695" s="248">
        <f t="shared" ref="AN695" si="589">SUM(AN692:AN694)</f>
        <v>64991380</v>
      </c>
      <c r="AO695" s="164">
        <f t="shared" ref="AO695:AP695" si="590">SUM(AO692:AO694)</f>
        <v>0</v>
      </c>
      <c r="AP695" s="164">
        <f t="shared" si="590"/>
        <v>0</v>
      </c>
      <c r="AQ695" s="164">
        <f t="shared" ref="AQ695" si="591">SUM(AQ692:AQ694)</f>
        <v>0</v>
      </c>
      <c r="AR695" s="164">
        <f t="shared" si="497"/>
        <v>555098827</v>
      </c>
    </row>
    <row r="696" spans="1:44" s="165" customFormat="1" ht="15" x14ac:dyDescent="0.25">
      <c r="A696" s="21"/>
      <c r="B696" s="824"/>
      <c r="C696" s="231"/>
      <c r="D696" s="167"/>
      <c r="E696" s="168"/>
      <c r="F696" s="168"/>
      <c r="G696" s="167"/>
      <c r="H696" s="168"/>
      <c r="I696" s="167"/>
      <c r="J696" s="323"/>
      <c r="K696" s="323"/>
      <c r="L696" s="323"/>
      <c r="M696" s="323"/>
      <c r="N696" s="557"/>
      <c r="O696" s="558"/>
      <c r="P696" s="323"/>
      <c r="Q696" s="171">
        <f t="shared" ref="Q696:W696" si="592">Q695+Q689+Q685+Q681</f>
        <v>0</v>
      </c>
      <c r="R696" s="171">
        <f t="shared" si="592"/>
        <v>0</v>
      </c>
      <c r="S696" s="171">
        <f t="shared" si="592"/>
        <v>0</v>
      </c>
      <c r="T696" s="171">
        <f t="shared" si="592"/>
        <v>0</v>
      </c>
      <c r="U696" s="171">
        <f t="shared" si="592"/>
        <v>0</v>
      </c>
      <c r="V696" s="171">
        <f t="shared" si="592"/>
        <v>0</v>
      </c>
      <c r="W696" s="171">
        <f t="shared" si="592"/>
        <v>0</v>
      </c>
      <c r="X696" s="171"/>
      <c r="Y696" s="171"/>
      <c r="Z696" s="171"/>
      <c r="AA696" s="171">
        <f t="shared" ref="AA696:AF696" si="593">AA695+AA689+AA685+AA681</f>
        <v>0</v>
      </c>
      <c r="AB696" s="171">
        <f t="shared" si="593"/>
        <v>665664333.80999994</v>
      </c>
      <c r="AC696" s="171">
        <f t="shared" si="593"/>
        <v>0</v>
      </c>
      <c r="AD696" s="171">
        <f t="shared" si="593"/>
        <v>0</v>
      </c>
      <c r="AE696" s="171">
        <f t="shared" si="593"/>
        <v>0</v>
      </c>
      <c r="AF696" s="171">
        <f t="shared" si="593"/>
        <v>0</v>
      </c>
      <c r="AG696" s="171"/>
      <c r="AH696" s="171">
        <f t="shared" ref="AH696:AM696" si="594">AH695+AH689+AH685+AH681</f>
        <v>0</v>
      </c>
      <c r="AI696" s="171">
        <f t="shared" si="594"/>
        <v>0</v>
      </c>
      <c r="AJ696" s="171">
        <f t="shared" si="594"/>
        <v>0</v>
      </c>
      <c r="AK696" s="171">
        <f t="shared" si="594"/>
        <v>0</v>
      </c>
      <c r="AL696" s="171">
        <f t="shared" si="594"/>
        <v>0</v>
      </c>
      <c r="AM696" s="250">
        <f t="shared" si="594"/>
        <v>1086707447</v>
      </c>
      <c r="AN696" s="250">
        <f t="shared" ref="AN696" si="595">AN695+AN689+AN685+AN681</f>
        <v>190643772</v>
      </c>
      <c r="AO696" s="171">
        <f t="shared" ref="AO696:AP696" si="596">AO695+AO689+AO685+AO681</f>
        <v>5276896</v>
      </c>
      <c r="AP696" s="171">
        <f t="shared" si="596"/>
        <v>0</v>
      </c>
      <c r="AQ696" s="171">
        <f t="shared" ref="AQ696" si="597">AQ695+AQ689+AQ685+AQ681</f>
        <v>0</v>
      </c>
      <c r="AR696" s="171">
        <f t="shared" si="497"/>
        <v>1948292448.8099999</v>
      </c>
    </row>
    <row r="697" spans="1:44" s="165" customFormat="1" ht="15" x14ac:dyDescent="0.25">
      <c r="A697" s="21"/>
      <c r="B697" s="183"/>
      <c r="C697" s="760"/>
      <c r="D697" s="183"/>
      <c r="E697" s="760"/>
      <c r="F697" s="760"/>
      <c r="G697" s="183"/>
      <c r="H697" s="760"/>
      <c r="I697" s="183"/>
      <c r="J697" s="760"/>
      <c r="K697" s="760"/>
      <c r="L697" s="830"/>
      <c r="M697" s="830"/>
      <c r="N697" s="833"/>
      <c r="O697" s="829"/>
      <c r="P697" s="760"/>
      <c r="Q697" s="186"/>
      <c r="R697" s="186"/>
      <c r="S697" s="186"/>
      <c r="T697" s="186"/>
      <c r="U697" s="186"/>
      <c r="V697" s="186"/>
      <c r="W697" s="186"/>
      <c r="X697" s="186"/>
      <c r="Y697" s="186"/>
      <c r="Z697" s="186"/>
      <c r="AA697" s="186"/>
      <c r="AB697" s="186"/>
      <c r="AC697" s="186"/>
      <c r="AD697" s="186"/>
      <c r="AE697" s="187"/>
      <c r="AF697" s="187"/>
      <c r="AG697" s="187"/>
      <c r="AH697" s="187"/>
      <c r="AI697" s="187"/>
      <c r="AJ697" s="187"/>
      <c r="AK697" s="186"/>
      <c r="AL697" s="186"/>
      <c r="AM697" s="188"/>
      <c r="AN697" s="186"/>
      <c r="AO697" s="186"/>
      <c r="AP697" s="186"/>
      <c r="AQ697" s="186"/>
      <c r="AR697" s="27"/>
    </row>
    <row r="698" spans="1:44" s="165" customFormat="1" x14ac:dyDescent="0.25">
      <c r="A698" s="21"/>
      <c r="B698" s="559">
        <v>21</v>
      </c>
      <c r="C698" s="150" t="s">
        <v>865</v>
      </c>
      <c r="D698" s="149"/>
      <c r="E698" s="149"/>
      <c r="F698" s="149"/>
      <c r="G698" s="149"/>
      <c r="H698" s="150"/>
      <c r="I698" s="149"/>
      <c r="J698" s="149"/>
      <c r="K698" s="149"/>
      <c r="L698" s="149"/>
      <c r="M698" s="149"/>
      <c r="N698" s="151"/>
      <c r="O698" s="149"/>
      <c r="P698" s="149"/>
      <c r="Q698" s="149"/>
      <c r="R698" s="149"/>
      <c r="S698" s="149"/>
      <c r="T698" s="149"/>
      <c r="U698" s="149"/>
      <c r="V698" s="149"/>
      <c r="W698" s="149"/>
      <c r="X698" s="149"/>
      <c r="Y698" s="149"/>
      <c r="Z698" s="149"/>
      <c r="AA698" s="149"/>
      <c r="AB698" s="149"/>
      <c r="AC698" s="149"/>
      <c r="AD698" s="149"/>
      <c r="AE698" s="149"/>
      <c r="AF698" s="149"/>
      <c r="AG698" s="149"/>
      <c r="AH698" s="149"/>
      <c r="AI698" s="149"/>
      <c r="AJ698" s="149"/>
      <c r="AK698" s="149"/>
      <c r="AL698" s="149"/>
      <c r="AM698" s="152"/>
      <c r="AN698" s="149"/>
      <c r="AO698" s="149"/>
      <c r="AP698" s="149"/>
      <c r="AQ698" s="149"/>
      <c r="AR698" s="536"/>
    </row>
    <row r="699" spans="1:44" s="165" customFormat="1" ht="15" x14ac:dyDescent="0.25">
      <c r="A699" s="21"/>
      <c r="B699" s="905"/>
      <c r="C699" s="760"/>
      <c r="D699" s="183"/>
      <c r="E699" s="760"/>
      <c r="F699" s="761"/>
      <c r="G699" s="337">
        <v>72</v>
      </c>
      <c r="H699" s="194" t="s">
        <v>866</v>
      </c>
      <c r="I699" s="194"/>
      <c r="J699" s="194"/>
      <c r="K699" s="194"/>
      <c r="L699" s="194"/>
      <c r="M699" s="194"/>
      <c r="N699" s="194"/>
      <c r="O699" s="194"/>
      <c r="P699" s="194"/>
      <c r="Q699" s="194"/>
      <c r="R699" s="194"/>
      <c r="S699" s="194"/>
      <c r="T699" s="194"/>
      <c r="U699" s="194"/>
      <c r="V699" s="194"/>
      <c r="W699" s="194"/>
      <c r="X699" s="194"/>
      <c r="Y699" s="194"/>
      <c r="Z699" s="194"/>
      <c r="AA699" s="194"/>
      <c r="AB699" s="194"/>
      <c r="AC699" s="194"/>
      <c r="AD699" s="194"/>
      <c r="AE699" s="194"/>
      <c r="AF699" s="194"/>
      <c r="AG699" s="194"/>
      <c r="AH699" s="194"/>
      <c r="AI699" s="194"/>
      <c r="AJ699" s="194"/>
      <c r="AK699" s="194"/>
      <c r="AL699" s="194"/>
      <c r="AM699" s="196"/>
      <c r="AN699" s="194"/>
      <c r="AO699" s="194"/>
      <c r="AP699" s="194"/>
      <c r="AQ699" s="194"/>
      <c r="AR699" s="532"/>
    </row>
    <row r="700" spans="1:44" s="29" customFormat="1" ht="42.75" x14ac:dyDescent="0.25">
      <c r="A700" s="21"/>
      <c r="B700" s="905"/>
      <c r="C700" s="906">
        <v>36</v>
      </c>
      <c r="D700" s="907" t="s">
        <v>847</v>
      </c>
      <c r="E700" s="908">
        <v>0.4</v>
      </c>
      <c r="F700" s="909">
        <v>0.6</v>
      </c>
      <c r="G700" s="906" t="s">
        <v>430</v>
      </c>
      <c r="H700" s="767">
        <v>209</v>
      </c>
      <c r="I700" s="762" t="s">
        <v>867</v>
      </c>
      <c r="J700" s="33">
        <v>1</v>
      </c>
      <c r="K700" s="33">
        <v>1</v>
      </c>
      <c r="L700" s="33">
        <v>0.5</v>
      </c>
      <c r="M700" s="33" t="s">
        <v>849</v>
      </c>
      <c r="N700" s="910" t="s">
        <v>868</v>
      </c>
      <c r="O700" s="911" t="s">
        <v>869</v>
      </c>
      <c r="P700" s="33" t="s">
        <v>47</v>
      </c>
      <c r="Q700" s="27">
        <v>0</v>
      </c>
      <c r="R700" s="27">
        <v>0</v>
      </c>
      <c r="S700" s="27">
        <v>0</v>
      </c>
      <c r="T700" s="27">
        <v>0</v>
      </c>
      <c r="U700" s="27">
        <v>0</v>
      </c>
      <c r="V700" s="27">
        <v>0</v>
      </c>
      <c r="W700" s="27">
        <v>0</v>
      </c>
      <c r="X700" s="27"/>
      <c r="Y700" s="27"/>
      <c r="Z700" s="27"/>
      <c r="AA700" s="27">
        <v>0</v>
      </c>
      <c r="AB700" s="27">
        <v>32000000</v>
      </c>
      <c r="AC700" s="27">
        <v>0</v>
      </c>
      <c r="AD700" s="27">
        <v>0</v>
      </c>
      <c r="AE700" s="27"/>
      <c r="AF700" s="27"/>
      <c r="AG700" s="27"/>
      <c r="AH700" s="27"/>
      <c r="AI700" s="27"/>
      <c r="AJ700" s="27"/>
      <c r="AK700" s="27">
        <v>0</v>
      </c>
      <c r="AL700" s="27"/>
      <c r="AM700" s="108">
        <f>10000000-2000000</f>
        <v>8000000</v>
      </c>
      <c r="AN700" s="19">
        <v>18154184</v>
      </c>
      <c r="AO700" s="27">
        <v>0</v>
      </c>
      <c r="AP700" s="27">
        <v>0</v>
      </c>
      <c r="AQ700" s="27"/>
      <c r="AR700" s="27">
        <f t="shared" si="497"/>
        <v>58154184</v>
      </c>
    </row>
    <row r="701" spans="1:44" s="29" customFormat="1" ht="48" customHeight="1" x14ac:dyDescent="0.25">
      <c r="A701" s="21"/>
      <c r="B701" s="905"/>
      <c r="C701" s="906"/>
      <c r="D701" s="907"/>
      <c r="E701" s="908"/>
      <c r="F701" s="909"/>
      <c r="G701" s="906"/>
      <c r="H701" s="767">
        <v>210</v>
      </c>
      <c r="I701" s="762" t="s">
        <v>870</v>
      </c>
      <c r="J701" s="767">
        <v>1</v>
      </c>
      <c r="K701" s="767">
        <v>1</v>
      </c>
      <c r="L701" s="767">
        <v>0.5</v>
      </c>
      <c r="M701" s="33" t="s">
        <v>849</v>
      </c>
      <c r="N701" s="910"/>
      <c r="O701" s="911"/>
      <c r="P701" s="33" t="s">
        <v>47</v>
      </c>
      <c r="Q701" s="27">
        <v>0</v>
      </c>
      <c r="R701" s="27">
        <v>0</v>
      </c>
      <c r="S701" s="27">
        <v>0</v>
      </c>
      <c r="T701" s="27">
        <v>0</v>
      </c>
      <c r="U701" s="27">
        <v>0</v>
      </c>
      <c r="V701" s="27">
        <v>0</v>
      </c>
      <c r="W701" s="27">
        <v>0</v>
      </c>
      <c r="X701" s="27"/>
      <c r="Y701" s="27"/>
      <c r="Z701" s="27"/>
      <c r="AA701" s="27">
        <v>0</v>
      </c>
      <c r="AB701" s="27">
        <v>32567760</v>
      </c>
      <c r="AC701" s="27">
        <v>0</v>
      </c>
      <c r="AD701" s="27">
        <v>0</v>
      </c>
      <c r="AE701" s="27"/>
      <c r="AF701" s="27"/>
      <c r="AG701" s="27"/>
      <c r="AH701" s="27"/>
      <c r="AI701" s="27"/>
      <c r="AJ701" s="27"/>
      <c r="AK701" s="27">
        <v>0</v>
      </c>
      <c r="AL701" s="27"/>
      <c r="AM701" s="108">
        <v>42000000</v>
      </c>
      <c r="AN701" s="19">
        <v>14650016</v>
      </c>
      <c r="AO701" s="27">
        <v>0</v>
      </c>
      <c r="AP701" s="27">
        <v>0</v>
      </c>
      <c r="AQ701" s="27"/>
      <c r="AR701" s="27">
        <f t="shared" si="497"/>
        <v>89217776</v>
      </c>
    </row>
    <row r="702" spans="1:44" s="29" customFormat="1" ht="83.25" customHeight="1" x14ac:dyDescent="0.25">
      <c r="A702" s="20"/>
      <c r="B702" s="905"/>
      <c r="C702" s="906"/>
      <c r="D702" s="907"/>
      <c r="E702" s="908"/>
      <c r="F702" s="909"/>
      <c r="G702" s="906"/>
      <c r="H702" s="767">
        <v>211</v>
      </c>
      <c r="I702" s="762" t="s">
        <v>871</v>
      </c>
      <c r="J702" s="33">
        <v>1</v>
      </c>
      <c r="K702" s="33">
        <v>1</v>
      </c>
      <c r="L702" s="33">
        <v>0.5</v>
      </c>
      <c r="M702" s="33" t="s">
        <v>849</v>
      </c>
      <c r="N702" s="910"/>
      <c r="O702" s="911"/>
      <c r="P702" s="33" t="s">
        <v>47</v>
      </c>
      <c r="Q702" s="27">
        <v>0</v>
      </c>
      <c r="R702" s="27">
        <v>0</v>
      </c>
      <c r="S702" s="27">
        <v>0</v>
      </c>
      <c r="T702" s="27">
        <v>0</v>
      </c>
      <c r="U702" s="27">
        <v>0</v>
      </c>
      <c r="V702" s="27">
        <v>0</v>
      </c>
      <c r="W702" s="27">
        <v>0</v>
      </c>
      <c r="X702" s="27"/>
      <c r="Y702" s="27"/>
      <c r="Z702" s="27"/>
      <c r="AA702" s="27">
        <v>0</v>
      </c>
      <c r="AB702" s="27"/>
      <c r="AC702" s="27">
        <v>0</v>
      </c>
      <c r="AD702" s="27">
        <v>0</v>
      </c>
      <c r="AE702" s="27"/>
      <c r="AF702" s="27"/>
      <c r="AG702" s="27"/>
      <c r="AH702" s="27"/>
      <c r="AI702" s="27"/>
      <c r="AJ702" s="27"/>
      <c r="AK702" s="27">
        <v>0</v>
      </c>
      <c r="AL702" s="27"/>
      <c r="AM702" s="108">
        <f>20000000-20000000</f>
        <v>0</v>
      </c>
      <c r="AN702" s="560">
        <v>12800000</v>
      </c>
      <c r="AO702" s="27">
        <v>0</v>
      </c>
      <c r="AP702" s="27">
        <v>0</v>
      </c>
      <c r="AQ702" s="27"/>
      <c r="AR702" s="27">
        <f t="shared" si="497"/>
        <v>12800000</v>
      </c>
    </row>
    <row r="703" spans="1:44" s="165" customFormat="1" ht="15" x14ac:dyDescent="0.25">
      <c r="A703" s="21"/>
      <c r="B703" s="905"/>
      <c r="C703" s="801"/>
      <c r="D703" s="755"/>
      <c r="E703" s="727"/>
      <c r="F703" s="727"/>
      <c r="G703" s="802"/>
      <c r="H703" s="803"/>
      <c r="I703" s="802"/>
      <c r="J703" s="804"/>
      <c r="K703" s="804"/>
      <c r="L703" s="804"/>
      <c r="M703" s="804"/>
      <c r="N703" s="805"/>
      <c r="O703" s="806"/>
      <c r="P703" s="804"/>
      <c r="Q703" s="807">
        <f t="shared" ref="Q703:W703" si="598">SUM(Q700:Q702)</f>
        <v>0</v>
      </c>
      <c r="R703" s="807">
        <f t="shared" si="598"/>
        <v>0</v>
      </c>
      <c r="S703" s="807">
        <f t="shared" si="598"/>
        <v>0</v>
      </c>
      <c r="T703" s="807">
        <f t="shared" si="598"/>
        <v>0</v>
      </c>
      <c r="U703" s="807">
        <f t="shared" si="598"/>
        <v>0</v>
      </c>
      <c r="V703" s="807">
        <f t="shared" si="598"/>
        <v>0</v>
      </c>
      <c r="W703" s="807">
        <f t="shared" si="598"/>
        <v>0</v>
      </c>
      <c r="X703" s="807"/>
      <c r="Y703" s="807"/>
      <c r="Z703" s="807"/>
      <c r="AA703" s="807">
        <f t="shared" ref="AA703:AF703" si="599">SUM(AA700:AA702)</f>
        <v>0</v>
      </c>
      <c r="AB703" s="807">
        <f t="shared" si="599"/>
        <v>64567760</v>
      </c>
      <c r="AC703" s="807">
        <f t="shared" si="599"/>
        <v>0</v>
      </c>
      <c r="AD703" s="807">
        <f t="shared" si="599"/>
        <v>0</v>
      </c>
      <c r="AE703" s="807">
        <f t="shared" si="599"/>
        <v>0</v>
      </c>
      <c r="AF703" s="807">
        <f t="shared" si="599"/>
        <v>0</v>
      </c>
      <c r="AG703" s="807"/>
      <c r="AH703" s="807">
        <f t="shared" ref="AH703:AM703" si="600">SUM(AH700:AH702)</f>
        <v>0</v>
      </c>
      <c r="AI703" s="807">
        <f t="shared" si="600"/>
        <v>0</v>
      </c>
      <c r="AJ703" s="807">
        <f t="shared" si="600"/>
        <v>0</v>
      </c>
      <c r="AK703" s="807">
        <f t="shared" si="600"/>
        <v>0</v>
      </c>
      <c r="AL703" s="807">
        <f t="shared" si="600"/>
        <v>0</v>
      </c>
      <c r="AM703" s="808">
        <f t="shared" si="600"/>
        <v>50000000</v>
      </c>
      <c r="AN703" s="808">
        <f t="shared" ref="AN703:AO703" si="601">SUM(AN700:AN702)</f>
        <v>45604200</v>
      </c>
      <c r="AO703" s="808">
        <f t="shared" si="601"/>
        <v>0</v>
      </c>
      <c r="AP703" s="809">
        <f>SUM(AP700:AP702)</f>
        <v>0</v>
      </c>
      <c r="AQ703" s="809">
        <f>SUM(AQ700:AQ702)</f>
        <v>0</v>
      </c>
      <c r="AR703" s="809">
        <f t="shared" si="497"/>
        <v>160171960</v>
      </c>
    </row>
    <row r="704" spans="1:44" s="165" customFormat="1" ht="15" x14ac:dyDescent="0.25">
      <c r="A704" s="21"/>
      <c r="B704" s="905"/>
      <c r="C704" s="760"/>
      <c r="D704" s="183"/>
      <c r="E704" s="760"/>
      <c r="F704" s="760"/>
      <c r="G704" s="183"/>
      <c r="H704" s="760"/>
      <c r="I704" s="183"/>
      <c r="J704" s="760"/>
      <c r="K704" s="760"/>
      <c r="L704" s="830"/>
      <c r="M704" s="830"/>
      <c r="N704" s="833"/>
      <c r="O704" s="829"/>
      <c r="P704" s="760"/>
      <c r="Q704" s="186"/>
      <c r="R704" s="186"/>
      <c r="S704" s="186"/>
      <c r="T704" s="186"/>
      <c r="U704" s="186"/>
      <c r="V704" s="186"/>
      <c r="W704" s="186"/>
      <c r="X704" s="186"/>
      <c r="Y704" s="186"/>
      <c r="Z704" s="186"/>
      <c r="AA704" s="186"/>
      <c r="AB704" s="186"/>
      <c r="AC704" s="186"/>
      <c r="AD704" s="186"/>
      <c r="AE704" s="187"/>
      <c r="AF704" s="187"/>
      <c r="AG704" s="187"/>
      <c r="AH704" s="187"/>
      <c r="AI704" s="187"/>
      <c r="AJ704" s="187"/>
      <c r="AK704" s="186"/>
      <c r="AL704" s="186"/>
      <c r="AM704" s="188"/>
      <c r="AN704" s="189"/>
      <c r="AO704" s="186"/>
      <c r="AP704" s="186"/>
      <c r="AQ704" s="186"/>
      <c r="AR704" s="27">
        <f t="shared" si="497"/>
        <v>0</v>
      </c>
    </row>
    <row r="705" spans="1:44" s="165" customFormat="1" ht="15" x14ac:dyDescent="0.25">
      <c r="A705" s="21"/>
      <c r="B705" s="905"/>
      <c r="C705" s="760"/>
      <c r="D705" s="159"/>
      <c r="E705" s="604"/>
      <c r="F705" s="604"/>
      <c r="G705" s="337">
        <v>73</v>
      </c>
      <c r="H705" s="194" t="s">
        <v>872</v>
      </c>
      <c r="I705" s="194"/>
      <c r="J705" s="194"/>
      <c r="K705" s="194"/>
      <c r="L705" s="194"/>
      <c r="M705" s="194"/>
      <c r="N705" s="194"/>
      <c r="O705" s="194"/>
      <c r="P705" s="194"/>
      <c r="Q705" s="194"/>
      <c r="R705" s="194"/>
      <c r="S705" s="194"/>
      <c r="T705" s="194"/>
      <c r="U705" s="194"/>
      <c r="V705" s="194"/>
      <c r="W705" s="194"/>
      <c r="X705" s="194"/>
      <c r="Y705" s="194"/>
      <c r="Z705" s="194"/>
      <c r="AA705" s="194"/>
      <c r="AB705" s="194"/>
      <c r="AC705" s="194"/>
      <c r="AD705" s="194"/>
      <c r="AE705" s="194"/>
      <c r="AF705" s="194"/>
      <c r="AG705" s="194"/>
      <c r="AH705" s="194"/>
      <c r="AI705" s="194"/>
      <c r="AJ705" s="194"/>
      <c r="AK705" s="194"/>
      <c r="AL705" s="194"/>
      <c r="AM705" s="196"/>
      <c r="AN705" s="194"/>
      <c r="AO705" s="194"/>
      <c r="AP705" s="194"/>
      <c r="AQ705" s="194"/>
      <c r="AR705" s="532"/>
    </row>
    <row r="706" spans="1:44" s="165" customFormat="1" ht="65.099999999999994" customHeight="1" x14ac:dyDescent="0.25">
      <c r="A706" s="21"/>
      <c r="B706" s="905"/>
      <c r="C706" s="477">
        <v>36</v>
      </c>
      <c r="D706" s="483" t="s">
        <v>847</v>
      </c>
      <c r="E706" s="513">
        <v>0.4</v>
      </c>
      <c r="F706" s="499">
        <v>0.6</v>
      </c>
      <c r="G706" s="729"/>
      <c r="H706" s="718">
        <v>212</v>
      </c>
      <c r="I706" s="729" t="s">
        <v>873</v>
      </c>
      <c r="J706" s="738">
        <v>1</v>
      </c>
      <c r="K706" s="738">
        <v>1</v>
      </c>
      <c r="L706" s="738">
        <v>0.5</v>
      </c>
      <c r="M706" s="10" t="s">
        <v>849</v>
      </c>
      <c r="N706" s="720" t="s">
        <v>874</v>
      </c>
      <c r="O706" s="556" t="s">
        <v>899</v>
      </c>
      <c r="P706" s="33" t="s">
        <v>47</v>
      </c>
      <c r="Q706" s="81">
        <v>0</v>
      </c>
      <c r="R706" s="81">
        <v>0</v>
      </c>
      <c r="S706" s="81">
        <v>0</v>
      </c>
      <c r="T706" s="81">
        <v>0</v>
      </c>
      <c r="U706" s="81">
        <v>0</v>
      </c>
      <c r="V706" s="81">
        <v>0</v>
      </c>
      <c r="W706" s="81">
        <v>0</v>
      </c>
      <c r="X706" s="81"/>
      <c r="Y706" s="81"/>
      <c r="Z706" s="81"/>
      <c r="AA706" s="81">
        <v>0</v>
      </c>
      <c r="AB706" s="81"/>
      <c r="AC706" s="81">
        <v>0</v>
      </c>
      <c r="AD706" s="81">
        <v>0</v>
      </c>
      <c r="AE706" s="566"/>
      <c r="AF706" s="566"/>
      <c r="AG706" s="566"/>
      <c r="AH706" s="566"/>
      <c r="AI706" s="566"/>
      <c r="AJ706" s="566"/>
      <c r="AK706" s="81">
        <v>0</v>
      </c>
      <c r="AL706" s="81">
        <v>0</v>
      </c>
      <c r="AM706" s="108">
        <v>51200000</v>
      </c>
      <c r="AN706" s="567">
        <v>103500000</v>
      </c>
      <c r="AO706" s="81">
        <v>0</v>
      </c>
      <c r="AP706" s="775">
        <v>0</v>
      </c>
      <c r="AQ706" s="775"/>
      <c r="AR706" s="27">
        <f t="shared" si="497"/>
        <v>154700000</v>
      </c>
    </row>
    <row r="707" spans="1:44" s="49" customFormat="1" ht="20.25" x14ac:dyDescent="0.25">
      <c r="A707" s="21"/>
      <c r="B707" s="905"/>
      <c r="C707" s="885"/>
      <c r="D707" s="732"/>
      <c r="E707" s="726"/>
      <c r="F707" s="726"/>
      <c r="G707" s="225"/>
      <c r="H707" s="226"/>
      <c r="I707" s="225"/>
      <c r="J707" s="561"/>
      <c r="K707" s="561"/>
      <c r="L707" s="561"/>
      <c r="M707" s="561"/>
      <c r="N707" s="562"/>
      <c r="O707" s="563"/>
      <c r="P707" s="561"/>
      <c r="Q707" s="296">
        <f t="shared" ref="Q707:W707" si="602">SUM(Q706)</f>
        <v>0</v>
      </c>
      <c r="R707" s="296">
        <f t="shared" si="602"/>
        <v>0</v>
      </c>
      <c r="S707" s="296">
        <f t="shared" si="602"/>
        <v>0</v>
      </c>
      <c r="T707" s="296">
        <f t="shared" si="602"/>
        <v>0</v>
      </c>
      <c r="U707" s="296">
        <f t="shared" si="602"/>
        <v>0</v>
      </c>
      <c r="V707" s="296">
        <f t="shared" si="602"/>
        <v>0</v>
      </c>
      <c r="W707" s="296">
        <f t="shared" si="602"/>
        <v>0</v>
      </c>
      <c r="X707" s="296"/>
      <c r="Y707" s="296"/>
      <c r="Z707" s="296"/>
      <c r="AA707" s="296">
        <f t="shared" ref="AA707:AF707" si="603">SUM(AA706)</f>
        <v>0</v>
      </c>
      <c r="AB707" s="296">
        <f t="shared" si="603"/>
        <v>0</v>
      </c>
      <c r="AC707" s="296">
        <f t="shared" si="603"/>
        <v>0</v>
      </c>
      <c r="AD707" s="296">
        <f t="shared" si="603"/>
        <v>0</v>
      </c>
      <c r="AE707" s="296">
        <f t="shared" si="603"/>
        <v>0</v>
      </c>
      <c r="AF707" s="296">
        <f t="shared" si="603"/>
        <v>0</v>
      </c>
      <c r="AG707" s="296"/>
      <c r="AH707" s="296">
        <f t="shared" ref="AH707:AM707" si="604">SUM(AH706)</f>
        <v>0</v>
      </c>
      <c r="AI707" s="296">
        <f t="shared" si="604"/>
        <v>0</v>
      </c>
      <c r="AJ707" s="296">
        <f t="shared" si="604"/>
        <v>0</v>
      </c>
      <c r="AK707" s="296">
        <f t="shared" si="604"/>
        <v>0</v>
      </c>
      <c r="AL707" s="296">
        <f t="shared" si="604"/>
        <v>0</v>
      </c>
      <c r="AM707" s="564">
        <f t="shared" si="604"/>
        <v>51200000</v>
      </c>
      <c r="AN707" s="564">
        <f t="shared" ref="AN707:AO707" si="605">SUM(AN706)</f>
        <v>103500000</v>
      </c>
      <c r="AO707" s="564">
        <f t="shared" si="605"/>
        <v>0</v>
      </c>
      <c r="AP707" s="565">
        <f t="shared" ref="AP707" si="606">SUM(AP706)</f>
        <v>0</v>
      </c>
      <c r="AQ707" s="565">
        <f t="shared" ref="AQ707" si="607">SUM(AQ706)</f>
        <v>0</v>
      </c>
      <c r="AR707" s="565">
        <f t="shared" si="497"/>
        <v>154700000</v>
      </c>
    </row>
    <row r="708" spans="1:44" s="29" customFormat="1" ht="15" x14ac:dyDescent="0.25">
      <c r="A708" s="21"/>
      <c r="B708" s="824"/>
      <c r="C708" s="231"/>
      <c r="D708" s="230"/>
      <c r="E708" s="231"/>
      <c r="F708" s="231"/>
      <c r="G708" s="230"/>
      <c r="H708" s="231"/>
      <c r="I708" s="230"/>
      <c r="J708" s="568"/>
      <c r="K708" s="568"/>
      <c r="L708" s="568"/>
      <c r="M708" s="568"/>
      <c r="N708" s="569"/>
      <c r="O708" s="570"/>
      <c r="P708" s="568"/>
      <c r="Q708" s="390">
        <f t="shared" ref="Q708:W708" si="608">Q707+Q703</f>
        <v>0</v>
      </c>
      <c r="R708" s="390">
        <f t="shared" si="608"/>
        <v>0</v>
      </c>
      <c r="S708" s="390">
        <f t="shared" si="608"/>
        <v>0</v>
      </c>
      <c r="T708" s="390">
        <f t="shared" si="608"/>
        <v>0</v>
      </c>
      <c r="U708" s="390">
        <f t="shared" si="608"/>
        <v>0</v>
      </c>
      <c r="V708" s="390">
        <f t="shared" si="608"/>
        <v>0</v>
      </c>
      <c r="W708" s="390">
        <f t="shared" si="608"/>
        <v>0</v>
      </c>
      <c r="X708" s="390"/>
      <c r="Y708" s="390"/>
      <c r="Z708" s="390"/>
      <c r="AA708" s="390">
        <f t="shared" ref="AA708:AF708" si="609">AA707+AA703</f>
        <v>0</v>
      </c>
      <c r="AB708" s="390">
        <f t="shared" si="609"/>
        <v>64567760</v>
      </c>
      <c r="AC708" s="390">
        <f t="shared" si="609"/>
        <v>0</v>
      </c>
      <c r="AD708" s="390">
        <f t="shared" si="609"/>
        <v>0</v>
      </c>
      <c r="AE708" s="390">
        <f t="shared" si="609"/>
        <v>0</v>
      </c>
      <c r="AF708" s="390">
        <f t="shared" si="609"/>
        <v>0</v>
      </c>
      <c r="AG708" s="390"/>
      <c r="AH708" s="390">
        <f t="shared" ref="AH708:AM708" si="610">AH707+AH703</f>
        <v>0</v>
      </c>
      <c r="AI708" s="390">
        <f t="shared" si="610"/>
        <v>0</v>
      </c>
      <c r="AJ708" s="390">
        <f t="shared" si="610"/>
        <v>0</v>
      </c>
      <c r="AK708" s="390">
        <f t="shared" si="610"/>
        <v>0</v>
      </c>
      <c r="AL708" s="390">
        <f t="shared" si="610"/>
        <v>0</v>
      </c>
      <c r="AM708" s="571">
        <f t="shared" si="610"/>
        <v>101200000</v>
      </c>
      <c r="AN708" s="571">
        <f t="shared" ref="AN708:AO708" si="611">AN707+AN703</f>
        <v>149104200</v>
      </c>
      <c r="AO708" s="571">
        <f t="shared" si="611"/>
        <v>0</v>
      </c>
      <c r="AP708" s="572">
        <f t="shared" ref="AP708" si="612">AP707+AP703</f>
        <v>0</v>
      </c>
      <c r="AQ708" s="572">
        <f t="shared" ref="AQ708" si="613">AQ707+AQ703</f>
        <v>0</v>
      </c>
      <c r="AR708" s="572">
        <f t="shared" si="497"/>
        <v>314871960</v>
      </c>
    </row>
    <row r="709" spans="1:44" s="29" customFormat="1" ht="15" x14ac:dyDescent="0.25">
      <c r="A709" s="21"/>
      <c r="B709" s="183"/>
      <c r="C709" s="760"/>
      <c r="D709" s="183"/>
      <c r="E709" s="760"/>
      <c r="F709" s="760"/>
      <c r="G709" s="183"/>
      <c r="H709" s="760"/>
      <c r="I709" s="183"/>
      <c r="J709" s="760"/>
      <c r="K709" s="760"/>
      <c r="L709" s="830"/>
      <c r="M709" s="830"/>
      <c r="N709" s="833"/>
      <c r="O709" s="829"/>
      <c r="P709" s="760"/>
      <c r="Q709" s="186"/>
      <c r="R709" s="186"/>
      <c r="S709" s="186"/>
      <c r="T709" s="186"/>
      <c r="U709" s="186"/>
      <c r="V709" s="186"/>
      <c r="W709" s="186"/>
      <c r="X709" s="186"/>
      <c r="Y709" s="186"/>
      <c r="Z709" s="186"/>
      <c r="AA709" s="186"/>
      <c r="AB709" s="186"/>
      <c r="AC709" s="186"/>
      <c r="AD709" s="186"/>
      <c r="AE709" s="187"/>
      <c r="AF709" s="187"/>
      <c r="AG709" s="187"/>
      <c r="AH709" s="187"/>
      <c r="AI709" s="187"/>
      <c r="AJ709" s="187"/>
      <c r="AK709" s="186"/>
      <c r="AL709" s="186"/>
      <c r="AM709" s="188"/>
      <c r="AN709" s="186"/>
      <c r="AO709" s="186"/>
      <c r="AP709" s="186"/>
      <c r="AQ709" s="186"/>
      <c r="AR709" s="27">
        <f t="shared" si="497"/>
        <v>0</v>
      </c>
    </row>
    <row r="710" spans="1:44" s="29" customFormat="1" x14ac:dyDescent="0.25">
      <c r="A710" s="21"/>
      <c r="B710" s="573">
        <v>22</v>
      </c>
      <c r="C710" s="150" t="s">
        <v>875</v>
      </c>
      <c r="D710" s="149"/>
      <c r="E710" s="149"/>
      <c r="F710" s="149"/>
      <c r="G710" s="149"/>
      <c r="H710" s="150"/>
      <c r="I710" s="149"/>
      <c r="J710" s="149"/>
      <c r="K710" s="149"/>
      <c r="L710" s="149"/>
      <c r="M710" s="149"/>
      <c r="N710" s="151"/>
      <c r="O710" s="149"/>
      <c r="P710" s="149"/>
      <c r="Q710" s="149"/>
      <c r="R710" s="149"/>
      <c r="S710" s="149"/>
      <c r="T710" s="149"/>
      <c r="U710" s="149"/>
      <c r="V710" s="149"/>
      <c r="W710" s="149"/>
      <c r="X710" s="149"/>
      <c r="Y710" s="149"/>
      <c r="Z710" s="149"/>
      <c r="AA710" s="149"/>
      <c r="AB710" s="149"/>
      <c r="AC710" s="149"/>
      <c r="AD710" s="149"/>
      <c r="AE710" s="149"/>
      <c r="AF710" s="149"/>
      <c r="AG710" s="149"/>
      <c r="AH710" s="149"/>
      <c r="AI710" s="149"/>
      <c r="AJ710" s="149"/>
      <c r="AK710" s="149"/>
      <c r="AL710" s="149"/>
      <c r="AM710" s="152"/>
      <c r="AN710" s="149"/>
      <c r="AO710" s="149"/>
      <c r="AP710" s="149"/>
      <c r="AQ710" s="149"/>
      <c r="AR710" s="536"/>
    </row>
    <row r="711" spans="1:44" s="29" customFormat="1" x14ac:dyDescent="0.25">
      <c r="A711" s="21"/>
      <c r="B711" s="905"/>
      <c r="C711" s="760"/>
      <c r="D711" s="183"/>
      <c r="E711" s="760"/>
      <c r="F711" s="761"/>
      <c r="G711" s="337">
        <v>74</v>
      </c>
      <c r="H711" s="194" t="s">
        <v>876</v>
      </c>
      <c r="I711" s="194"/>
      <c r="J711" s="194"/>
      <c r="K711" s="194"/>
      <c r="L711" s="194"/>
      <c r="M711" s="194"/>
      <c r="N711" s="195"/>
      <c r="O711" s="194"/>
      <c r="P711" s="194"/>
      <c r="Q711" s="194"/>
      <c r="R711" s="194"/>
      <c r="S711" s="194"/>
      <c r="T711" s="194"/>
      <c r="U711" s="194"/>
      <c r="V711" s="194"/>
      <c r="W711" s="194"/>
      <c r="X711" s="194"/>
      <c r="Y711" s="194"/>
      <c r="Z711" s="194"/>
      <c r="AA711" s="194"/>
      <c r="AB711" s="194"/>
      <c r="AC711" s="194"/>
      <c r="AD711" s="194"/>
      <c r="AE711" s="194"/>
      <c r="AF711" s="194"/>
      <c r="AG711" s="194"/>
      <c r="AH711" s="194"/>
      <c r="AI711" s="194"/>
      <c r="AJ711" s="194"/>
      <c r="AK711" s="194"/>
      <c r="AL711" s="194"/>
      <c r="AM711" s="196"/>
      <c r="AN711" s="194"/>
      <c r="AO711" s="194"/>
      <c r="AP711" s="194"/>
      <c r="AQ711" s="194"/>
      <c r="AR711" s="532"/>
    </row>
    <row r="712" spans="1:44" s="29" customFormat="1" ht="65.099999999999994" customHeight="1" x14ac:dyDescent="0.25">
      <c r="A712" s="21"/>
      <c r="B712" s="905"/>
      <c r="C712" s="477">
        <v>36</v>
      </c>
      <c r="D712" s="483" t="s">
        <v>847</v>
      </c>
      <c r="E712" s="513">
        <v>0.4</v>
      </c>
      <c r="F712" s="499">
        <v>0.6</v>
      </c>
      <c r="G712" s="762"/>
      <c r="H712" s="767">
        <v>213</v>
      </c>
      <c r="I712" s="762" t="s">
        <v>877</v>
      </c>
      <c r="J712" s="33">
        <v>12</v>
      </c>
      <c r="K712" s="33">
        <v>12</v>
      </c>
      <c r="L712" s="33">
        <v>12</v>
      </c>
      <c r="M712" s="10" t="s">
        <v>849</v>
      </c>
      <c r="N712" s="720" t="s">
        <v>878</v>
      </c>
      <c r="O712" s="574" t="s">
        <v>879</v>
      </c>
      <c r="P712" s="33" t="s">
        <v>47</v>
      </c>
      <c r="Q712" s="27"/>
      <c r="R712" s="27"/>
      <c r="S712" s="27"/>
      <c r="T712" s="27"/>
      <c r="U712" s="27"/>
      <c r="V712" s="27"/>
      <c r="W712" s="27"/>
      <c r="X712" s="27"/>
      <c r="Y712" s="27"/>
      <c r="Z712" s="27"/>
      <c r="AA712" s="27"/>
      <c r="AB712" s="27"/>
      <c r="AC712" s="27"/>
      <c r="AD712" s="27"/>
      <c r="AE712" s="257"/>
      <c r="AF712" s="257"/>
      <c r="AG712" s="257"/>
      <c r="AH712" s="257"/>
      <c r="AI712" s="257"/>
      <c r="AJ712" s="257"/>
      <c r="AK712" s="27"/>
      <c r="AL712" s="27"/>
      <c r="AM712" s="108"/>
      <c r="AN712" s="40"/>
      <c r="AO712" s="27">
        <f>236949833+5875533</f>
        <v>242825366</v>
      </c>
      <c r="AP712" s="290"/>
      <c r="AQ712" s="290"/>
      <c r="AR712" s="27">
        <f t="shared" si="497"/>
        <v>242825366</v>
      </c>
    </row>
    <row r="713" spans="1:44" s="29" customFormat="1" ht="15" x14ac:dyDescent="0.25">
      <c r="A713" s="21"/>
      <c r="B713" s="905"/>
      <c r="C713" s="224"/>
      <c r="D713" s="159"/>
      <c r="E713" s="604"/>
      <c r="F713" s="604"/>
      <c r="G713" s="160"/>
      <c r="H713" s="161"/>
      <c r="I713" s="160"/>
      <c r="J713" s="311"/>
      <c r="K713" s="311"/>
      <c r="L713" s="311"/>
      <c r="M713" s="311"/>
      <c r="N713" s="380"/>
      <c r="O713" s="298"/>
      <c r="P713" s="311"/>
      <c r="Q713" s="164">
        <f t="shared" ref="Q713:W713" si="614">SUM(Q712)</f>
        <v>0</v>
      </c>
      <c r="R713" s="164">
        <f t="shared" si="614"/>
        <v>0</v>
      </c>
      <c r="S713" s="164">
        <f t="shared" si="614"/>
        <v>0</v>
      </c>
      <c r="T713" s="164">
        <f t="shared" si="614"/>
        <v>0</v>
      </c>
      <c r="U713" s="164">
        <f t="shared" si="614"/>
        <v>0</v>
      </c>
      <c r="V713" s="164">
        <f t="shared" si="614"/>
        <v>0</v>
      </c>
      <c r="W713" s="164">
        <f t="shared" si="614"/>
        <v>0</v>
      </c>
      <c r="X713" s="164"/>
      <c r="Y713" s="164"/>
      <c r="Z713" s="164"/>
      <c r="AA713" s="164">
        <f>SUM(AA712)</f>
        <v>0</v>
      </c>
      <c r="AB713" s="164"/>
      <c r="AC713" s="164">
        <f>SUM(AC712)</f>
        <v>0</v>
      </c>
      <c r="AD713" s="164">
        <f>SUM(AD712)</f>
        <v>0</v>
      </c>
      <c r="AE713" s="164">
        <f>SUM(AE712)</f>
        <v>0</v>
      </c>
      <c r="AF713" s="164">
        <f>SUM(AF712)</f>
        <v>0</v>
      </c>
      <c r="AG713" s="164"/>
      <c r="AH713" s="164">
        <f t="shared" ref="AH713:AM713" si="615">SUM(AH712)</f>
        <v>0</v>
      </c>
      <c r="AI713" s="164">
        <f t="shared" si="615"/>
        <v>0</v>
      </c>
      <c r="AJ713" s="164">
        <f t="shared" si="615"/>
        <v>0</v>
      </c>
      <c r="AK713" s="164">
        <f t="shared" si="615"/>
        <v>0</v>
      </c>
      <c r="AL713" s="164">
        <f t="shared" si="615"/>
        <v>0</v>
      </c>
      <c r="AM713" s="248">
        <f t="shared" si="615"/>
        <v>0</v>
      </c>
      <c r="AN713" s="248">
        <f t="shared" ref="AN713:AO713" si="616">SUM(AN712)</f>
        <v>0</v>
      </c>
      <c r="AO713" s="248">
        <f t="shared" si="616"/>
        <v>242825366</v>
      </c>
      <c r="AP713" s="164">
        <f t="shared" ref="AP713" si="617">SUM(AP712)</f>
        <v>0</v>
      </c>
      <c r="AQ713" s="164">
        <f t="shared" ref="AQ713" si="618">SUM(AQ712)</f>
        <v>0</v>
      </c>
      <c r="AR713" s="575">
        <f t="shared" si="497"/>
        <v>242825366</v>
      </c>
    </row>
    <row r="714" spans="1:44" s="29" customFormat="1" ht="15" x14ac:dyDescent="0.25">
      <c r="A714" s="158"/>
      <c r="B714" s="227"/>
      <c r="C714" s="168"/>
      <c r="D714" s="167"/>
      <c r="E714" s="168"/>
      <c r="F714" s="168"/>
      <c r="G714" s="167"/>
      <c r="H714" s="168"/>
      <c r="I714" s="167"/>
      <c r="J714" s="323"/>
      <c r="K714" s="323"/>
      <c r="L714" s="323"/>
      <c r="M714" s="323"/>
      <c r="N714" s="557"/>
      <c r="O714" s="558"/>
      <c r="P714" s="323"/>
      <c r="Q714" s="171">
        <f t="shared" ref="Q714:W714" si="619">Q713</f>
        <v>0</v>
      </c>
      <c r="R714" s="171">
        <f t="shared" si="619"/>
        <v>0</v>
      </c>
      <c r="S714" s="171">
        <f t="shared" si="619"/>
        <v>0</v>
      </c>
      <c r="T714" s="171">
        <f t="shared" si="619"/>
        <v>0</v>
      </c>
      <c r="U714" s="171">
        <f t="shared" si="619"/>
        <v>0</v>
      </c>
      <c r="V714" s="171">
        <f t="shared" si="619"/>
        <v>0</v>
      </c>
      <c r="W714" s="171">
        <f t="shared" si="619"/>
        <v>0</v>
      </c>
      <c r="X714" s="171"/>
      <c r="Y714" s="171"/>
      <c r="Z714" s="171"/>
      <c r="AA714" s="171">
        <f t="shared" ref="AA714:AF714" si="620">AA713</f>
        <v>0</v>
      </c>
      <c r="AB714" s="171">
        <f t="shared" si="620"/>
        <v>0</v>
      </c>
      <c r="AC714" s="171">
        <f t="shared" si="620"/>
        <v>0</v>
      </c>
      <c r="AD714" s="171">
        <f t="shared" si="620"/>
        <v>0</v>
      </c>
      <c r="AE714" s="171">
        <f t="shared" si="620"/>
        <v>0</v>
      </c>
      <c r="AF714" s="171">
        <f t="shared" si="620"/>
        <v>0</v>
      </c>
      <c r="AG714" s="171"/>
      <c r="AH714" s="171">
        <f t="shared" ref="AH714:AM714" si="621">AH713</f>
        <v>0</v>
      </c>
      <c r="AI714" s="171">
        <f t="shared" si="621"/>
        <v>0</v>
      </c>
      <c r="AJ714" s="171">
        <f t="shared" si="621"/>
        <v>0</v>
      </c>
      <c r="AK714" s="171">
        <f t="shared" si="621"/>
        <v>0</v>
      </c>
      <c r="AL714" s="171">
        <f t="shared" si="621"/>
        <v>0</v>
      </c>
      <c r="AM714" s="250">
        <f t="shared" si="621"/>
        <v>0</v>
      </c>
      <c r="AN714" s="250">
        <f t="shared" ref="AN714:AO714" si="622">AN713</f>
        <v>0</v>
      </c>
      <c r="AO714" s="250">
        <f t="shared" si="622"/>
        <v>242825366</v>
      </c>
      <c r="AP714" s="171">
        <f t="shared" ref="AP714" si="623">AP713</f>
        <v>0</v>
      </c>
      <c r="AQ714" s="171">
        <f t="shared" ref="AQ714" si="624">AQ713</f>
        <v>0</v>
      </c>
      <c r="AR714" s="576">
        <f t="shared" si="497"/>
        <v>242825366</v>
      </c>
    </row>
    <row r="715" spans="1:44" s="29" customFormat="1" ht="15" x14ac:dyDescent="0.25">
      <c r="A715" s="172"/>
      <c r="B715" s="172"/>
      <c r="C715" s="173"/>
      <c r="D715" s="172"/>
      <c r="E715" s="173"/>
      <c r="F715" s="173"/>
      <c r="G715" s="172"/>
      <c r="H715" s="173"/>
      <c r="I715" s="172"/>
      <c r="J715" s="332"/>
      <c r="K715" s="332"/>
      <c r="L715" s="332"/>
      <c r="M715" s="332"/>
      <c r="N715" s="577"/>
      <c r="O715" s="578"/>
      <c r="P715" s="332"/>
      <c r="Q715" s="176">
        <f t="shared" ref="Q715:W715" si="625">Q714+Q708+Q696</f>
        <v>0</v>
      </c>
      <c r="R715" s="176">
        <f t="shared" si="625"/>
        <v>0</v>
      </c>
      <c r="S715" s="176">
        <f t="shared" si="625"/>
        <v>0</v>
      </c>
      <c r="T715" s="176">
        <f t="shared" si="625"/>
        <v>0</v>
      </c>
      <c r="U715" s="176">
        <f t="shared" si="625"/>
        <v>0</v>
      </c>
      <c r="V715" s="176">
        <f t="shared" si="625"/>
        <v>0</v>
      </c>
      <c r="W715" s="176">
        <f t="shared" si="625"/>
        <v>0</v>
      </c>
      <c r="X715" s="176"/>
      <c r="Y715" s="176"/>
      <c r="Z715" s="176"/>
      <c r="AA715" s="176">
        <f t="shared" ref="AA715:AF715" si="626">AA714+AA708+AA696</f>
        <v>0</v>
      </c>
      <c r="AB715" s="176">
        <f t="shared" si="626"/>
        <v>730232093.80999994</v>
      </c>
      <c r="AC715" s="176">
        <f t="shared" si="626"/>
        <v>0</v>
      </c>
      <c r="AD715" s="176">
        <f t="shared" si="626"/>
        <v>0</v>
      </c>
      <c r="AE715" s="176">
        <f t="shared" si="626"/>
        <v>0</v>
      </c>
      <c r="AF715" s="176">
        <f t="shared" si="626"/>
        <v>0</v>
      </c>
      <c r="AG715" s="176"/>
      <c r="AH715" s="176">
        <f t="shared" ref="AH715:AM715" si="627">AH714+AH708+AH696</f>
        <v>0</v>
      </c>
      <c r="AI715" s="176">
        <f t="shared" si="627"/>
        <v>0</v>
      </c>
      <c r="AJ715" s="176">
        <f t="shared" si="627"/>
        <v>0</v>
      </c>
      <c r="AK715" s="176">
        <f t="shared" si="627"/>
        <v>0</v>
      </c>
      <c r="AL715" s="176">
        <f t="shared" si="627"/>
        <v>0</v>
      </c>
      <c r="AM715" s="252">
        <f t="shared" si="627"/>
        <v>1187907447</v>
      </c>
      <c r="AN715" s="252">
        <f t="shared" ref="AN715:AO715" si="628">AN714+AN708+AN696</f>
        <v>339747972</v>
      </c>
      <c r="AO715" s="252">
        <f t="shared" si="628"/>
        <v>248102262</v>
      </c>
      <c r="AP715" s="176">
        <f t="shared" ref="AP715" si="629">AP714+AP708+AP696</f>
        <v>0</v>
      </c>
      <c r="AQ715" s="176">
        <f t="shared" ref="AQ715" si="630">AQ714+AQ708+AQ696</f>
        <v>0</v>
      </c>
      <c r="AR715" s="579">
        <f t="shared" si="497"/>
        <v>2505989774.8099999</v>
      </c>
    </row>
    <row r="716" spans="1:44" s="49" customFormat="1" ht="20.25" x14ac:dyDescent="0.25">
      <c r="A716" s="177"/>
      <c r="B716" s="177"/>
      <c r="C716" s="178"/>
      <c r="D716" s="177"/>
      <c r="E716" s="178"/>
      <c r="F716" s="178"/>
      <c r="G716" s="177"/>
      <c r="H716" s="178"/>
      <c r="I716" s="177"/>
      <c r="J716" s="335"/>
      <c r="K716" s="335"/>
      <c r="L716" s="335"/>
      <c r="M716" s="335"/>
      <c r="N716" s="580"/>
      <c r="O716" s="496"/>
      <c r="P716" s="335"/>
      <c r="Q716" s="181">
        <f t="shared" ref="Q716:W716" si="631">Q715</f>
        <v>0</v>
      </c>
      <c r="R716" s="181">
        <f t="shared" si="631"/>
        <v>0</v>
      </c>
      <c r="S716" s="181">
        <f t="shared" si="631"/>
        <v>0</v>
      </c>
      <c r="T716" s="181">
        <f t="shared" si="631"/>
        <v>0</v>
      </c>
      <c r="U716" s="181">
        <f t="shared" si="631"/>
        <v>0</v>
      </c>
      <c r="V716" s="181">
        <f t="shared" si="631"/>
        <v>0</v>
      </c>
      <c r="W716" s="181">
        <f t="shared" si="631"/>
        <v>0</v>
      </c>
      <c r="X716" s="181"/>
      <c r="Y716" s="181"/>
      <c r="Z716" s="181"/>
      <c r="AA716" s="181">
        <f t="shared" ref="AA716:AF716" si="632">AA715</f>
        <v>0</v>
      </c>
      <c r="AB716" s="181">
        <f t="shared" si="632"/>
        <v>730232093.80999994</v>
      </c>
      <c r="AC716" s="181">
        <f t="shared" si="632"/>
        <v>0</v>
      </c>
      <c r="AD716" s="181">
        <f t="shared" si="632"/>
        <v>0</v>
      </c>
      <c r="AE716" s="181">
        <f t="shared" si="632"/>
        <v>0</v>
      </c>
      <c r="AF716" s="181">
        <f t="shared" si="632"/>
        <v>0</v>
      </c>
      <c r="AG716" s="181"/>
      <c r="AH716" s="181">
        <f t="shared" ref="AH716:AM716" si="633">AH715</f>
        <v>0</v>
      </c>
      <c r="AI716" s="181">
        <f t="shared" si="633"/>
        <v>0</v>
      </c>
      <c r="AJ716" s="181">
        <f t="shared" si="633"/>
        <v>0</v>
      </c>
      <c r="AK716" s="181">
        <f t="shared" si="633"/>
        <v>0</v>
      </c>
      <c r="AL716" s="181">
        <f t="shared" si="633"/>
        <v>0</v>
      </c>
      <c r="AM716" s="254">
        <f t="shared" si="633"/>
        <v>1187907447</v>
      </c>
      <c r="AN716" s="254">
        <f t="shared" ref="AN716:AO716" si="634">AN715</f>
        <v>339747972</v>
      </c>
      <c r="AO716" s="254">
        <f t="shared" si="634"/>
        <v>248102262</v>
      </c>
      <c r="AP716" s="181">
        <f t="shared" ref="AP716" si="635">AP715</f>
        <v>0</v>
      </c>
      <c r="AQ716" s="181">
        <f t="shared" ref="AQ716" si="636">AQ715</f>
        <v>0</v>
      </c>
      <c r="AR716" s="581">
        <f t="shared" si="497"/>
        <v>2505989774.8099999</v>
      </c>
    </row>
    <row r="717" spans="1:44" s="241" customFormat="1" ht="34.5" customHeight="1" x14ac:dyDescent="0.25">
      <c r="A717" s="886"/>
      <c r="B717" s="582"/>
      <c r="C717" s="542"/>
      <c r="D717" s="582"/>
      <c r="E717" s="582"/>
      <c r="F717" s="582"/>
      <c r="G717" s="582"/>
      <c r="H717" s="542"/>
      <c r="I717" s="582"/>
      <c r="J717" s="582"/>
      <c r="K717" s="582"/>
      <c r="L717" s="582"/>
      <c r="M717" s="582"/>
      <c r="N717" s="543"/>
      <c r="O717" s="582"/>
      <c r="P717" s="582"/>
      <c r="Q717" s="582"/>
      <c r="R717" s="582"/>
      <c r="S717" s="582"/>
      <c r="T717" s="582"/>
      <c r="U717" s="582"/>
      <c r="V717" s="582"/>
      <c r="W717" s="582"/>
      <c r="X717" s="582"/>
      <c r="Y717" s="582"/>
      <c r="Z717" s="582"/>
      <c r="AA717" s="582"/>
      <c r="AB717" s="582"/>
      <c r="AC717" s="582"/>
      <c r="AD717" s="582"/>
      <c r="AE717" s="582"/>
      <c r="AF717" s="582"/>
      <c r="AG717" s="582"/>
      <c r="AH717" s="582"/>
      <c r="AI717" s="582"/>
      <c r="AJ717" s="582"/>
      <c r="AK717" s="582"/>
      <c r="AL717" s="582"/>
      <c r="AM717" s="583"/>
      <c r="AN717" s="582"/>
      <c r="AO717" s="582"/>
      <c r="AP717" s="582"/>
      <c r="AQ717" s="582"/>
      <c r="AR717" s="887">
        <f t="shared" ref="AR717:AR745" si="637">Q717+R717+S717+T717+U717+V717+W717+X717+Y717+Z717+AA717+AB717+AC717+AD717+AE717+AF717+AG717+AH717+AI717+AJ717+AK717+AL717+AM717+AN717+AO717+AP717+AQ717</f>
        <v>0</v>
      </c>
    </row>
    <row r="718" spans="1:44" s="165" customFormat="1" ht="20.25" x14ac:dyDescent="0.25">
      <c r="A718" s="584" t="s">
        <v>880</v>
      </c>
      <c r="B718" s="584"/>
      <c r="C718" s="585"/>
      <c r="D718" s="584"/>
      <c r="E718" s="584"/>
      <c r="F718" s="584"/>
      <c r="G718" s="136"/>
      <c r="H718" s="137"/>
      <c r="I718" s="136"/>
      <c r="J718" s="136"/>
      <c r="K718" s="136"/>
      <c r="L718" s="136"/>
      <c r="M718" s="136"/>
      <c r="N718" s="138"/>
      <c r="O718" s="136"/>
      <c r="P718" s="137"/>
      <c r="Q718" s="136"/>
      <c r="R718" s="136"/>
      <c r="S718" s="136"/>
      <c r="T718" s="136"/>
      <c r="U718" s="136"/>
      <c r="V718" s="136"/>
      <c r="W718" s="136"/>
      <c r="X718" s="136"/>
      <c r="Y718" s="136"/>
      <c r="Z718" s="136"/>
      <c r="AA718" s="136"/>
      <c r="AB718" s="136"/>
      <c r="AC718" s="136"/>
      <c r="AD718" s="136"/>
      <c r="AE718" s="136"/>
      <c r="AF718" s="136"/>
      <c r="AG718" s="136"/>
      <c r="AH718" s="136"/>
      <c r="AI718" s="136"/>
      <c r="AJ718" s="136"/>
      <c r="AK718" s="136"/>
      <c r="AL718" s="136"/>
      <c r="AM718" s="139"/>
      <c r="AN718" s="140"/>
      <c r="AO718" s="136"/>
      <c r="AP718" s="136"/>
      <c r="AQ718" s="136"/>
      <c r="AR718" s="586"/>
    </row>
    <row r="719" spans="1:44" s="165" customFormat="1" x14ac:dyDescent="0.25">
      <c r="A719" s="737">
        <v>2</v>
      </c>
      <c r="B719" s="951" t="s">
        <v>122</v>
      </c>
      <c r="C719" s="951"/>
      <c r="D719" s="951"/>
      <c r="E719" s="951"/>
      <c r="F719" s="365"/>
      <c r="G719" s="587"/>
      <c r="H719" s="588"/>
      <c r="I719" s="587"/>
      <c r="J719" s="587"/>
      <c r="K719" s="587"/>
      <c r="L719" s="587"/>
      <c r="M719" s="587"/>
      <c r="N719" s="589"/>
      <c r="O719" s="587"/>
      <c r="P719" s="587"/>
      <c r="Q719" s="587"/>
      <c r="R719" s="587"/>
      <c r="S719" s="587"/>
      <c r="T719" s="587"/>
      <c r="U719" s="587"/>
      <c r="V719" s="587"/>
      <c r="W719" s="587"/>
      <c r="X719" s="587"/>
      <c r="Y719" s="587"/>
      <c r="Z719" s="587"/>
      <c r="AA719" s="587"/>
      <c r="AB719" s="587"/>
      <c r="AC719" s="587"/>
      <c r="AD719" s="587"/>
      <c r="AE719" s="587"/>
      <c r="AF719" s="587"/>
      <c r="AG719" s="587"/>
      <c r="AH719" s="587"/>
      <c r="AI719" s="587"/>
      <c r="AJ719" s="587"/>
      <c r="AK719" s="587"/>
      <c r="AL719" s="587"/>
      <c r="AM719" s="590"/>
      <c r="AN719" s="587"/>
      <c r="AO719" s="587"/>
      <c r="AP719" s="587"/>
      <c r="AQ719" s="587"/>
      <c r="AR719" s="365"/>
    </row>
    <row r="720" spans="1:44" s="165" customFormat="1" x14ac:dyDescent="0.25">
      <c r="A720" s="591"/>
      <c r="B720" s="269">
        <v>4</v>
      </c>
      <c r="C720" s="952" t="s">
        <v>123</v>
      </c>
      <c r="D720" s="952"/>
      <c r="E720" s="952"/>
      <c r="F720" s="952"/>
      <c r="G720" s="592"/>
      <c r="H720" s="593"/>
      <c r="I720" s="592"/>
      <c r="J720" s="592"/>
      <c r="K720" s="592"/>
      <c r="L720" s="592"/>
      <c r="M720" s="592"/>
      <c r="N720" s="594"/>
      <c r="O720" s="592"/>
      <c r="P720" s="592"/>
      <c r="Q720" s="592"/>
      <c r="R720" s="592"/>
      <c r="S720" s="592"/>
      <c r="T720" s="592"/>
      <c r="U720" s="592"/>
      <c r="V720" s="592"/>
      <c r="W720" s="592"/>
      <c r="X720" s="592"/>
      <c r="Y720" s="592"/>
      <c r="Z720" s="592"/>
      <c r="AA720" s="592"/>
      <c r="AB720" s="592"/>
      <c r="AC720" s="592"/>
      <c r="AD720" s="592"/>
      <c r="AE720" s="592"/>
      <c r="AF720" s="592"/>
      <c r="AG720" s="592"/>
      <c r="AH720" s="592"/>
      <c r="AI720" s="592"/>
      <c r="AJ720" s="592"/>
      <c r="AK720" s="592"/>
      <c r="AL720" s="592"/>
      <c r="AM720" s="595"/>
      <c r="AN720" s="592"/>
      <c r="AO720" s="592"/>
      <c r="AP720" s="592"/>
      <c r="AQ720" s="592"/>
      <c r="AR720" s="596"/>
    </row>
    <row r="721" spans="1:44" s="29" customFormat="1" x14ac:dyDescent="0.25">
      <c r="A721" s="472"/>
      <c r="B721" s="472"/>
      <c r="C721" s="715"/>
      <c r="D721" s="472"/>
      <c r="E721" s="472"/>
      <c r="F721" s="472"/>
      <c r="G721" s="337">
        <v>14</v>
      </c>
      <c r="H721" s="194" t="s">
        <v>124</v>
      </c>
      <c r="I721" s="194"/>
      <c r="J721" s="194"/>
      <c r="K721" s="194"/>
      <c r="L721" s="194"/>
      <c r="M721" s="194"/>
      <c r="N721" s="195"/>
      <c r="O721" s="194"/>
      <c r="P721" s="194"/>
      <c r="Q721" s="194"/>
      <c r="R721" s="194"/>
      <c r="S721" s="194"/>
      <c r="T721" s="194"/>
      <c r="U721" s="194"/>
      <c r="V721" s="194"/>
      <c r="W721" s="194"/>
      <c r="X721" s="194"/>
      <c r="Y721" s="194"/>
      <c r="Z721" s="194"/>
      <c r="AA721" s="194"/>
      <c r="AB721" s="194"/>
      <c r="AC721" s="194"/>
      <c r="AD721" s="194"/>
      <c r="AE721" s="194"/>
      <c r="AF721" s="194"/>
      <c r="AG721" s="194"/>
      <c r="AH721" s="194"/>
      <c r="AI721" s="194"/>
      <c r="AJ721" s="194"/>
      <c r="AK721" s="194"/>
      <c r="AL721" s="194"/>
      <c r="AM721" s="196"/>
      <c r="AN721" s="194"/>
      <c r="AO721" s="194"/>
      <c r="AP721" s="194"/>
      <c r="AQ721" s="194"/>
      <c r="AR721" s="197"/>
    </row>
    <row r="722" spans="1:44" s="29" customFormat="1" ht="85.5" x14ac:dyDescent="0.25">
      <c r="A722" s="190"/>
      <c r="B722" s="190"/>
      <c r="C722" s="718">
        <v>7</v>
      </c>
      <c r="D722" s="729" t="s">
        <v>881</v>
      </c>
      <c r="E722" s="753">
        <v>0.317</v>
      </c>
      <c r="F722" s="770">
        <v>0.27</v>
      </c>
      <c r="G722" s="97"/>
      <c r="H722" s="888">
        <v>54</v>
      </c>
      <c r="I722" s="729" t="s">
        <v>126</v>
      </c>
      <c r="J722" s="757">
        <v>129.85</v>
      </c>
      <c r="K722" s="757">
        <v>130</v>
      </c>
      <c r="L722" s="757">
        <v>4</v>
      </c>
      <c r="M722" s="757" t="s">
        <v>882</v>
      </c>
      <c r="N722" s="720" t="s">
        <v>883</v>
      </c>
      <c r="O722" s="740" t="s">
        <v>884</v>
      </c>
      <c r="P722" s="718" t="s">
        <v>47</v>
      </c>
      <c r="Q722" s="81"/>
      <c r="R722" s="81"/>
      <c r="S722" s="81"/>
      <c r="T722" s="81"/>
      <c r="U722" s="81"/>
      <c r="V722" s="871"/>
      <c r="W722" s="81"/>
      <c r="X722" s="81"/>
      <c r="Y722" s="81"/>
      <c r="Z722" s="81"/>
      <c r="AA722" s="81"/>
      <c r="AB722" s="81"/>
      <c r="AC722" s="81"/>
      <c r="AD722" s="81"/>
      <c r="AE722" s="81"/>
      <c r="AF722" s="81"/>
      <c r="AG722" s="81"/>
      <c r="AH722" s="81"/>
      <c r="AI722" s="81"/>
      <c r="AJ722" s="81"/>
      <c r="AK722" s="81"/>
      <c r="AL722" s="81"/>
      <c r="AM722" s="113">
        <v>0</v>
      </c>
      <c r="AN722" s="82"/>
      <c r="AO722" s="889">
        <f>264000000-104149220+55000000</f>
        <v>214850780</v>
      </c>
      <c r="AP722" s="775"/>
      <c r="AQ722" s="775"/>
      <c r="AR722" s="81">
        <f t="shared" si="637"/>
        <v>214850780</v>
      </c>
    </row>
    <row r="723" spans="1:44" s="29" customFormat="1" ht="16.5" x14ac:dyDescent="0.25">
      <c r="A723" s="639"/>
      <c r="B723" s="639"/>
      <c r="C723" s="121"/>
      <c r="D723" s="13"/>
      <c r="E723" s="640"/>
      <c r="F723" s="641"/>
      <c r="G723" s="652"/>
      <c r="H723" s="642"/>
      <c r="I723" s="643"/>
      <c r="J723" s="644"/>
      <c r="K723" s="644"/>
      <c r="L723" s="644"/>
      <c r="M723" s="644"/>
      <c r="N723" s="653"/>
      <c r="O723" s="645"/>
      <c r="P723" s="646"/>
      <c r="Q723" s="122"/>
      <c r="R723" s="122"/>
      <c r="S723" s="122"/>
      <c r="T723" s="122"/>
      <c r="U723" s="122"/>
      <c r="V723" s="369"/>
      <c r="W723" s="122"/>
      <c r="X723" s="122"/>
      <c r="Y723" s="122"/>
      <c r="Z723" s="122"/>
      <c r="AA723" s="122"/>
      <c r="AB723" s="122"/>
      <c r="AC723" s="122"/>
      <c r="AD723" s="122"/>
      <c r="AE723" s="122"/>
      <c r="AF723" s="122"/>
      <c r="AG723" s="122"/>
      <c r="AH723" s="122"/>
      <c r="AI723" s="122"/>
      <c r="AJ723" s="122"/>
      <c r="AK723" s="122"/>
      <c r="AL723" s="122"/>
      <c r="AM723" s="368"/>
      <c r="AN723" s="654"/>
      <c r="AO723" s="816">
        <f>SUM(AO722)</f>
        <v>214850780</v>
      </c>
      <c r="AP723" s="122"/>
      <c r="AQ723" s="122"/>
      <c r="AR723" s="122">
        <f t="shared" si="637"/>
        <v>214850780</v>
      </c>
    </row>
    <row r="724" spans="1:44" s="29" customFormat="1" ht="16.5" x14ac:dyDescent="0.25">
      <c r="A724" s="158"/>
      <c r="B724" s="158"/>
      <c r="C724" s="723"/>
      <c r="D724" s="731"/>
      <c r="E724" s="754"/>
      <c r="F724" s="746"/>
      <c r="G724" s="97"/>
      <c r="H724" s="647"/>
      <c r="I724" s="417"/>
      <c r="J724" s="648"/>
      <c r="K724" s="648"/>
      <c r="L724" s="648"/>
      <c r="M724" s="648"/>
      <c r="N724" s="649"/>
      <c r="O724" s="650"/>
      <c r="P724" s="768"/>
      <c r="Q724" s="284"/>
      <c r="R724" s="284"/>
      <c r="S724" s="284"/>
      <c r="T724" s="284"/>
      <c r="U724" s="284"/>
      <c r="V724" s="651"/>
      <c r="W724" s="284"/>
      <c r="X724" s="284"/>
      <c r="Y724" s="284"/>
      <c r="Z724" s="284"/>
      <c r="AA724" s="284"/>
      <c r="AB724" s="284"/>
      <c r="AC724" s="284"/>
      <c r="AD724" s="284"/>
      <c r="AE724" s="284"/>
      <c r="AF724" s="284"/>
      <c r="AG724" s="284"/>
      <c r="AH724" s="284"/>
      <c r="AI724" s="284"/>
      <c r="AJ724" s="284"/>
      <c r="AK724" s="284"/>
      <c r="AL724" s="284"/>
      <c r="AM724" s="285"/>
      <c r="AN724" s="286"/>
      <c r="AO724" s="817"/>
      <c r="AP724" s="284"/>
      <c r="AQ724" s="284"/>
      <c r="AR724" s="424">
        <f t="shared" si="637"/>
        <v>0</v>
      </c>
    </row>
    <row r="725" spans="1:44" s="29" customFormat="1" x14ac:dyDescent="0.25">
      <c r="A725" s="472"/>
      <c r="B725" s="472"/>
      <c r="C725" s="767"/>
      <c r="D725" s="86"/>
      <c r="E725" s="86"/>
      <c r="F725" s="86"/>
      <c r="G725" s="337">
        <v>15</v>
      </c>
      <c r="H725" s="194" t="s">
        <v>132</v>
      </c>
      <c r="I725" s="194"/>
      <c r="J725" s="194"/>
      <c r="K725" s="194"/>
      <c r="L725" s="194"/>
      <c r="M725" s="194"/>
      <c r="N725" s="195"/>
      <c r="O725" s="194"/>
      <c r="P725" s="194"/>
      <c r="Q725" s="245">
        <f t="shared" ref="Q725:AF725" si="638">SUM(Q722)</f>
        <v>0</v>
      </c>
      <c r="R725" s="245">
        <f t="shared" si="638"/>
        <v>0</v>
      </c>
      <c r="S725" s="245">
        <f t="shared" si="638"/>
        <v>0</v>
      </c>
      <c r="T725" s="245">
        <f t="shared" si="638"/>
        <v>0</v>
      </c>
      <c r="U725" s="245">
        <f t="shared" si="638"/>
        <v>0</v>
      </c>
      <c r="V725" s="245">
        <f t="shared" si="638"/>
        <v>0</v>
      </c>
      <c r="W725" s="245">
        <f t="shared" si="638"/>
        <v>0</v>
      </c>
      <c r="X725" s="245">
        <f t="shared" si="638"/>
        <v>0</v>
      </c>
      <c r="Y725" s="245">
        <f t="shared" si="638"/>
        <v>0</v>
      </c>
      <c r="Z725" s="245">
        <f t="shared" si="638"/>
        <v>0</v>
      </c>
      <c r="AA725" s="245">
        <f t="shared" si="638"/>
        <v>0</v>
      </c>
      <c r="AB725" s="245">
        <f t="shared" si="638"/>
        <v>0</v>
      </c>
      <c r="AC725" s="245">
        <f t="shared" si="638"/>
        <v>0</v>
      </c>
      <c r="AD725" s="245">
        <f t="shared" si="638"/>
        <v>0</v>
      </c>
      <c r="AE725" s="245">
        <f t="shared" si="638"/>
        <v>0</v>
      </c>
      <c r="AF725" s="245">
        <f t="shared" si="638"/>
        <v>0</v>
      </c>
      <c r="AG725" s="245"/>
      <c r="AH725" s="245">
        <f t="shared" ref="AH725:AM725" si="639">SUM(AH722)</f>
        <v>0</v>
      </c>
      <c r="AI725" s="245">
        <f t="shared" si="639"/>
        <v>0</v>
      </c>
      <c r="AJ725" s="245">
        <f t="shared" si="639"/>
        <v>0</v>
      </c>
      <c r="AK725" s="245">
        <f t="shared" si="639"/>
        <v>0</v>
      </c>
      <c r="AL725" s="245">
        <f t="shared" si="639"/>
        <v>0</v>
      </c>
      <c r="AM725" s="196">
        <f t="shared" si="639"/>
        <v>0</v>
      </c>
      <c r="AN725" s="245"/>
      <c r="AO725" s="245"/>
      <c r="AP725" s="245">
        <f>SUM(AP722)</f>
        <v>0</v>
      </c>
      <c r="AQ725" s="245">
        <f>SUM(AQ722)</f>
        <v>0</v>
      </c>
      <c r="AR725" s="890">
        <f t="shared" si="637"/>
        <v>0</v>
      </c>
    </row>
    <row r="726" spans="1:44" s="29" customFormat="1" ht="98.25" customHeight="1" x14ac:dyDescent="0.25">
      <c r="A726" s="472"/>
      <c r="B726" s="472"/>
      <c r="C726" s="767">
        <v>7</v>
      </c>
      <c r="D726" s="762" t="s">
        <v>881</v>
      </c>
      <c r="E726" s="83">
        <v>0.317</v>
      </c>
      <c r="F726" s="80">
        <v>0.27</v>
      </c>
      <c r="G726" s="97"/>
      <c r="H726" s="767">
        <v>59</v>
      </c>
      <c r="I726" s="762" t="s">
        <v>139</v>
      </c>
      <c r="J726" s="12">
        <v>82</v>
      </c>
      <c r="K726" s="9">
        <v>12</v>
      </c>
      <c r="L726" s="9">
        <v>10</v>
      </c>
      <c r="M726" s="953" t="s">
        <v>135</v>
      </c>
      <c r="N726" s="927" t="s">
        <v>883</v>
      </c>
      <c r="O726" s="956" t="s">
        <v>884</v>
      </c>
      <c r="P726" s="6" t="s">
        <v>42</v>
      </c>
      <c r="Q726" s="257">
        <v>0</v>
      </c>
      <c r="R726" s="257">
        <v>0</v>
      </c>
      <c r="S726" s="818">
        <f>350000000+181666666+117391386</f>
        <v>649058052</v>
      </c>
      <c r="T726" s="257">
        <v>0</v>
      </c>
      <c r="U726" s="257">
        <v>0</v>
      </c>
      <c r="V726" s="257">
        <v>0</v>
      </c>
      <c r="W726" s="257">
        <v>0</v>
      </c>
      <c r="X726" s="257"/>
      <c r="Y726" s="257"/>
      <c r="Z726" s="257"/>
      <c r="AA726" s="257">
        <v>0</v>
      </c>
      <c r="AB726" s="257"/>
      <c r="AC726" s="257">
        <v>0</v>
      </c>
      <c r="AD726" s="257">
        <v>0</v>
      </c>
      <c r="AE726" s="257"/>
      <c r="AF726" s="257"/>
      <c r="AG726" s="257"/>
      <c r="AH726" s="257"/>
      <c r="AI726" s="257"/>
      <c r="AJ726" s="257"/>
      <c r="AK726" s="257">
        <v>0</v>
      </c>
      <c r="AL726" s="257">
        <v>0</v>
      </c>
      <c r="AM726" s="112">
        <v>0</v>
      </c>
      <c r="AN726" s="327"/>
      <c r="AO726" s="818">
        <f>70000000-35149220</f>
        <v>34850780</v>
      </c>
      <c r="AP726" s="478">
        <v>0</v>
      </c>
      <c r="AQ726" s="478"/>
      <c r="AR726" s="27">
        <f t="shared" si="637"/>
        <v>683908832</v>
      </c>
    </row>
    <row r="727" spans="1:44" s="29" customFormat="1" ht="111" customHeight="1" x14ac:dyDescent="0.25">
      <c r="A727" s="472"/>
      <c r="B727" s="472"/>
      <c r="C727" s="767">
        <v>7</v>
      </c>
      <c r="D727" s="762" t="s">
        <v>881</v>
      </c>
      <c r="E727" s="83">
        <v>0.317</v>
      </c>
      <c r="F727" s="80">
        <v>0.27</v>
      </c>
      <c r="G727" s="97"/>
      <c r="H727" s="767">
        <v>57</v>
      </c>
      <c r="I727" s="762" t="s">
        <v>134</v>
      </c>
      <c r="J727" s="12">
        <v>103</v>
      </c>
      <c r="K727" s="22">
        <v>12</v>
      </c>
      <c r="L727" s="22">
        <v>4</v>
      </c>
      <c r="M727" s="954"/>
      <c r="N727" s="928"/>
      <c r="O727" s="957"/>
      <c r="P727" s="6" t="s">
        <v>42</v>
      </c>
      <c r="Q727" s="257"/>
      <c r="R727" s="257"/>
      <c r="S727" s="818">
        <f>400000000+131666666+117391387</f>
        <v>649058053</v>
      </c>
      <c r="T727" s="257"/>
      <c r="U727" s="257"/>
      <c r="V727" s="257"/>
      <c r="W727" s="257"/>
      <c r="X727" s="257"/>
      <c r="Y727" s="257"/>
      <c r="Z727" s="257"/>
      <c r="AA727" s="257"/>
      <c r="AB727" s="257"/>
      <c r="AC727" s="257"/>
      <c r="AD727" s="257"/>
      <c r="AE727" s="257"/>
      <c r="AF727" s="257"/>
      <c r="AG727" s="257"/>
      <c r="AH727" s="257"/>
      <c r="AI727" s="257"/>
      <c r="AJ727" s="257"/>
      <c r="AK727" s="257"/>
      <c r="AL727" s="257"/>
      <c r="AM727" s="112"/>
      <c r="AN727" s="327"/>
      <c r="AO727" s="818">
        <f>70000000-35149220</f>
        <v>34850780</v>
      </c>
      <c r="AP727" s="597"/>
      <c r="AQ727" s="597"/>
      <c r="AR727" s="27">
        <f t="shared" si="637"/>
        <v>683908833</v>
      </c>
    </row>
    <row r="728" spans="1:44" s="165" customFormat="1" ht="95.25" customHeight="1" x14ac:dyDescent="0.25">
      <c r="A728" s="472"/>
      <c r="B728" s="472"/>
      <c r="C728" s="767">
        <v>7</v>
      </c>
      <c r="D728" s="762" t="s">
        <v>881</v>
      </c>
      <c r="E728" s="83">
        <v>0.317</v>
      </c>
      <c r="F728" s="80">
        <v>0.27</v>
      </c>
      <c r="G728" s="97"/>
      <c r="H728" s="767">
        <v>60</v>
      </c>
      <c r="I728" s="762" t="s">
        <v>932</v>
      </c>
      <c r="J728" s="12">
        <v>9</v>
      </c>
      <c r="K728" s="22">
        <v>12</v>
      </c>
      <c r="L728" s="22">
        <v>18</v>
      </c>
      <c r="M728" s="954"/>
      <c r="N728" s="928"/>
      <c r="O728" s="957"/>
      <c r="P728" s="6" t="s">
        <v>42</v>
      </c>
      <c r="Q728" s="257">
        <v>0</v>
      </c>
      <c r="R728" s="257">
        <v>0</v>
      </c>
      <c r="S728" s="818">
        <f>100000000-100000000</f>
        <v>0</v>
      </c>
      <c r="T728" s="257">
        <v>0</v>
      </c>
      <c r="U728" s="257">
        <v>0</v>
      </c>
      <c r="V728" s="257">
        <v>0</v>
      </c>
      <c r="W728" s="257">
        <v>0</v>
      </c>
      <c r="X728" s="257"/>
      <c r="Y728" s="257"/>
      <c r="Z728" s="257"/>
      <c r="AA728" s="257">
        <v>0</v>
      </c>
      <c r="AB728" s="257"/>
      <c r="AC728" s="257">
        <v>0</v>
      </c>
      <c r="AD728" s="257">
        <v>0</v>
      </c>
      <c r="AE728" s="257"/>
      <c r="AF728" s="257"/>
      <c r="AG728" s="257"/>
      <c r="AH728" s="257"/>
      <c r="AI728" s="257"/>
      <c r="AJ728" s="257"/>
      <c r="AK728" s="257">
        <v>0</v>
      </c>
      <c r="AL728" s="257">
        <v>0</v>
      </c>
      <c r="AM728" s="112"/>
      <c r="AN728" s="327"/>
      <c r="AO728" s="27">
        <f>254850780+59917107</f>
        <v>314767887</v>
      </c>
      <c r="AP728" s="478">
        <v>0</v>
      </c>
      <c r="AQ728" s="478"/>
      <c r="AR728" s="27">
        <f t="shared" si="637"/>
        <v>314767887</v>
      </c>
    </row>
    <row r="729" spans="1:44" s="165" customFormat="1" ht="65.25" customHeight="1" thickBot="1" x14ac:dyDescent="0.3">
      <c r="A729" s="472"/>
      <c r="B729" s="472"/>
      <c r="C729" s="767">
        <v>7</v>
      </c>
      <c r="D729" s="762" t="s">
        <v>881</v>
      </c>
      <c r="E729" s="83">
        <v>0.317</v>
      </c>
      <c r="F729" s="80">
        <v>0.27</v>
      </c>
      <c r="G729" s="97"/>
      <c r="H729" s="6">
        <v>63</v>
      </c>
      <c r="I729" s="7" t="s">
        <v>142</v>
      </c>
      <c r="J729" s="12" t="s">
        <v>38</v>
      </c>
      <c r="K729" s="22">
        <v>250</v>
      </c>
      <c r="L729" s="22">
        <v>270</v>
      </c>
      <c r="M729" s="955"/>
      <c r="N729" s="929"/>
      <c r="O729" s="958"/>
      <c r="P729" s="6" t="s">
        <v>42</v>
      </c>
      <c r="Q729" s="257"/>
      <c r="R729" s="257"/>
      <c r="S729" s="27">
        <f>695000000-213333332+117391386</f>
        <v>599058054</v>
      </c>
      <c r="T729" s="257"/>
      <c r="U729" s="257"/>
      <c r="V729" s="257"/>
      <c r="W729" s="257"/>
      <c r="X729" s="257"/>
      <c r="Y729" s="257"/>
      <c r="Z729" s="257"/>
      <c r="AA729" s="257"/>
      <c r="AB729" s="257"/>
      <c r="AC729" s="257"/>
      <c r="AD729" s="257"/>
      <c r="AE729" s="257"/>
      <c r="AF729" s="257"/>
      <c r="AG729" s="257"/>
      <c r="AH729" s="257"/>
      <c r="AI729" s="257"/>
      <c r="AJ729" s="257"/>
      <c r="AK729" s="257"/>
      <c r="AL729" s="257"/>
      <c r="AM729" s="598"/>
      <c r="AN729" s="599"/>
      <c r="AO729" s="27">
        <f>180253900-80403120</f>
        <v>99850780</v>
      </c>
      <c r="AP729" s="478"/>
      <c r="AQ729" s="478"/>
      <c r="AR729" s="27">
        <f t="shared" si="637"/>
        <v>698908834</v>
      </c>
    </row>
    <row r="730" spans="1:44" s="165" customFormat="1" ht="15" x14ac:dyDescent="0.25">
      <c r="A730" s="591"/>
      <c r="B730" s="472"/>
      <c r="C730" s="767"/>
      <c r="D730" s="762"/>
      <c r="E730" s="767"/>
      <c r="F730" s="767"/>
      <c r="G730" s="412"/>
      <c r="H730" s="161"/>
      <c r="I730" s="160"/>
      <c r="J730" s="256"/>
      <c r="K730" s="256"/>
      <c r="L730" s="256"/>
      <c r="M730" s="256"/>
      <c r="N730" s="163"/>
      <c r="O730" s="160"/>
      <c r="P730" s="161"/>
      <c r="Q730" s="164">
        <f t="shared" ref="Q730:AF730" si="640">SUM(Q726:Q729)</f>
        <v>0</v>
      </c>
      <c r="R730" s="164">
        <f t="shared" si="640"/>
        <v>0</v>
      </c>
      <c r="S730" s="164">
        <f t="shared" si="640"/>
        <v>1897174159</v>
      </c>
      <c r="T730" s="164">
        <f t="shared" si="640"/>
        <v>0</v>
      </c>
      <c r="U730" s="164">
        <f t="shared" si="640"/>
        <v>0</v>
      </c>
      <c r="V730" s="164">
        <f t="shared" si="640"/>
        <v>0</v>
      </c>
      <c r="W730" s="164">
        <f t="shared" si="640"/>
        <v>0</v>
      </c>
      <c r="X730" s="164">
        <f t="shared" si="640"/>
        <v>0</v>
      </c>
      <c r="Y730" s="164">
        <f t="shared" si="640"/>
        <v>0</v>
      </c>
      <c r="Z730" s="164">
        <f t="shared" si="640"/>
        <v>0</v>
      </c>
      <c r="AA730" s="164">
        <f t="shared" si="640"/>
        <v>0</v>
      </c>
      <c r="AB730" s="164">
        <f t="shared" si="640"/>
        <v>0</v>
      </c>
      <c r="AC730" s="164">
        <f t="shared" si="640"/>
        <v>0</v>
      </c>
      <c r="AD730" s="164">
        <f t="shared" si="640"/>
        <v>0</v>
      </c>
      <c r="AE730" s="164">
        <f t="shared" si="640"/>
        <v>0</v>
      </c>
      <c r="AF730" s="164">
        <f t="shared" si="640"/>
        <v>0</v>
      </c>
      <c r="AG730" s="164">
        <f t="shared" ref="AG730:AI730" si="641">SUM(AG726:AG729)</f>
        <v>0</v>
      </c>
      <c r="AH730" s="164">
        <f t="shared" si="641"/>
        <v>0</v>
      </c>
      <c r="AI730" s="164">
        <f t="shared" si="641"/>
        <v>0</v>
      </c>
      <c r="AJ730" s="164">
        <f t="shared" ref="AJ730:AM730" si="642">SUM(AJ726:AJ729)</f>
        <v>0</v>
      </c>
      <c r="AK730" s="164">
        <f t="shared" si="642"/>
        <v>0</v>
      </c>
      <c r="AL730" s="164">
        <f t="shared" si="642"/>
        <v>0</v>
      </c>
      <c r="AM730" s="248">
        <f t="shared" si="642"/>
        <v>0</v>
      </c>
      <c r="AN730" s="248">
        <f t="shared" ref="AN730" si="643">SUM(AN726:AN729)</f>
        <v>0</v>
      </c>
      <c r="AO730" s="164">
        <f t="shared" ref="AO730:AP730" si="644">SUM(AO726:AO729)</f>
        <v>484320227</v>
      </c>
      <c r="AP730" s="164">
        <f t="shared" si="644"/>
        <v>0</v>
      </c>
      <c r="AQ730" s="164">
        <f t="shared" ref="AQ730" si="645">SUM(AQ726:AQ729)</f>
        <v>0</v>
      </c>
      <c r="AR730" s="164">
        <f t="shared" si="637"/>
        <v>2381494386</v>
      </c>
    </row>
    <row r="731" spans="1:44" s="165" customFormat="1" ht="15" x14ac:dyDescent="0.25">
      <c r="A731" s="591"/>
      <c r="B731" s="167"/>
      <c r="C731" s="168"/>
      <c r="D731" s="167"/>
      <c r="E731" s="168"/>
      <c r="F731" s="168"/>
      <c r="G731" s="227"/>
      <c r="H731" s="168"/>
      <c r="I731" s="167"/>
      <c r="J731" s="264"/>
      <c r="K731" s="264"/>
      <c r="L731" s="264"/>
      <c r="M731" s="264"/>
      <c r="N731" s="170"/>
      <c r="O731" s="167"/>
      <c r="P731" s="168"/>
      <c r="Q731" s="171">
        <f t="shared" ref="Q731:R733" si="646">Q730</f>
        <v>0</v>
      </c>
      <c r="R731" s="171">
        <f t="shared" si="646"/>
        <v>0</v>
      </c>
      <c r="S731" s="171">
        <f>S730+S723</f>
        <v>1897174159</v>
      </c>
      <c r="T731" s="171">
        <f t="shared" ref="T731:AM731" si="647">T730+T723</f>
        <v>0</v>
      </c>
      <c r="U731" s="171">
        <f t="shared" si="647"/>
        <v>0</v>
      </c>
      <c r="V731" s="171">
        <f t="shared" si="647"/>
        <v>0</v>
      </c>
      <c r="W731" s="171">
        <f t="shared" si="647"/>
        <v>0</v>
      </c>
      <c r="X731" s="171">
        <f t="shared" si="647"/>
        <v>0</v>
      </c>
      <c r="Y731" s="171">
        <f t="shared" si="647"/>
        <v>0</v>
      </c>
      <c r="Z731" s="171">
        <f t="shared" si="647"/>
        <v>0</v>
      </c>
      <c r="AA731" s="171">
        <f t="shared" si="647"/>
        <v>0</v>
      </c>
      <c r="AB731" s="171">
        <f t="shared" si="647"/>
        <v>0</v>
      </c>
      <c r="AC731" s="171">
        <f t="shared" si="647"/>
        <v>0</v>
      </c>
      <c r="AD731" s="171">
        <f t="shared" si="647"/>
        <v>0</v>
      </c>
      <c r="AE731" s="171">
        <f t="shared" si="647"/>
        <v>0</v>
      </c>
      <c r="AF731" s="171">
        <f t="shared" si="647"/>
        <v>0</v>
      </c>
      <c r="AG731" s="171">
        <f t="shared" ref="AG731:AI731" si="648">AG730+AG723</f>
        <v>0</v>
      </c>
      <c r="AH731" s="171">
        <f t="shared" si="648"/>
        <v>0</v>
      </c>
      <c r="AI731" s="171">
        <f t="shared" si="648"/>
        <v>0</v>
      </c>
      <c r="AJ731" s="171">
        <f t="shared" si="647"/>
        <v>0</v>
      </c>
      <c r="AK731" s="171">
        <f t="shared" si="647"/>
        <v>0</v>
      </c>
      <c r="AL731" s="171">
        <f t="shared" si="647"/>
        <v>0</v>
      </c>
      <c r="AM731" s="171">
        <f t="shared" si="647"/>
        <v>0</v>
      </c>
      <c r="AN731" s="171">
        <f t="shared" ref="AN731" si="649">AN730+AN723</f>
        <v>0</v>
      </c>
      <c r="AO731" s="171">
        <f t="shared" ref="AO731:AP731" si="650">AO730+AO723</f>
        <v>699171007</v>
      </c>
      <c r="AP731" s="171">
        <f t="shared" si="650"/>
        <v>0</v>
      </c>
      <c r="AQ731" s="171">
        <f t="shared" ref="AQ731" si="651">AQ730+AQ723</f>
        <v>0</v>
      </c>
      <c r="AR731" s="171">
        <f t="shared" si="637"/>
        <v>2596345166</v>
      </c>
    </row>
    <row r="732" spans="1:44" s="165" customFormat="1" ht="15" x14ac:dyDescent="0.25">
      <c r="A732" s="172"/>
      <c r="B732" s="172"/>
      <c r="C732" s="173"/>
      <c r="D732" s="172"/>
      <c r="E732" s="173"/>
      <c r="F732" s="173"/>
      <c r="G732" s="265"/>
      <c r="H732" s="173"/>
      <c r="I732" s="172"/>
      <c r="J732" s="266"/>
      <c r="K732" s="266"/>
      <c r="L732" s="266"/>
      <c r="M732" s="266"/>
      <c r="N732" s="175"/>
      <c r="O732" s="172"/>
      <c r="P732" s="173"/>
      <c r="Q732" s="176">
        <f t="shared" si="646"/>
        <v>0</v>
      </c>
      <c r="R732" s="176">
        <f t="shared" si="646"/>
        <v>0</v>
      </c>
      <c r="S732" s="176">
        <f t="shared" ref="S732:T733" si="652">S731</f>
        <v>1897174159</v>
      </c>
      <c r="T732" s="176">
        <f t="shared" si="652"/>
        <v>0</v>
      </c>
      <c r="U732" s="176">
        <f t="shared" ref="U732:W733" si="653">U731</f>
        <v>0</v>
      </c>
      <c r="V732" s="176">
        <f t="shared" si="653"/>
        <v>0</v>
      </c>
      <c r="W732" s="176">
        <f t="shared" si="653"/>
        <v>0</v>
      </c>
      <c r="X732" s="176"/>
      <c r="Y732" s="176"/>
      <c r="Z732" s="176"/>
      <c r="AA732" s="176">
        <f>AA731</f>
        <v>0</v>
      </c>
      <c r="AB732" s="176"/>
      <c r="AC732" s="176">
        <f t="shared" ref="AC732:AF733" si="654">AC731</f>
        <v>0</v>
      </c>
      <c r="AD732" s="176">
        <f t="shared" si="654"/>
        <v>0</v>
      </c>
      <c r="AE732" s="176">
        <f t="shared" si="654"/>
        <v>0</v>
      </c>
      <c r="AF732" s="176">
        <f t="shared" si="654"/>
        <v>0</v>
      </c>
      <c r="AG732" s="176">
        <f t="shared" ref="AG732:AI732" si="655">AG731</f>
        <v>0</v>
      </c>
      <c r="AH732" s="176">
        <f t="shared" si="655"/>
        <v>0</v>
      </c>
      <c r="AI732" s="176">
        <f t="shared" si="655"/>
        <v>0</v>
      </c>
      <c r="AJ732" s="176">
        <f t="shared" ref="AJ732:AL733" si="656">AJ731</f>
        <v>0</v>
      </c>
      <c r="AK732" s="176">
        <f t="shared" si="656"/>
        <v>0</v>
      </c>
      <c r="AL732" s="176">
        <f t="shared" si="656"/>
        <v>0</v>
      </c>
      <c r="AM732" s="252">
        <f t="shared" ref="AM732:AN733" si="657">AM731</f>
        <v>0</v>
      </c>
      <c r="AN732" s="252">
        <f t="shared" si="657"/>
        <v>0</v>
      </c>
      <c r="AO732" s="176">
        <f t="shared" ref="AO732:AP733" si="658">AO731</f>
        <v>699171007</v>
      </c>
      <c r="AP732" s="600">
        <f t="shared" si="658"/>
        <v>0</v>
      </c>
      <c r="AQ732" s="600">
        <f t="shared" ref="AQ732" si="659">AQ731</f>
        <v>0</v>
      </c>
      <c r="AR732" s="176">
        <f t="shared" si="637"/>
        <v>2596345166</v>
      </c>
    </row>
    <row r="733" spans="1:44" s="165" customFormat="1" ht="15" x14ac:dyDescent="0.25">
      <c r="A733" s="177"/>
      <c r="B733" s="177"/>
      <c r="C733" s="178"/>
      <c r="D733" s="177"/>
      <c r="E733" s="178"/>
      <c r="F733" s="178"/>
      <c r="G733" s="601"/>
      <c r="H733" s="178"/>
      <c r="I733" s="177"/>
      <c r="J733" s="277"/>
      <c r="K733" s="277"/>
      <c r="L733" s="277"/>
      <c r="M733" s="277"/>
      <c r="N733" s="180"/>
      <c r="O733" s="177"/>
      <c r="P733" s="178"/>
      <c r="Q733" s="181">
        <f t="shared" si="646"/>
        <v>0</v>
      </c>
      <c r="R733" s="181">
        <f t="shared" si="646"/>
        <v>0</v>
      </c>
      <c r="S733" s="181">
        <f t="shared" si="652"/>
        <v>1897174159</v>
      </c>
      <c r="T733" s="181">
        <f t="shared" si="652"/>
        <v>0</v>
      </c>
      <c r="U733" s="181">
        <f t="shared" si="653"/>
        <v>0</v>
      </c>
      <c r="V733" s="181">
        <f t="shared" si="653"/>
        <v>0</v>
      </c>
      <c r="W733" s="181">
        <f t="shared" si="653"/>
        <v>0</v>
      </c>
      <c r="X733" s="181"/>
      <c r="Y733" s="181"/>
      <c r="Z733" s="181"/>
      <c r="AA733" s="181">
        <f>AA732</f>
        <v>0</v>
      </c>
      <c r="AB733" s="181"/>
      <c r="AC733" s="181">
        <f t="shared" si="654"/>
        <v>0</v>
      </c>
      <c r="AD733" s="181">
        <f t="shared" si="654"/>
        <v>0</v>
      </c>
      <c r="AE733" s="181">
        <f t="shared" si="654"/>
        <v>0</v>
      </c>
      <c r="AF733" s="181">
        <f t="shared" si="654"/>
        <v>0</v>
      </c>
      <c r="AG733" s="181">
        <f t="shared" ref="AG733:AI733" si="660">AG732</f>
        <v>0</v>
      </c>
      <c r="AH733" s="181">
        <f t="shared" si="660"/>
        <v>0</v>
      </c>
      <c r="AI733" s="181">
        <f t="shared" si="660"/>
        <v>0</v>
      </c>
      <c r="AJ733" s="181">
        <f t="shared" si="656"/>
        <v>0</v>
      </c>
      <c r="AK733" s="181">
        <f t="shared" si="656"/>
        <v>0</v>
      </c>
      <c r="AL733" s="181">
        <f t="shared" si="656"/>
        <v>0</v>
      </c>
      <c r="AM733" s="254">
        <f t="shared" si="657"/>
        <v>0</v>
      </c>
      <c r="AN733" s="254">
        <f t="shared" si="657"/>
        <v>0</v>
      </c>
      <c r="AO733" s="181">
        <f t="shared" si="658"/>
        <v>699171007</v>
      </c>
      <c r="AP733" s="181">
        <f t="shared" si="658"/>
        <v>0</v>
      </c>
      <c r="AQ733" s="181">
        <f t="shared" ref="AQ733" si="661">AQ732</f>
        <v>0</v>
      </c>
      <c r="AR733" s="181">
        <f t="shared" si="637"/>
        <v>2596345166</v>
      </c>
    </row>
    <row r="734" spans="1:44" s="467" customFormat="1" ht="21" customHeight="1" x14ac:dyDescent="0.25">
      <c r="A734" s="7"/>
      <c r="B734" s="7"/>
      <c r="C734" s="6"/>
      <c r="D734" s="7"/>
      <c r="E734" s="6"/>
      <c r="F734" s="6"/>
      <c r="G734" s="541"/>
      <c r="H734" s="542"/>
      <c r="I734" s="541"/>
      <c r="J734" s="602"/>
      <c r="K734" s="602"/>
      <c r="L734" s="602"/>
      <c r="M734" s="602"/>
      <c r="N734" s="543"/>
      <c r="O734" s="541"/>
      <c r="P734" s="542"/>
      <c r="Q734" s="268"/>
      <c r="R734" s="268"/>
      <c r="S734" s="268"/>
      <c r="T734" s="268"/>
      <c r="U734" s="268"/>
      <c r="V734" s="268"/>
      <c r="W734" s="268"/>
      <c r="X734" s="268"/>
      <c r="Y734" s="268"/>
      <c r="Z734" s="268"/>
      <c r="AA734" s="268"/>
      <c r="AB734" s="268"/>
      <c r="AC734" s="268"/>
      <c r="AD734" s="268"/>
      <c r="AE734" s="268"/>
      <c r="AF734" s="268"/>
      <c r="AG734" s="268"/>
      <c r="AH734" s="268"/>
      <c r="AI734" s="268"/>
      <c r="AJ734" s="268"/>
      <c r="AK734" s="268"/>
      <c r="AL734" s="268"/>
      <c r="AM734" s="603"/>
      <c r="AN734" s="268"/>
      <c r="AO734" s="268"/>
      <c r="AP734" s="268"/>
      <c r="AQ734" s="268"/>
      <c r="AR734" s="891">
        <f t="shared" si="637"/>
        <v>0</v>
      </c>
    </row>
    <row r="735" spans="1:44" s="165" customFormat="1" ht="36.75" customHeight="1" x14ac:dyDescent="0.25">
      <c r="A735" s="584" t="s">
        <v>885</v>
      </c>
      <c r="B735" s="584"/>
      <c r="C735" s="585"/>
      <c r="D735" s="584"/>
      <c r="E735" s="584"/>
      <c r="F735" s="584"/>
      <c r="G735" s="136"/>
      <c r="H735" s="137"/>
      <c r="I735" s="136"/>
      <c r="J735" s="136"/>
      <c r="K735" s="136"/>
      <c r="L735" s="136"/>
      <c r="M735" s="136"/>
      <c r="N735" s="138"/>
      <c r="O735" s="136"/>
      <c r="P735" s="137"/>
      <c r="Q735" s="136"/>
      <c r="R735" s="136"/>
      <c r="S735" s="136"/>
      <c r="T735" s="136"/>
      <c r="U735" s="136"/>
      <c r="V735" s="136"/>
      <c r="W735" s="136"/>
      <c r="X735" s="136"/>
      <c r="Y735" s="136"/>
      <c r="Z735" s="136"/>
      <c r="AA735" s="136"/>
      <c r="AB735" s="136"/>
      <c r="AC735" s="136"/>
      <c r="AD735" s="136"/>
      <c r="AE735" s="136"/>
      <c r="AF735" s="136"/>
      <c r="AG735" s="136"/>
      <c r="AH735" s="136"/>
      <c r="AI735" s="136"/>
      <c r="AJ735" s="136"/>
      <c r="AK735" s="136"/>
      <c r="AL735" s="136"/>
      <c r="AM735" s="139"/>
      <c r="AN735" s="140"/>
      <c r="AO735" s="136"/>
      <c r="AP735" s="136"/>
      <c r="AQ735" s="136"/>
      <c r="AR735" s="586"/>
    </row>
    <row r="736" spans="1:44" s="165" customFormat="1" ht="24.75" customHeight="1" x14ac:dyDescent="0.25">
      <c r="A736" s="737">
        <v>4</v>
      </c>
      <c r="B736" s="551" t="s">
        <v>886</v>
      </c>
      <c r="C736" s="331"/>
      <c r="D736" s="551"/>
      <c r="E736" s="551"/>
      <c r="F736" s="365"/>
      <c r="G736" s="587"/>
      <c r="H736" s="588"/>
      <c r="I736" s="587"/>
      <c r="J736" s="587"/>
      <c r="K736" s="587"/>
      <c r="L736" s="587"/>
      <c r="M736" s="587"/>
      <c r="N736" s="589"/>
      <c r="O736" s="587"/>
      <c r="P736" s="587"/>
      <c r="Q736" s="587"/>
      <c r="R736" s="587"/>
      <c r="S736" s="587"/>
      <c r="T736" s="587"/>
      <c r="U736" s="587"/>
      <c r="V736" s="587"/>
      <c r="W736" s="587"/>
      <c r="X736" s="587"/>
      <c r="Y736" s="587"/>
      <c r="Z736" s="587"/>
      <c r="AA736" s="587"/>
      <c r="AB736" s="587"/>
      <c r="AC736" s="587"/>
      <c r="AD736" s="587"/>
      <c r="AE736" s="587"/>
      <c r="AF736" s="587"/>
      <c r="AG736" s="587"/>
      <c r="AH736" s="587"/>
      <c r="AI736" s="587"/>
      <c r="AJ736" s="587"/>
      <c r="AK736" s="587"/>
      <c r="AL736" s="587"/>
      <c r="AM736" s="590"/>
      <c r="AN736" s="587"/>
      <c r="AO736" s="587"/>
      <c r="AP736" s="587"/>
      <c r="AQ736" s="587"/>
      <c r="AR736" s="365"/>
    </row>
    <row r="737" spans="1:44" s="165" customFormat="1" ht="24.75" customHeight="1" x14ac:dyDescent="0.25">
      <c r="A737" s="190"/>
      <c r="B737" s="269">
        <v>23</v>
      </c>
      <c r="C737" s="322" t="s">
        <v>171</v>
      </c>
      <c r="D737" s="536"/>
      <c r="E737" s="536"/>
      <c r="F737" s="536"/>
      <c r="G737" s="149"/>
      <c r="H737" s="150"/>
      <c r="I737" s="149"/>
      <c r="J737" s="149"/>
      <c r="K737" s="149"/>
      <c r="L737" s="149"/>
      <c r="M737" s="592"/>
      <c r="N737" s="594"/>
      <c r="O737" s="592"/>
      <c r="P737" s="592"/>
      <c r="Q737" s="592"/>
      <c r="R737" s="592"/>
      <c r="S737" s="592"/>
      <c r="T737" s="592"/>
      <c r="U737" s="592"/>
      <c r="V737" s="592"/>
      <c r="W737" s="592"/>
      <c r="X737" s="592"/>
      <c r="Y737" s="592"/>
      <c r="Z737" s="592"/>
      <c r="AA737" s="592"/>
      <c r="AB737" s="592"/>
      <c r="AC737" s="592"/>
      <c r="AD737" s="592"/>
      <c r="AE737" s="592"/>
      <c r="AF737" s="592"/>
      <c r="AG737" s="592"/>
      <c r="AH737" s="592"/>
      <c r="AI737" s="592"/>
      <c r="AJ737" s="592"/>
      <c r="AK737" s="592"/>
      <c r="AL737" s="592"/>
      <c r="AM737" s="595"/>
      <c r="AN737" s="592"/>
      <c r="AO737" s="592"/>
      <c r="AP737" s="592"/>
      <c r="AQ737" s="592"/>
      <c r="AR737" s="596"/>
    </row>
    <row r="738" spans="1:44" s="165" customFormat="1" ht="24.75" customHeight="1" x14ac:dyDescent="0.25">
      <c r="A738" s="21"/>
      <c r="B738" s="635"/>
      <c r="C738" s="767"/>
      <c r="D738" s="762"/>
      <c r="E738" s="767"/>
      <c r="F738" s="767"/>
      <c r="G738" s="337">
        <v>77</v>
      </c>
      <c r="H738" s="194" t="s">
        <v>887</v>
      </c>
      <c r="I738" s="194"/>
      <c r="J738" s="194"/>
      <c r="K738" s="194"/>
      <c r="L738" s="194"/>
      <c r="M738" s="194"/>
      <c r="N738" s="195"/>
      <c r="O738" s="194"/>
      <c r="P738" s="194"/>
      <c r="Q738" s="194"/>
      <c r="R738" s="194"/>
      <c r="S738" s="194"/>
      <c r="T738" s="194"/>
      <c r="U738" s="194"/>
      <c r="V738" s="194"/>
      <c r="W738" s="194"/>
      <c r="X738" s="194"/>
      <c r="Y738" s="194"/>
      <c r="Z738" s="194"/>
      <c r="AA738" s="194"/>
      <c r="AB738" s="194"/>
      <c r="AC738" s="194"/>
      <c r="AD738" s="194"/>
      <c r="AE738" s="194"/>
      <c r="AF738" s="194"/>
      <c r="AG738" s="194"/>
      <c r="AH738" s="194"/>
      <c r="AI738" s="194"/>
      <c r="AJ738" s="194"/>
      <c r="AK738" s="194"/>
      <c r="AL738" s="194"/>
      <c r="AM738" s="196"/>
      <c r="AN738" s="194"/>
      <c r="AO738" s="194"/>
      <c r="AP738" s="194"/>
      <c r="AQ738" s="194"/>
      <c r="AR738" s="532"/>
    </row>
    <row r="739" spans="1:44" s="165" customFormat="1" ht="56.25" customHeight="1" x14ac:dyDescent="0.25">
      <c r="A739" s="21"/>
      <c r="B739" s="636"/>
      <c r="C739" s="937">
        <v>11</v>
      </c>
      <c r="D739" s="939" t="s">
        <v>888</v>
      </c>
      <c r="E739" s="939" t="s">
        <v>889</v>
      </c>
      <c r="F739" s="939" t="s">
        <v>890</v>
      </c>
      <c r="G739" s="867"/>
      <c r="H739" s="767">
        <v>223</v>
      </c>
      <c r="I739" s="762" t="s">
        <v>891</v>
      </c>
      <c r="J739" s="500" t="s">
        <v>38</v>
      </c>
      <c r="K739" s="25">
        <v>1</v>
      </c>
      <c r="L739" s="25">
        <v>0.75</v>
      </c>
      <c r="M739" s="500" t="s">
        <v>127</v>
      </c>
      <c r="N739" s="927" t="s">
        <v>892</v>
      </c>
      <c r="O739" s="941" t="s">
        <v>893</v>
      </c>
      <c r="P739" s="767" t="s">
        <v>47</v>
      </c>
      <c r="Q739" s="27">
        <v>0</v>
      </c>
      <c r="R739" s="27">
        <v>0</v>
      </c>
      <c r="S739" s="27">
        <v>0</v>
      </c>
      <c r="T739" s="27">
        <v>0</v>
      </c>
      <c r="U739" s="27">
        <v>0</v>
      </c>
      <c r="V739" s="27">
        <v>0</v>
      </c>
      <c r="W739" s="27">
        <v>0</v>
      </c>
      <c r="X739" s="27"/>
      <c r="Y739" s="27"/>
      <c r="Z739" s="27"/>
      <c r="AA739" s="27">
        <v>0</v>
      </c>
      <c r="AB739" s="27"/>
      <c r="AC739" s="27">
        <v>0</v>
      </c>
      <c r="AD739" s="27">
        <v>0</v>
      </c>
      <c r="AE739" s="257"/>
      <c r="AF739" s="257"/>
      <c r="AG739" s="257"/>
      <c r="AH739" s="257"/>
      <c r="AI739" s="257"/>
      <c r="AJ739" s="257"/>
      <c r="AK739" s="27">
        <v>0</v>
      </c>
      <c r="AL739" s="27">
        <v>0</v>
      </c>
      <c r="AM739" s="108">
        <v>0</v>
      </c>
      <c r="AN739" s="108">
        <v>0</v>
      </c>
      <c r="AO739" s="15">
        <f>30900000-732046+57117000</f>
        <v>87284954</v>
      </c>
      <c r="AP739" s="290">
        <v>0</v>
      </c>
      <c r="AQ739" s="290"/>
      <c r="AR739" s="27">
        <f t="shared" si="637"/>
        <v>87284954</v>
      </c>
    </row>
    <row r="740" spans="1:44" s="165" customFormat="1" ht="37.5" customHeight="1" x14ac:dyDescent="0.25">
      <c r="A740" s="21"/>
      <c r="B740" s="636"/>
      <c r="C740" s="938"/>
      <c r="D740" s="940"/>
      <c r="E740" s="940"/>
      <c r="F740" s="940"/>
      <c r="G740" s="97"/>
      <c r="H740" s="767">
        <v>224</v>
      </c>
      <c r="I740" s="762" t="s">
        <v>894</v>
      </c>
      <c r="J740" s="500">
        <v>0</v>
      </c>
      <c r="K740" s="25">
        <v>1</v>
      </c>
      <c r="L740" s="25">
        <v>0.8</v>
      </c>
      <c r="M740" s="500" t="s">
        <v>127</v>
      </c>
      <c r="N740" s="928"/>
      <c r="O740" s="942"/>
      <c r="P740" s="767" t="s">
        <v>47</v>
      </c>
      <c r="Q740" s="27">
        <v>0</v>
      </c>
      <c r="R740" s="27">
        <v>0</v>
      </c>
      <c r="S740" s="27">
        <v>0</v>
      </c>
      <c r="T740" s="27">
        <v>0</v>
      </c>
      <c r="U740" s="27">
        <v>0</v>
      </c>
      <c r="V740" s="27">
        <v>0</v>
      </c>
      <c r="W740" s="27">
        <v>0</v>
      </c>
      <c r="X740" s="27"/>
      <c r="Y740" s="27"/>
      <c r="Z740" s="27"/>
      <c r="AA740" s="27">
        <v>0</v>
      </c>
      <c r="AB740" s="27"/>
      <c r="AC740" s="27">
        <v>0</v>
      </c>
      <c r="AD740" s="27">
        <v>0</v>
      </c>
      <c r="AE740" s="257"/>
      <c r="AF740" s="257"/>
      <c r="AG740" s="257"/>
      <c r="AH740" s="257"/>
      <c r="AI740" s="257"/>
      <c r="AJ740" s="257"/>
      <c r="AK740" s="27">
        <v>0</v>
      </c>
      <c r="AL740" s="27">
        <v>0</v>
      </c>
      <c r="AM740" s="108">
        <v>0</v>
      </c>
      <c r="AN740" s="108">
        <v>0</v>
      </c>
      <c r="AO740" s="15">
        <v>20600000</v>
      </c>
      <c r="AP740" s="290">
        <v>0</v>
      </c>
      <c r="AQ740" s="290"/>
      <c r="AR740" s="27">
        <f t="shared" si="637"/>
        <v>20600000</v>
      </c>
    </row>
    <row r="741" spans="1:44" s="165" customFormat="1" ht="51.75" customHeight="1" x14ac:dyDescent="0.25">
      <c r="A741" s="21"/>
      <c r="B741" s="636"/>
      <c r="C741" s="938"/>
      <c r="D741" s="940"/>
      <c r="E741" s="940"/>
      <c r="F741" s="940"/>
      <c r="G741" s="99"/>
      <c r="H741" s="767">
        <v>225</v>
      </c>
      <c r="I741" s="762" t="s">
        <v>895</v>
      </c>
      <c r="J741" s="500">
        <v>0</v>
      </c>
      <c r="K741" s="25">
        <v>1</v>
      </c>
      <c r="L741" s="25">
        <v>0</v>
      </c>
      <c r="M741" s="500" t="s">
        <v>127</v>
      </c>
      <c r="N741" s="929"/>
      <c r="O741" s="943"/>
      <c r="P741" s="767" t="s">
        <v>47</v>
      </c>
      <c r="Q741" s="27">
        <v>0</v>
      </c>
      <c r="R741" s="27">
        <v>0</v>
      </c>
      <c r="S741" s="27">
        <v>0</v>
      </c>
      <c r="T741" s="27">
        <v>0</v>
      </c>
      <c r="U741" s="27">
        <v>0</v>
      </c>
      <c r="V741" s="27">
        <v>0</v>
      </c>
      <c r="W741" s="27">
        <v>0</v>
      </c>
      <c r="X741" s="27"/>
      <c r="Y741" s="27"/>
      <c r="Z741" s="27"/>
      <c r="AA741" s="27">
        <v>0</v>
      </c>
      <c r="AB741" s="27"/>
      <c r="AC741" s="27">
        <v>0</v>
      </c>
      <c r="AD741" s="27">
        <v>0</v>
      </c>
      <c r="AE741" s="257"/>
      <c r="AF741" s="257"/>
      <c r="AG741" s="257"/>
      <c r="AH741" s="257"/>
      <c r="AI741" s="257"/>
      <c r="AJ741" s="257"/>
      <c r="AK741" s="27">
        <v>0</v>
      </c>
      <c r="AL741" s="27">
        <v>0</v>
      </c>
      <c r="AM741" s="108">
        <v>0</v>
      </c>
      <c r="AN741" s="108">
        <v>0</v>
      </c>
      <c r="AO741" s="15">
        <v>3666800</v>
      </c>
      <c r="AP741" s="290">
        <v>0</v>
      </c>
      <c r="AQ741" s="290"/>
      <c r="AR741" s="27">
        <f t="shared" si="637"/>
        <v>3666800</v>
      </c>
    </row>
    <row r="742" spans="1:44" s="165" customFormat="1" ht="21.75" customHeight="1" x14ac:dyDescent="0.25">
      <c r="A742" s="21"/>
      <c r="B742" s="637"/>
      <c r="C742" s="751"/>
      <c r="D742" s="733"/>
      <c r="E742" s="751"/>
      <c r="F742" s="751"/>
      <c r="G742" s="412"/>
      <c r="H742" s="161"/>
      <c r="I742" s="160"/>
      <c r="J742" s="162"/>
      <c r="K742" s="162"/>
      <c r="L742" s="162"/>
      <c r="M742" s="162"/>
      <c r="N742" s="163"/>
      <c r="O742" s="160"/>
      <c r="P742" s="161"/>
      <c r="Q742" s="164">
        <f t="shared" ref="Q742:W742" si="662">SUM(Q739:Q741)</f>
        <v>0</v>
      </c>
      <c r="R742" s="164">
        <f t="shared" si="662"/>
        <v>0</v>
      </c>
      <c r="S742" s="164">
        <f t="shared" si="662"/>
        <v>0</v>
      </c>
      <c r="T742" s="164">
        <f t="shared" si="662"/>
        <v>0</v>
      </c>
      <c r="U742" s="164">
        <f t="shared" si="662"/>
        <v>0</v>
      </c>
      <c r="V742" s="164">
        <f t="shared" si="662"/>
        <v>0</v>
      </c>
      <c r="W742" s="164">
        <f t="shared" si="662"/>
        <v>0</v>
      </c>
      <c r="X742" s="164"/>
      <c r="Y742" s="164"/>
      <c r="Z742" s="164"/>
      <c r="AA742" s="164">
        <f>SUM(AA739:AA741)</f>
        <v>0</v>
      </c>
      <c r="AB742" s="164"/>
      <c r="AC742" s="164">
        <f>SUM(AC739:AC741)</f>
        <v>0</v>
      </c>
      <c r="AD742" s="164">
        <f>SUM(AD739:AD741)</f>
        <v>0</v>
      </c>
      <c r="AE742" s="164">
        <f>SUM(AE739:AE741)</f>
        <v>0</v>
      </c>
      <c r="AF742" s="164">
        <f>SUM(AF739:AF741)</f>
        <v>0</v>
      </c>
      <c r="AG742" s="164">
        <f>SUM(AG739:AG741)</f>
        <v>0</v>
      </c>
      <c r="AH742" s="164">
        <f t="shared" ref="AH742:AM742" si="663">SUM(AH739:AH741)</f>
        <v>0</v>
      </c>
      <c r="AI742" s="164">
        <f t="shared" si="663"/>
        <v>0</v>
      </c>
      <c r="AJ742" s="164">
        <f t="shared" si="663"/>
        <v>0</v>
      </c>
      <c r="AK742" s="164">
        <f t="shared" si="663"/>
        <v>0</v>
      </c>
      <c r="AL742" s="164">
        <f t="shared" si="663"/>
        <v>0</v>
      </c>
      <c r="AM742" s="248">
        <f t="shared" si="663"/>
        <v>0</v>
      </c>
      <c r="AN742" s="248">
        <f t="shared" ref="AN742" si="664">SUM(AN739:AN741)</f>
        <v>0</v>
      </c>
      <c r="AO742" s="164">
        <f>SUM(AO739:AO741)</f>
        <v>111551754</v>
      </c>
      <c r="AP742" s="164">
        <f t="shared" ref="AP742:AQ742" si="665">SUM(AP739:AP741)</f>
        <v>0</v>
      </c>
      <c r="AQ742" s="164">
        <f t="shared" si="665"/>
        <v>0</v>
      </c>
      <c r="AR742" s="164">
        <f t="shared" si="637"/>
        <v>111551754</v>
      </c>
    </row>
    <row r="743" spans="1:44" s="165" customFormat="1" ht="21.75" customHeight="1" x14ac:dyDescent="0.25">
      <c r="A743" s="158"/>
      <c r="B743" s="606"/>
      <c r="C743" s="607"/>
      <c r="D743" s="606"/>
      <c r="E743" s="607"/>
      <c r="F743" s="607"/>
      <c r="G743" s="608"/>
      <c r="H743" s="607"/>
      <c r="I743" s="606"/>
      <c r="J743" s="609"/>
      <c r="K743" s="609"/>
      <c r="L743" s="609"/>
      <c r="M743" s="609"/>
      <c r="N743" s="610"/>
      <c r="O743" s="606"/>
      <c r="P743" s="607"/>
      <c r="Q743" s="611">
        <f t="shared" ref="Q743:W745" si="666">Q742</f>
        <v>0</v>
      </c>
      <c r="R743" s="611">
        <f t="shared" si="666"/>
        <v>0</v>
      </c>
      <c r="S743" s="611">
        <f t="shared" si="666"/>
        <v>0</v>
      </c>
      <c r="T743" s="611">
        <f t="shared" si="666"/>
        <v>0</v>
      </c>
      <c r="U743" s="611">
        <f t="shared" si="666"/>
        <v>0</v>
      </c>
      <c r="V743" s="611">
        <f t="shared" si="666"/>
        <v>0</v>
      </c>
      <c r="W743" s="611">
        <f t="shared" si="666"/>
        <v>0</v>
      </c>
      <c r="X743" s="611"/>
      <c r="Y743" s="611"/>
      <c r="Z743" s="611"/>
      <c r="AA743" s="611">
        <f>AA742</f>
        <v>0</v>
      </c>
      <c r="AB743" s="611"/>
      <c r="AC743" s="611">
        <f t="shared" ref="AC743:AF745" si="667">AC742</f>
        <v>0</v>
      </c>
      <c r="AD743" s="611">
        <f t="shared" si="667"/>
        <v>0</v>
      </c>
      <c r="AE743" s="611">
        <f t="shared" si="667"/>
        <v>0</v>
      </c>
      <c r="AF743" s="611">
        <f t="shared" si="667"/>
        <v>0</v>
      </c>
      <c r="AG743" s="611">
        <f t="shared" ref="AG743" si="668">AG742</f>
        <v>0</v>
      </c>
      <c r="AH743" s="611">
        <f t="shared" ref="AH743:AM745" si="669">AH742</f>
        <v>0</v>
      </c>
      <c r="AI743" s="611">
        <f t="shared" si="669"/>
        <v>0</v>
      </c>
      <c r="AJ743" s="611">
        <f t="shared" si="669"/>
        <v>0</v>
      </c>
      <c r="AK743" s="611">
        <f t="shared" si="669"/>
        <v>0</v>
      </c>
      <c r="AL743" s="611">
        <f t="shared" si="669"/>
        <v>0</v>
      </c>
      <c r="AM743" s="612">
        <f t="shared" si="669"/>
        <v>0</v>
      </c>
      <c r="AN743" s="612">
        <f t="shared" ref="AN743" si="670">AN742</f>
        <v>0</v>
      </c>
      <c r="AO743" s="611">
        <f>AO742</f>
        <v>111551754</v>
      </c>
      <c r="AP743" s="611">
        <f t="shared" ref="AP743:AP745" si="671">AP742</f>
        <v>0</v>
      </c>
      <c r="AQ743" s="611">
        <f>AQ742</f>
        <v>0</v>
      </c>
      <c r="AR743" s="611">
        <f t="shared" si="637"/>
        <v>111551754</v>
      </c>
    </row>
    <row r="744" spans="1:44" s="165" customFormat="1" ht="21.75" customHeight="1" x14ac:dyDescent="0.25">
      <c r="A744" s="172"/>
      <c r="B744" s="172"/>
      <c r="C744" s="173"/>
      <c r="D744" s="172"/>
      <c r="E744" s="173"/>
      <c r="F744" s="173"/>
      <c r="G744" s="265"/>
      <c r="H744" s="173"/>
      <c r="I744" s="172"/>
      <c r="J744" s="174"/>
      <c r="K744" s="174"/>
      <c r="L744" s="174"/>
      <c r="M744" s="174"/>
      <c r="N744" s="175"/>
      <c r="O744" s="172"/>
      <c r="P744" s="173"/>
      <c r="Q744" s="176">
        <f t="shared" si="666"/>
        <v>0</v>
      </c>
      <c r="R744" s="176">
        <f t="shared" si="666"/>
        <v>0</v>
      </c>
      <c r="S744" s="176">
        <f t="shared" si="666"/>
        <v>0</v>
      </c>
      <c r="T744" s="176">
        <f t="shared" si="666"/>
        <v>0</v>
      </c>
      <c r="U744" s="176">
        <f t="shared" si="666"/>
        <v>0</v>
      </c>
      <c r="V744" s="176">
        <f t="shared" si="666"/>
        <v>0</v>
      </c>
      <c r="W744" s="176">
        <f t="shared" si="666"/>
        <v>0</v>
      </c>
      <c r="X744" s="176"/>
      <c r="Y744" s="176"/>
      <c r="Z744" s="176"/>
      <c r="AA744" s="176">
        <f>AA743</f>
        <v>0</v>
      </c>
      <c r="AB744" s="176"/>
      <c r="AC744" s="176">
        <f t="shared" si="667"/>
        <v>0</v>
      </c>
      <c r="AD744" s="176">
        <f t="shared" si="667"/>
        <v>0</v>
      </c>
      <c r="AE744" s="176">
        <f t="shared" si="667"/>
        <v>0</v>
      </c>
      <c r="AF744" s="176">
        <f t="shared" si="667"/>
        <v>0</v>
      </c>
      <c r="AG744" s="176">
        <f t="shared" ref="AG744" si="672">AG743</f>
        <v>0</v>
      </c>
      <c r="AH744" s="176">
        <f t="shared" si="669"/>
        <v>0</v>
      </c>
      <c r="AI744" s="176">
        <f t="shared" si="669"/>
        <v>0</v>
      </c>
      <c r="AJ744" s="176">
        <f t="shared" si="669"/>
        <v>0</v>
      </c>
      <c r="AK744" s="176">
        <f t="shared" si="669"/>
        <v>0</v>
      </c>
      <c r="AL744" s="176">
        <f t="shared" si="669"/>
        <v>0</v>
      </c>
      <c r="AM744" s="252">
        <f t="shared" si="669"/>
        <v>0</v>
      </c>
      <c r="AN744" s="252">
        <f t="shared" ref="AN744" si="673">AN743</f>
        <v>0</v>
      </c>
      <c r="AO744" s="176">
        <f>AO743</f>
        <v>111551754</v>
      </c>
      <c r="AP744" s="176">
        <f t="shared" si="671"/>
        <v>0</v>
      </c>
      <c r="AQ744" s="176">
        <f>AQ743</f>
        <v>0</v>
      </c>
      <c r="AR744" s="176">
        <f t="shared" si="637"/>
        <v>111551754</v>
      </c>
    </row>
    <row r="745" spans="1:44" s="165" customFormat="1" ht="21.75" customHeight="1" x14ac:dyDescent="0.25">
      <c r="A745" s="177"/>
      <c r="B745" s="177"/>
      <c r="C745" s="178"/>
      <c r="D745" s="177"/>
      <c r="E745" s="178"/>
      <c r="F745" s="178"/>
      <c r="G745" s="601"/>
      <c r="H745" s="178"/>
      <c r="I745" s="177"/>
      <c r="J745" s="179"/>
      <c r="K745" s="179"/>
      <c r="L745" s="179"/>
      <c r="M745" s="179"/>
      <c r="N745" s="180"/>
      <c r="O745" s="177"/>
      <c r="P745" s="178"/>
      <c r="Q745" s="181">
        <f t="shared" si="666"/>
        <v>0</v>
      </c>
      <c r="R745" s="181">
        <f t="shared" si="666"/>
        <v>0</v>
      </c>
      <c r="S745" s="181">
        <f t="shared" si="666"/>
        <v>0</v>
      </c>
      <c r="T745" s="181">
        <f t="shared" si="666"/>
        <v>0</v>
      </c>
      <c r="U745" s="181">
        <f t="shared" si="666"/>
        <v>0</v>
      </c>
      <c r="V745" s="181">
        <f t="shared" si="666"/>
        <v>0</v>
      </c>
      <c r="W745" s="181">
        <f t="shared" si="666"/>
        <v>0</v>
      </c>
      <c r="X745" s="181"/>
      <c r="Y745" s="181"/>
      <c r="Z745" s="181"/>
      <c r="AA745" s="181">
        <f>AA744</f>
        <v>0</v>
      </c>
      <c r="AB745" s="181"/>
      <c r="AC745" s="181">
        <f t="shared" si="667"/>
        <v>0</v>
      </c>
      <c r="AD745" s="181">
        <f t="shared" si="667"/>
        <v>0</v>
      </c>
      <c r="AE745" s="181">
        <f t="shared" si="667"/>
        <v>0</v>
      </c>
      <c r="AF745" s="181">
        <f t="shared" si="667"/>
        <v>0</v>
      </c>
      <c r="AG745" s="181">
        <f t="shared" ref="AG745" si="674">AG744</f>
        <v>0</v>
      </c>
      <c r="AH745" s="181">
        <f t="shared" si="669"/>
        <v>0</v>
      </c>
      <c r="AI745" s="181">
        <f t="shared" si="669"/>
        <v>0</v>
      </c>
      <c r="AJ745" s="181">
        <f t="shared" si="669"/>
        <v>0</v>
      </c>
      <c r="AK745" s="181">
        <f t="shared" si="669"/>
        <v>0</v>
      </c>
      <c r="AL745" s="181">
        <f t="shared" si="669"/>
        <v>0</v>
      </c>
      <c r="AM745" s="254">
        <f t="shared" si="669"/>
        <v>0</v>
      </c>
      <c r="AN745" s="254">
        <f t="shared" ref="AN745" si="675">AN744</f>
        <v>0</v>
      </c>
      <c r="AO745" s="181">
        <f>AO744</f>
        <v>111551754</v>
      </c>
      <c r="AP745" s="181">
        <f t="shared" si="671"/>
        <v>0</v>
      </c>
      <c r="AQ745" s="181">
        <f>AQ744</f>
        <v>0</v>
      </c>
      <c r="AR745" s="181">
        <f t="shared" si="637"/>
        <v>111551754</v>
      </c>
    </row>
    <row r="746" spans="1:44" s="165" customFormat="1" ht="18.75" x14ac:dyDescent="0.3">
      <c r="A746" s="892"/>
      <c r="B746" s="613"/>
      <c r="C746" s="614"/>
      <c r="D746" s="615"/>
      <c r="E746" s="614"/>
      <c r="F746" s="614"/>
      <c r="G746" s="616"/>
      <c r="H746" s="617"/>
      <c r="I746" s="618"/>
      <c r="J746" s="619"/>
      <c r="K746" s="619"/>
      <c r="L746" s="619"/>
      <c r="M746" s="619"/>
      <c r="N746" s="421"/>
      <c r="O746" s="620"/>
      <c r="P746" s="771"/>
      <c r="Q746" s="621"/>
      <c r="R746" s="621"/>
      <c r="S746" s="621"/>
      <c r="T746" s="621"/>
      <c r="U746" s="621"/>
      <c r="V746" s="621"/>
      <c r="W746" s="621"/>
      <c r="X746" s="621"/>
      <c r="Y746" s="621"/>
      <c r="Z746" s="621"/>
      <c r="AA746" s="621"/>
      <c r="AB746" s="621"/>
      <c r="AC746" s="621"/>
      <c r="AD746" s="621"/>
      <c r="AE746" s="622"/>
      <c r="AF746" s="622"/>
      <c r="AG746" s="622"/>
      <c r="AH746" s="622"/>
      <c r="AI746" s="622"/>
      <c r="AJ746" s="622"/>
      <c r="AK746" s="621"/>
      <c r="AL746" s="621"/>
      <c r="AM746" s="623"/>
      <c r="AN746" s="624"/>
      <c r="AO746" s="936"/>
      <c r="AP746" s="936"/>
      <c r="AQ746" s="725"/>
      <c r="AR746" s="893"/>
    </row>
    <row r="747" spans="1:44" s="346" customFormat="1" ht="30" customHeight="1" x14ac:dyDescent="0.25">
      <c r="A747" s="894" t="s">
        <v>938</v>
      </c>
      <c r="B747" s="895"/>
      <c r="C747" s="895"/>
      <c r="D747" s="895"/>
      <c r="E747" s="895"/>
      <c r="F747" s="895"/>
      <c r="G747" s="895"/>
      <c r="H747" s="895"/>
      <c r="I747" s="895"/>
      <c r="J747" s="895"/>
      <c r="K747" s="895"/>
      <c r="L747" s="895"/>
      <c r="M747" s="895"/>
      <c r="N747" s="895"/>
      <c r="O747" s="895"/>
      <c r="P747" s="895"/>
      <c r="Q747" s="895">
        <f>Q673+Q716+Q733+Q745</f>
        <v>2846976320</v>
      </c>
      <c r="R747" s="895">
        <f t="shared" ref="R747:AL747" si="676">R673+R716+R733+R745</f>
        <v>4108997981</v>
      </c>
      <c r="S747" s="895">
        <f t="shared" si="676"/>
        <v>11898045940</v>
      </c>
      <c r="T747" s="895">
        <f t="shared" si="676"/>
        <v>9429631612</v>
      </c>
      <c r="U747" s="895">
        <f t="shared" si="676"/>
        <v>80296670</v>
      </c>
      <c r="V747" s="895">
        <f t="shared" si="676"/>
        <v>707154493</v>
      </c>
      <c r="W747" s="895">
        <f t="shared" si="676"/>
        <v>8319123642</v>
      </c>
      <c r="X747" s="895">
        <f t="shared" si="676"/>
        <v>5008955903.996911</v>
      </c>
      <c r="Y747" s="895">
        <f t="shared" si="676"/>
        <v>4499205411</v>
      </c>
      <c r="Z747" s="895">
        <f t="shared" si="676"/>
        <v>4500001632</v>
      </c>
      <c r="AA747" s="895">
        <f t="shared" si="676"/>
        <v>17674762089</v>
      </c>
      <c r="AB747" s="895">
        <f t="shared" si="676"/>
        <v>730232093.80999994</v>
      </c>
      <c r="AC747" s="895">
        <f t="shared" si="676"/>
        <v>1378557211</v>
      </c>
      <c r="AD747" s="895">
        <f t="shared" si="676"/>
        <v>8017011390</v>
      </c>
      <c r="AE747" s="895">
        <f t="shared" si="676"/>
        <v>87330780152</v>
      </c>
      <c r="AF747" s="895">
        <f t="shared" si="676"/>
        <v>37421069046</v>
      </c>
      <c r="AG747" s="895">
        <f t="shared" si="676"/>
        <v>814114495</v>
      </c>
      <c r="AH747" s="895">
        <f t="shared" si="676"/>
        <v>6431354</v>
      </c>
      <c r="AI747" s="895">
        <f t="shared" si="676"/>
        <v>1320503506</v>
      </c>
      <c r="AJ747" s="895">
        <f t="shared" si="676"/>
        <v>1200000000</v>
      </c>
      <c r="AK747" s="895">
        <f t="shared" si="676"/>
        <v>7105069271</v>
      </c>
      <c r="AL747" s="895">
        <f t="shared" si="676"/>
        <v>2432800181.7399998</v>
      </c>
      <c r="AM747" s="895">
        <f t="shared" ref="AM747:AR747" si="677">AM673+AM716+AM733+AM745</f>
        <v>27544195970.176529</v>
      </c>
      <c r="AN747" s="895">
        <f t="shared" si="677"/>
        <v>339747972</v>
      </c>
      <c r="AO747" s="895">
        <f t="shared" si="677"/>
        <v>1928497503</v>
      </c>
      <c r="AP747" s="895">
        <f t="shared" si="677"/>
        <v>3005207390</v>
      </c>
      <c r="AQ747" s="895">
        <f t="shared" si="677"/>
        <v>0</v>
      </c>
      <c r="AR747" s="896">
        <f t="shared" si="677"/>
        <v>249647369229.72345</v>
      </c>
    </row>
    <row r="748" spans="1:44" x14ac:dyDescent="0.25">
      <c r="AR748" s="676"/>
    </row>
    <row r="749" spans="1:44" x14ac:dyDescent="0.25">
      <c r="AR749" s="628"/>
    </row>
    <row r="750" spans="1:44" x14ac:dyDescent="0.25">
      <c r="AR750" s="628"/>
    </row>
    <row r="751" spans="1:44" s="165" customFormat="1" ht="15" x14ac:dyDescent="0.25">
      <c r="AM751" s="623"/>
      <c r="AR751" s="628"/>
    </row>
  </sheetData>
  <sheetProtection password="CBEB" sheet="1" objects="1" scenarios="1"/>
  <mergeCells count="450">
    <mergeCell ref="O247:O249"/>
    <mergeCell ref="N234:N236"/>
    <mergeCell ref="O234:O236"/>
    <mergeCell ref="N240:N243"/>
    <mergeCell ref="O240:O243"/>
    <mergeCell ref="N247:N249"/>
    <mergeCell ref="O93:O100"/>
    <mergeCell ref="H231:Q231"/>
    <mergeCell ref="M232:M233"/>
    <mergeCell ref="N232:N233"/>
    <mergeCell ref="O232:O233"/>
    <mergeCell ref="M247:M249"/>
    <mergeCell ref="O169:O170"/>
    <mergeCell ref="O184:O186"/>
    <mergeCell ref="H5:I6"/>
    <mergeCell ref="J5:J6"/>
    <mergeCell ref="K5:L5"/>
    <mergeCell ref="AN5:AN6"/>
    <mergeCell ref="AO5:AO6"/>
    <mergeCell ref="AP5:AP6"/>
    <mergeCell ref="C46:C50"/>
    <mergeCell ref="D46:D50"/>
    <mergeCell ref="E46:E50"/>
    <mergeCell ref="F46:F50"/>
    <mergeCell ref="M46:M50"/>
    <mergeCell ref="N46:N50"/>
    <mergeCell ref="F73:F75"/>
    <mergeCell ref="M73:M75"/>
    <mergeCell ref="N73:N75"/>
    <mergeCell ref="C55:C63"/>
    <mergeCell ref="D55:D63"/>
    <mergeCell ref="E55:E63"/>
    <mergeCell ref="F55:F63"/>
    <mergeCell ref="M55:M63"/>
    <mergeCell ref="N55:N63"/>
    <mergeCell ref="O55:O63"/>
    <mergeCell ref="AK5:AK6"/>
    <mergeCell ref="AL5:AL6"/>
    <mergeCell ref="O5:O6"/>
    <mergeCell ref="P5:P6"/>
    <mergeCell ref="AR5:AR6"/>
    <mergeCell ref="O46:O50"/>
    <mergeCell ref="O73:O75"/>
    <mergeCell ref="O87:O89"/>
    <mergeCell ref="H107:O107"/>
    <mergeCell ref="AQ5:AQ6"/>
    <mergeCell ref="O15:O19"/>
    <mergeCell ref="AH5:AH6"/>
    <mergeCell ref="AI5:AI6"/>
    <mergeCell ref="AJ5:AJ6"/>
    <mergeCell ref="O76:O77"/>
    <mergeCell ref="M15:M19"/>
    <mergeCell ref="N15:N19"/>
    <mergeCell ref="A1:AO4"/>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M5:AM6"/>
    <mergeCell ref="M5:M6"/>
    <mergeCell ref="N5:N6"/>
    <mergeCell ref="A5:A6"/>
    <mergeCell ref="B5:B6"/>
    <mergeCell ref="C5:D6"/>
    <mergeCell ref="E5:E6"/>
    <mergeCell ref="F5:F6"/>
    <mergeCell ref="G5:G6"/>
    <mergeCell ref="C93:C100"/>
    <mergeCell ref="D93:D100"/>
    <mergeCell ref="E93:E100"/>
    <mergeCell ref="F93:F100"/>
    <mergeCell ref="M93:M100"/>
    <mergeCell ref="N93:N100"/>
    <mergeCell ref="C87:C89"/>
    <mergeCell ref="D87:D89"/>
    <mergeCell ref="E87:E89"/>
    <mergeCell ref="F87:F89"/>
    <mergeCell ref="M87:M89"/>
    <mergeCell ref="N87:N89"/>
    <mergeCell ref="C76:C77"/>
    <mergeCell ref="D76:D77"/>
    <mergeCell ref="E76:E77"/>
    <mergeCell ref="F76:F77"/>
    <mergeCell ref="M76:M77"/>
    <mergeCell ref="N76:N77"/>
    <mergeCell ref="C73:C75"/>
    <mergeCell ref="D73:D75"/>
    <mergeCell ref="E73:E75"/>
    <mergeCell ref="C123:C125"/>
    <mergeCell ref="D123:D125"/>
    <mergeCell ref="E123:E125"/>
    <mergeCell ref="F123:F125"/>
    <mergeCell ref="M123:M127"/>
    <mergeCell ref="N123:N127"/>
    <mergeCell ref="O123:O127"/>
    <mergeCell ref="C126:C127"/>
    <mergeCell ref="O131:O134"/>
    <mergeCell ref="C133:C134"/>
    <mergeCell ref="D133:D134"/>
    <mergeCell ref="E133:E134"/>
    <mergeCell ref="F133:F134"/>
    <mergeCell ref="D126:D127"/>
    <mergeCell ref="E126:E127"/>
    <mergeCell ref="F126:F127"/>
    <mergeCell ref="C131:C132"/>
    <mergeCell ref="D131:D132"/>
    <mergeCell ref="E131:E132"/>
    <mergeCell ref="F131:F132"/>
    <mergeCell ref="M131:M134"/>
    <mergeCell ref="N131:N134"/>
    <mergeCell ref="C148:C150"/>
    <mergeCell ref="D148:D150"/>
    <mergeCell ref="E148:E150"/>
    <mergeCell ref="F148:F150"/>
    <mergeCell ref="M148:M150"/>
    <mergeCell ref="N148:N150"/>
    <mergeCell ref="O148:O150"/>
    <mergeCell ref="C140:C144"/>
    <mergeCell ref="D140:D144"/>
    <mergeCell ref="E140:E144"/>
    <mergeCell ref="F140:F144"/>
    <mergeCell ref="M140:M144"/>
    <mergeCell ref="N140:N144"/>
    <mergeCell ref="O140:O144"/>
    <mergeCell ref="C161:C165"/>
    <mergeCell ref="D161:D165"/>
    <mergeCell ref="E161:E165"/>
    <mergeCell ref="F161:F165"/>
    <mergeCell ref="M161:M165"/>
    <mergeCell ref="N161:N165"/>
    <mergeCell ref="O161:O165"/>
    <mergeCell ref="C154:C155"/>
    <mergeCell ref="D154:D155"/>
    <mergeCell ref="E154:E155"/>
    <mergeCell ref="F154:F155"/>
    <mergeCell ref="M154:M155"/>
    <mergeCell ref="N154:N155"/>
    <mergeCell ref="O154:O155"/>
    <mergeCell ref="C184:C186"/>
    <mergeCell ref="D184:D186"/>
    <mergeCell ref="E184:E186"/>
    <mergeCell ref="F184:F186"/>
    <mergeCell ref="M184:M186"/>
    <mergeCell ref="N184:N186"/>
    <mergeCell ref="C169:C170"/>
    <mergeCell ref="D169:D170"/>
    <mergeCell ref="E169:E170"/>
    <mergeCell ref="F169:F170"/>
    <mergeCell ref="G169:G170"/>
    <mergeCell ref="M169:M170"/>
    <mergeCell ref="N169:N170"/>
    <mergeCell ref="C221:C222"/>
    <mergeCell ref="D221:D222"/>
    <mergeCell ref="E221:E222"/>
    <mergeCell ref="F221:F222"/>
    <mergeCell ref="M221:M222"/>
    <mergeCell ref="N221:N222"/>
    <mergeCell ref="O221:O222"/>
    <mergeCell ref="C201:C203"/>
    <mergeCell ref="D201:D203"/>
    <mergeCell ref="E201:E203"/>
    <mergeCell ref="F201:F203"/>
    <mergeCell ref="M201:M203"/>
    <mergeCell ref="N201:N203"/>
    <mergeCell ref="O201:O203"/>
    <mergeCell ref="C234:C235"/>
    <mergeCell ref="D234:D235"/>
    <mergeCell ref="E234:E235"/>
    <mergeCell ref="F234:F235"/>
    <mergeCell ref="M234:M236"/>
    <mergeCell ref="C242:C243"/>
    <mergeCell ref="D242:D243"/>
    <mergeCell ref="E242:E243"/>
    <mergeCell ref="F242:F243"/>
    <mergeCell ref="G240:G243"/>
    <mergeCell ref="M240:M243"/>
    <mergeCell ref="M283:M284"/>
    <mergeCell ref="N283:N284"/>
    <mergeCell ref="O283:O284"/>
    <mergeCell ref="M289:M293"/>
    <mergeCell ref="N289:N293"/>
    <mergeCell ref="O289:O293"/>
    <mergeCell ref="M255:M256"/>
    <mergeCell ref="N255:N256"/>
    <mergeCell ref="O255:O256"/>
    <mergeCell ref="M274:M279"/>
    <mergeCell ref="N274:N279"/>
    <mergeCell ref="O274:O279"/>
    <mergeCell ref="C321:F321"/>
    <mergeCell ref="M324:M325"/>
    <mergeCell ref="N324:N326"/>
    <mergeCell ref="O324:O326"/>
    <mergeCell ref="M301:M304"/>
    <mergeCell ref="N301:N304"/>
    <mergeCell ref="O301:O304"/>
    <mergeCell ref="M308:M313"/>
    <mergeCell ref="N308:N311"/>
    <mergeCell ref="O308:O311"/>
    <mergeCell ref="M334:M338"/>
    <mergeCell ref="N334:N338"/>
    <mergeCell ref="O334:O338"/>
    <mergeCell ref="H347:O347"/>
    <mergeCell ref="H354:O354"/>
    <mergeCell ref="H364:P364"/>
    <mergeCell ref="M317:M320"/>
    <mergeCell ref="N317:N320"/>
    <mergeCell ref="O317:O320"/>
    <mergeCell ref="H379:Q379"/>
    <mergeCell ref="H385:P385"/>
    <mergeCell ref="M386:M393"/>
    <mergeCell ref="N386:N393"/>
    <mergeCell ref="O386:O393"/>
    <mergeCell ref="H396:Q396"/>
    <mergeCell ref="M365:M367"/>
    <mergeCell ref="N365:N367"/>
    <mergeCell ref="O365:O367"/>
    <mergeCell ref="H370:P370"/>
    <mergeCell ref="M371:M376"/>
    <mergeCell ref="N371:N376"/>
    <mergeCell ref="O371:O376"/>
    <mergeCell ref="H416:Q416"/>
    <mergeCell ref="H422:Q422"/>
    <mergeCell ref="M423:M427"/>
    <mergeCell ref="N423:N427"/>
    <mergeCell ref="O423:O427"/>
    <mergeCell ref="H430:Q430"/>
    <mergeCell ref="M397:M406"/>
    <mergeCell ref="N397:N406"/>
    <mergeCell ref="O397:O406"/>
    <mergeCell ref="H409:Q409"/>
    <mergeCell ref="M410:M413"/>
    <mergeCell ref="N410:N413"/>
    <mergeCell ref="O410:O413"/>
    <mergeCell ref="H440:Q440"/>
    <mergeCell ref="C441:C442"/>
    <mergeCell ref="D441:D442"/>
    <mergeCell ref="E441:E442"/>
    <mergeCell ref="F441:F442"/>
    <mergeCell ref="M441:M442"/>
    <mergeCell ref="N441:N442"/>
    <mergeCell ref="O441:O442"/>
    <mergeCell ref="M431:M434"/>
    <mergeCell ref="N431:N434"/>
    <mergeCell ref="O431:O434"/>
    <mergeCell ref="H445:Q445"/>
    <mergeCell ref="H449:R449"/>
    <mergeCell ref="H453:Q453"/>
    <mergeCell ref="C454:C455"/>
    <mergeCell ref="D454:D455"/>
    <mergeCell ref="E454:E455"/>
    <mergeCell ref="F454:F455"/>
    <mergeCell ref="M454:M455"/>
    <mergeCell ref="N454:N455"/>
    <mergeCell ref="O454:O455"/>
    <mergeCell ref="H460:Q460"/>
    <mergeCell ref="C471:C472"/>
    <mergeCell ref="D471:D472"/>
    <mergeCell ref="E471:E472"/>
    <mergeCell ref="F471:F472"/>
    <mergeCell ref="M471:M472"/>
    <mergeCell ref="N471:N472"/>
    <mergeCell ref="O471:O472"/>
    <mergeCell ref="C482:C484"/>
    <mergeCell ref="D482:D484"/>
    <mergeCell ref="E482:E484"/>
    <mergeCell ref="F482:F484"/>
    <mergeCell ref="M482:M484"/>
    <mergeCell ref="N482:N484"/>
    <mergeCell ref="O482:O484"/>
    <mergeCell ref="C524:C527"/>
    <mergeCell ref="D524:D527"/>
    <mergeCell ref="E524:E527"/>
    <mergeCell ref="F524:F527"/>
    <mergeCell ref="M524:M527"/>
    <mergeCell ref="M488:M490"/>
    <mergeCell ref="N488:N490"/>
    <mergeCell ref="O488:O490"/>
    <mergeCell ref="N524:N527"/>
    <mergeCell ref="O524:O527"/>
    <mergeCell ref="M547:M549"/>
    <mergeCell ref="N547:N549"/>
    <mergeCell ref="O547:O549"/>
    <mergeCell ref="C555:C556"/>
    <mergeCell ref="D555:D556"/>
    <mergeCell ref="E555:E556"/>
    <mergeCell ref="F555:F556"/>
    <mergeCell ref="G555:G556"/>
    <mergeCell ref="M555:M556"/>
    <mergeCell ref="N555:N556"/>
    <mergeCell ref="O555:O556"/>
    <mergeCell ref="M560:M563"/>
    <mergeCell ref="N560:N563"/>
    <mergeCell ref="O560:O563"/>
    <mergeCell ref="H566:Q566"/>
    <mergeCell ref="C567:C569"/>
    <mergeCell ref="D567:D569"/>
    <mergeCell ref="E567:E569"/>
    <mergeCell ref="F567:F569"/>
    <mergeCell ref="M567:M569"/>
    <mergeCell ref="C574:C575"/>
    <mergeCell ref="D574:D575"/>
    <mergeCell ref="E574:E575"/>
    <mergeCell ref="F574:F575"/>
    <mergeCell ref="M579:M580"/>
    <mergeCell ref="N579:N580"/>
    <mergeCell ref="O579:O580"/>
    <mergeCell ref="N567:N569"/>
    <mergeCell ref="O567:O569"/>
    <mergeCell ref="G573:G575"/>
    <mergeCell ref="M573:M575"/>
    <mergeCell ref="N573:N575"/>
    <mergeCell ref="O573:O575"/>
    <mergeCell ref="M581:M582"/>
    <mergeCell ref="N581:N582"/>
    <mergeCell ref="O581:O582"/>
    <mergeCell ref="H586:Q586"/>
    <mergeCell ref="C587:C588"/>
    <mergeCell ref="D587:D588"/>
    <mergeCell ref="E587:E588"/>
    <mergeCell ref="F587:F588"/>
    <mergeCell ref="G587:G588"/>
    <mergeCell ref="M587:M588"/>
    <mergeCell ref="H596:Q596"/>
    <mergeCell ref="D597:D598"/>
    <mergeCell ref="E597:E598"/>
    <mergeCell ref="F597:F598"/>
    <mergeCell ref="G597:G598"/>
    <mergeCell ref="M597:M599"/>
    <mergeCell ref="N597:N599"/>
    <mergeCell ref="O597:O599"/>
    <mergeCell ref="N587:N588"/>
    <mergeCell ref="O587:O588"/>
    <mergeCell ref="H591:P591"/>
    <mergeCell ref="G592:G593"/>
    <mergeCell ref="M592:M593"/>
    <mergeCell ref="N592:N593"/>
    <mergeCell ref="O592:O593"/>
    <mergeCell ref="H602:Q602"/>
    <mergeCell ref="M603:M606"/>
    <mergeCell ref="N603:N606"/>
    <mergeCell ref="O603:O606"/>
    <mergeCell ref="H609:O609"/>
    <mergeCell ref="C610:C611"/>
    <mergeCell ref="D610:D611"/>
    <mergeCell ref="E610:E611"/>
    <mergeCell ref="F610:F611"/>
    <mergeCell ref="G610:G611"/>
    <mergeCell ref="M610:M611"/>
    <mergeCell ref="N610:N611"/>
    <mergeCell ref="O610:O611"/>
    <mergeCell ref="H614:Q614"/>
    <mergeCell ref="C616:C617"/>
    <mergeCell ref="D616:D617"/>
    <mergeCell ref="E616:E617"/>
    <mergeCell ref="F616:F617"/>
    <mergeCell ref="M616:M617"/>
    <mergeCell ref="N616:N617"/>
    <mergeCell ref="O616:O617"/>
    <mergeCell ref="H622:P622"/>
    <mergeCell ref="H630:P630"/>
    <mergeCell ref="H636:P636"/>
    <mergeCell ref="C637:C639"/>
    <mergeCell ref="D637:D639"/>
    <mergeCell ref="E637:E639"/>
    <mergeCell ref="F637:F639"/>
    <mergeCell ref="G637:G639"/>
    <mergeCell ref="M637:M639"/>
    <mergeCell ref="N637:N639"/>
    <mergeCell ref="O637:O639"/>
    <mergeCell ref="H642:P642"/>
    <mergeCell ref="H646:P646"/>
    <mergeCell ref="C647:C648"/>
    <mergeCell ref="D647:D648"/>
    <mergeCell ref="E647:E648"/>
    <mergeCell ref="F647:F648"/>
    <mergeCell ref="M647:M648"/>
    <mergeCell ref="N647:N648"/>
    <mergeCell ref="O647:O648"/>
    <mergeCell ref="H652:P652"/>
    <mergeCell ref="C653:C654"/>
    <mergeCell ref="D653:D654"/>
    <mergeCell ref="E653:E654"/>
    <mergeCell ref="F653:F654"/>
    <mergeCell ref="G653:G654"/>
    <mergeCell ref="B711:B713"/>
    <mergeCell ref="B719:E719"/>
    <mergeCell ref="C720:F720"/>
    <mergeCell ref="G665:G667"/>
    <mergeCell ref="M665:M667"/>
    <mergeCell ref="N665:N667"/>
    <mergeCell ref="O665:O667"/>
    <mergeCell ref="A673:O673"/>
    <mergeCell ref="E679:E680"/>
    <mergeCell ref="F679:F680"/>
    <mergeCell ref="N679:N680"/>
    <mergeCell ref="O679:O680"/>
    <mergeCell ref="M653:M654"/>
    <mergeCell ref="N653:N654"/>
    <mergeCell ref="O653:O654"/>
    <mergeCell ref="H657:P657"/>
    <mergeCell ref="C658:C659"/>
    <mergeCell ref="D658:D659"/>
    <mergeCell ref="E658:E659"/>
    <mergeCell ref="F658:F659"/>
    <mergeCell ref="G658:G659"/>
    <mergeCell ref="M658:M659"/>
    <mergeCell ref="N658:N659"/>
    <mergeCell ref="O658:O659"/>
    <mergeCell ref="H678:P678"/>
    <mergeCell ref="C679:C680"/>
    <mergeCell ref="D679:D680"/>
    <mergeCell ref="H664:P664"/>
    <mergeCell ref="AO746:AP746"/>
    <mergeCell ref="C739:C741"/>
    <mergeCell ref="D739:D741"/>
    <mergeCell ref="E739:E741"/>
    <mergeCell ref="F739:F741"/>
    <mergeCell ref="N739:N741"/>
    <mergeCell ref="O739:O741"/>
    <mergeCell ref="M726:M729"/>
    <mergeCell ref="N726:N729"/>
    <mergeCell ref="O726:O729"/>
    <mergeCell ref="B699:B707"/>
    <mergeCell ref="C700:C702"/>
    <mergeCell ref="D700:D702"/>
    <mergeCell ref="E700:E702"/>
    <mergeCell ref="F700:F702"/>
    <mergeCell ref="G700:G702"/>
    <mergeCell ref="N700:N702"/>
    <mergeCell ref="O700:O702"/>
    <mergeCell ref="C692:C694"/>
    <mergeCell ref="D692:D694"/>
    <mergeCell ref="E692:E694"/>
    <mergeCell ref="F692:F694"/>
    <mergeCell ref="G692:G694"/>
    <mergeCell ref="N692:N694"/>
    <mergeCell ref="O692:O694"/>
  </mergeCells>
  <conditionalFormatting sqref="H537:H720 H722:H724 H726:H737 H739:H1048576 H5:H19 H21:H86 H110:H199 H101:H107 H88:H92 H202:H535">
    <cfRule type="duplicateValues" dxfId="5" priority="116"/>
  </conditionalFormatting>
  <conditionalFormatting sqref="H536 K536 N536 Q536">
    <cfRule type="duplicateValues" dxfId="4" priority="115"/>
  </conditionalFormatting>
  <conditionalFormatting sqref="H721">
    <cfRule type="duplicateValues" dxfId="3" priority="114"/>
  </conditionalFormatting>
  <conditionalFormatting sqref="H725">
    <cfRule type="duplicateValues" dxfId="2" priority="113"/>
  </conditionalFormatting>
  <conditionalFormatting sqref="H738">
    <cfRule type="duplicateValues" dxfId="1" priority="112"/>
  </conditionalFormatting>
  <conditionalFormatting sqref="H20">
    <cfRule type="duplicateValues" dxfId="0" priority="11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128"/>
  <sheetViews>
    <sheetView workbookViewId="0">
      <selection activeCell="C9" sqref="C9"/>
    </sheetView>
  </sheetViews>
  <sheetFormatPr baseColWidth="10" defaultRowHeight="12.75" x14ac:dyDescent="0.25"/>
  <cols>
    <col min="1" max="1" width="11.42578125" style="683"/>
    <col min="2" max="2" width="17.28515625" style="684" customWidth="1"/>
    <col min="3" max="3" width="82.42578125" style="684" customWidth="1"/>
    <col min="4" max="4" width="23.28515625" style="684" customWidth="1"/>
    <col min="5" max="5" width="22.28515625" style="701" customWidth="1"/>
    <col min="6" max="6" width="19.85546875" style="701" customWidth="1"/>
    <col min="7" max="7" width="18.5703125" style="701" customWidth="1"/>
    <col min="8" max="8" width="18.28515625" style="684" customWidth="1"/>
    <col min="9" max="9" width="17.7109375" style="684" customWidth="1"/>
    <col min="10" max="16384" width="11.42578125" style="684"/>
  </cols>
  <sheetData>
    <row r="1" spans="1:7" ht="23.25" customHeight="1" x14ac:dyDescent="0.25">
      <c r="A1" s="897"/>
      <c r="B1" s="1101" t="s">
        <v>944</v>
      </c>
      <c r="C1" s="1101"/>
      <c r="D1" s="1101"/>
      <c r="E1" s="1101"/>
      <c r="F1" s="1101"/>
      <c r="G1" s="1102"/>
    </row>
    <row r="2" spans="1:7" s="685" customFormat="1" ht="23.25" customHeight="1" x14ac:dyDescent="0.25">
      <c r="A2" s="898"/>
      <c r="B2" s="1103" t="s">
        <v>945</v>
      </c>
      <c r="C2" s="1103"/>
      <c r="D2" s="1103"/>
      <c r="E2" s="1103"/>
      <c r="F2" s="1103"/>
      <c r="G2" s="1104"/>
    </row>
    <row r="3" spans="1:7" s="685" customFormat="1" ht="23.25" customHeight="1" x14ac:dyDescent="0.25">
      <c r="A3" s="1105" t="s">
        <v>982</v>
      </c>
      <c r="B3" s="1106"/>
      <c r="C3" s="1106"/>
      <c r="D3" s="1106"/>
      <c r="E3" s="1106"/>
      <c r="F3" s="1106"/>
      <c r="G3" s="1107"/>
    </row>
    <row r="4" spans="1:7" s="685" customFormat="1" ht="4.5" customHeight="1" x14ac:dyDescent="0.25">
      <c r="A4" s="899"/>
      <c r="B4" s="904"/>
      <c r="C4" s="904"/>
      <c r="D4" s="904"/>
      <c r="E4" s="900"/>
      <c r="F4" s="900"/>
      <c r="G4" s="901"/>
    </row>
    <row r="5" spans="1:7" s="685" customFormat="1" ht="23.25" customHeight="1" x14ac:dyDescent="0.25">
      <c r="A5" s="902" t="s">
        <v>946</v>
      </c>
      <c r="B5" s="903" t="s">
        <v>947</v>
      </c>
      <c r="C5" s="903" t="s">
        <v>948</v>
      </c>
      <c r="D5" s="903" t="s">
        <v>949</v>
      </c>
      <c r="E5" s="903" t="s">
        <v>950</v>
      </c>
      <c r="F5" s="903" t="s">
        <v>980</v>
      </c>
      <c r="G5" s="903" t="s">
        <v>981</v>
      </c>
    </row>
    <row r="6" spans="1:7" s="689" customFormat="1" ht="24" customHeight="1" x14ac:dyDescent="0.25">
      <c r="A6" s="686">
        <v>1</v>
      </c>
      <c r="B6" s="687" t="s">
        <v>40</v>
      </c>
      <c r="C6" s="688" t="s">
        <v>41</v>
      </c>
      <c r="D6" s="688" t="s">
        <v>951</v>
      </c>
      <c r="E6" s="703">
        <f>+'POAI ENERO-SEPT-2017 '!AR11</f>
        <v>38999999.940345503</v>
      </c>
      <c r="F6" s="703"/>
      <c r="G6" s="703"/>
    </row>
    <row r="7" spans="1:7" s="689" customFormat="1" ht="28.5" customHeight="1" x14ac:dyDescent="0.25">
      <c r="A7" s="686">
        <v>2</v>
      </c>
      <c r="B7" s="687" t="s">
        <v>45</v>
      </c>
      <c r="C7" s="688" t="s">
        <v>46</v>
      </c>
      <c r="D7" s="688" t="s">
        <v>951</v>
      </c>
      <c r="E7" s="703">
        <f>+'POAI ENERO-SEPT-2017 '!AR12</f>
        <v>48317341.163003899</v>
      </c>
      <c r="F7" s="703"/>
      <c r="G7" s="703"/>
    </row>
    <row r="8" spans="1:7" s="689" customFormat="1" ht="24" customHeight="1" x14ac:dyDescent="0.25">
      <c r="A8" s="686">
        <v>3</v>
      </c>
      <c r="B8" s="690" t="s">
        <v>50</v>
      </c>
      <c r="C8" s="688" t="s">
        <v>51</v>
      </c>
      <c r="D8" s="688" t="s">
        <v>951</v>
      </c>
      <c r="E8" s="703">
        <f>+'POAI ENERO-SEPT-2017 '!AR13</f>
        <v>70162426.596925095</v>
      </c>
      <c r="F8" s="703"/>
      <c r="G8" s="703"/>
    </row>
    <row r="9" spans="1:7" s="689" customFormat="1" ht="31.5" customHeight="1" x14ac:dyDescent="0.25">
      <c r="A9" s="686">
        <v>4</v>
      </c>
      <c r="B9" s="690" t="s">
        <v>52</v>
      </c>
      <c r="C9" s="688" t="s">
        <v>53</v>
      </c>
      <c r="D9" s="688" t="s">
        <v>951</v>
      </c>
      <c r="E9" s="703">
        <f>+'POAI ENERO-SEPT-2017 '!AR14</f>
        <v>59525000.337795399</v>
      </c>
      <c r="F9" s="703"/>
      <c r="G9" s="703"/>
    </row>
    <row r="10" spans="1:7" s="689" customFormat="1" ht="30.75" customHeight="1" x14ac:dyDescent="0.25">
      <c r="A10" s="686">
        <v>5</v>
      </c>
      <c r="B10" s="691" t="s">
        <v>55</v>
      </c>
      <c r="C10" s="692" t="s">
        <v>56</v>
      </c>
      <c r="D10" s="688" t="s">
        <v>951</v>
      </c>
      <c r="E10" s="703">
        <f>SUM('POAI ENERO-SEPT-2017 '!AR15:AR19)</f>
        <v>1937642632.7192574</v>
      </c>
      <c r="F10" s="703">
        <f>SUM(E6:E10)</f>
        <v>2154647400.7573271</v>
      </c>
      <c r="G10" s="703">
        <f>+'POAI ENERO-SEPT-2017 '!AR21</f>
        <v>2154647400.7573271</v>
      </c>
    </row>
    <row r="11" spans="1:7" s="689" customFormat="1" ht="42" customHeight="1" x14ac:dyDescent="0.25">
      <c r="A11" s="686">
        <v>6</v>
      </c>
      <c r="B11" s="690" t="s">
        <v>66</v>
      </c>
      <c r="C11" s="688" t="s">
        <v>67</v>
      </c>
      <c r="D11" s="688" t="s">
        <v>952</v>
      </c>
      <c r="E11" s="703">
        <f>+'POAI ENERO-SEPT-2017 '!AR30</f>
        <v>30000000</v>
      </c>
      <c r="F11" s="703"/>
      <c r="G11" s="703"/>
    </row>
    <row r="12" spans="1:7" s="689" customFormat="1" ht="24" customHeight="1" x14ac:dyDescent="0.25">
      <c r="A12" s="686">
        <v>7</v>
      </c>
      <c r="B12" s="691" t="s">
        <v>953</v>
      </c>
      <c r="C12" s="692" t="s">
        <v>77</v>
      </c>
      <c r="D12" s="688" t="s">
        <v>952</v>
      </c>
      <c r="E12" s="703">
        <f>+'POAI ENERO-SEPT-2017 '!AR40</f>
        <v>140000000</v>
      </c>
      <c r="F12" s="703"/>
      <c r="G12" s="703"/>
    </row>
    <row r="13" spans="1:7" s="689" customFormat="1" ht="31.5" customHeight="1" x14ac:dyDescent="0.25">
      <c r="A13" s="686">
        <v>8</v>
      </c>
      <c r="B13" s="691" t="s">
        <v>80</v>
      </c>
      <c r="C13" s="693" t="s">
        <v>81</v>
      </c>
      <c r="D13" s="688" t="s">
        <v>952</v>
      </c>
      <c r="E13" s="703">
        <f>SUM('POAI ENERO-SEPT-2017 '!AR46:AR50)</f>
        <v>234700000</v>
      </c>
      <c r="F13" s="703"/>
      <c r="G13" s="703"/>
    </row>
    <row r="14" spans="1:7" s="689" customFormat="1" ht="24" customHeight="1" x14ac:dyDescent="0.25">
      <c r="A14" s="686">
        <v>9</v>
      </c>
      <c r="B14" s="691" t="s">
        <v>87</v>
      </c>
      <c r="C14" s="692" t="s">
        <v>88</v>
      </c>
      <c r="D14" s="688" t="s">
        <v>952</v>
      </c>
      <c r="E14" s="703">
        <f>+'POAI ENERO-SEPT-2017 '!AR51</f>
        <v>25000000</v>
      </c>
      <c r="F14" s="703"/>
      <c r="G14" s="703"/>
    </row>
    <row r="15" spans="1:7" s="689" customFormat="1" ht="31.5" customHeight="1" x14ac:dyDescent="0.25">
      <c r="A15" s="686">
        <v>10</v>
      </c>
      <c r="B15" s="691" t="s">
        <v>90</v>
      </c>
      <c r="C15" s="692" t="s">
        <v>91</v>
      </c>
      <c r="D15" s="688" t="s">
        <v>952</v>
      </c>
      <c r="E15" s="703">
        <f>+'POAI ENERO-SEPT-2017 '!AR52</f>
        <v>215000000</v>
      </c>
      <c r="F15" s="703"/>
      <c r="G15" s="703"/>
    </row>
    <row r="16" spans="1:7" s="689" customFormat="1" ht="31.5" customHeight="1" x14ac:dyDescent="0.25">
      <c r="A16" s="686">
        <v>11</v>
      </c>
      <c r="B16" s="691" t="s">
        <v>94</v>
      </c>
      <c r="C16" s="692" t="s">
        <v>95</v>
      </c>
      <c r="D16" s="688" t="s">
        <v>952</v>
      </c>
      <c r="E16" s="703">
        <f>+'POAI ENERO-SEPT-2017 '!AR53</f>
        <v>645000000</v>
      </c>
      <c r="F16" s="703"/>
      <c r="G16" s="703"/>
    </row>
    <row r="17" spans="1:9" s="689" customFormat="1" ht="30" customHeight="1" x14ac:dyDescent="0.25">
      <c r="A17" s="686">
        <v>12</v>
      </c>
      <c r="B17" s="691" t="s">
        <v>97</v>
      </c>
      <c r="C17" s="692" t="s">
        <v>98</v>
      </c>
      <c r="D17" s="688" t="s">
        <v>952</v>
      </c>
      <c r="E17" s="703">
        <f>+'POAI ENERO-SEPT-2017 '!AR54</f>
        <v>36000000</v>
      </c>
      <c r="F17" s="703"/>
      <c r="G17" s="703"/>
    </row>
    <row r="18" spans="1:9" s="689" customFormat="1" ht="30" customHeight="1" x14ac:dyDescent="0.25">
      <c r="A18" s="686">
        <v>13</v>
      </c>
      <c r="B18" s="691" t="s">
        <v>100</v>
      </c>
      <c r="C18" s="692" t="s">
        <v>101</v>
      </c>
      <c r="D18" s="688" t="s">
        <v>952</v>
      </c>
      <c r="E18" s="703">
        <f>SUM('POAI ENERO-SEPT-2017 '!AR55:AR63)</f>
        <v>164300000</v>
      </c>
      <c r="F18" s="703"/>
      <c r="G18" s="703"/>
    </row>
    <row r="19" spans="1:9" s="689" customFormat="1" ht="30.75" customHeight="1" x14ac:dyDescent="0.25">
      <c r="A19" s="686">
        <v>14</v>
      </c>
      <c r="B19" s="691" t="s">
        <v>70</v>
      </c>
      <c r="C19" s="692" t="s">
        <v>71</v>
      </c>
      <c r="D19" s="688" t="s">
        <v>952</v>
      </c>
      <c r="E19" s="703">
        <f>+'POAI ENERO-SEPT-2017 '!AR34</f>
        <v>40000000</v>
      </c>
      <c r="F19" s="703">
        <f>SUM(E11:E19)</f>
        <v>1530000000</v>
      </c>
      <c r="G19" s="703">
        <f>+'POAI ENERO-SEPT-2017 '!AR67</f>
        <v>1530000000</v>
      </c>
    </row>
    <row r="20" spans="1:9" s="689" customFormat="1" ht="32.25" customHeight="1" x14ac:dyDescent="0.25">
      <c r="A20" s="686">
        <v>15</v>
      </c>
      <c r="B20" s="691" t="s">
        <v>113</v>
      </c>
      <c r="C20" s="692" t="s">
        <v>114</v>
      </c>
      <c r="D20" s="692" t="s">
        <v>954</v>
      </c>
      <c r="E20" s="703">
        <f>SUM('POAI ENERO-SEPT-2017 '!AR73:AR75)</f>
        <v>1856545836</v>
      </c>
      <c r="F20" s="703"/>
      <c r="G20" s="703"/>
    </row>
    <row r="21" spans="1:9" s="689" customFormat="1" ht="31.5" customHeight="1" x14ac:dyDescent="0.25">
      <c r="A21" s="686">
        <v>16</v>
      </c>
      <c r="B21" s="691" t="s">
        <v>118</v>
      </c>
      <c r="C21" s="692" t="s">
        <v>119</v>
      </c>
      <c r="D21" s="692" t="s">
        <v>954</v>
      </c>
      <c r="E21" s="703">
        <f>SUM('POAI ENERO-SEPT-2017 '!AR76:AR77)</f>
        <v>374188531</v>
      </c>
      <c r="F21" s="703">
        <f>SUM(E20:E21)</f>
        <v>2230734367</v>
      </c>
      <c r="G21" s="703">
        <f>+'POAI ENERO-SEPT-2017 '!AR81</f>
        <v>2230734367</v>
      </c>
      <c r="H21" s="702"/>
      <c r="I21" s="702"/>
    </row>
    <row r="22" spans="1:9" s="689" customFormat="1" ht="32.25" customHeight="1" x14ac:dyDescent="0.25">
      <c r="A22" s="686">
        <v>17</v>
      </c>
      <c r="B22" s="691" t="s">
        <v>128</v>
      </c>
      <c r="C22" s="692" t="s">
        <v>129</v>
      </c>
      <c r="D22" s="692" t="s">
        <v>955</v>
      </c>
      <c r="E22" s="703">
        <f>SUM('POAI ENERO-SEPT-2017 '!AR87:AR89)</f>
        <v>1267555571</v>
      </c>
      <c r="F22" s="703"/>
      <c r="G22" s="703"/>
    </row>
    <row r="23" spans="1:9" s="689" customFormat="1" ht="24" customHeight="1" x14ac:dyDescent="0.25">
      <c r="A23" s="686">
        <v>18</v>
      </c>
      <c r="B23" s="694" t="s">
        <v>136</v>
      </c>
      <c r="C23" s="692" t="s">
        <v>137</v>
      </c>
      <c r="D23" s="692" t="s">
        <v>955</v>
      </c>
      <c r="E23" s="703">
        <f>SUM('POAI ENERO-SEPT-2017 '!AR93:AR100)</f>
        <v>10277171781</v>
      </c>
      <c r="F23" s="703"/>
      <c r="G23" s="703"/>
    </row>
    <row r="24" spans="1:9" s="689" customFormat="1" ht="32.25" customHeight="1" x14ac:dyDescent="0.25">
      <c r="A24" s="686">
        <v>19</v>
      </c>
      <c r="B24" s="694" t="s">
        <v>153</v>
      </c>
      <c r="C24" s="692" t="s">
        <v>154</v>
      </c>
      <c r="D24" s="692" t="s">
        <v>955</v>
      </c>
      <c r="E24" s="703">
        <f>+'POAI ENERO-SEPT-2017 '!AR108</f>
        <v>831033294</v>
      </c>
      <c r="F24" s="703"/>
      <c r="G24" s="703"/>
    </row>
    <row r="25" spans="1:9" s="689" customFormat="1" ht="31.5" customHeight="1" x14ac:dyDescent="0.25">
      <c r="A25" s="686">
        <v>20</v>
      </c>
      <c r="B25" s="694" t="s">
        <v>155</v>
      </c>
      <c r="C25" s="692" t="s">
        <v>156</v>
      </c>
      <c r="D25" s="692" t="s">
        <v>955</v>
      </c>
      <c r="E25" s="703">
        <f>+'POAI ENERO-SEPT-2017 '!AR109</f>
        <v>739949470</v>
      </c>
      <c r="F25" s="703"/>
      <c r="G25" s="703"/>
    </row>
    <row r="26" spans="1:9" s="689" customFormat="1" ht="30.75" customHeight="1" x14ac:dyDescent="0.25">
      <c r="A26" s="686">
        <v>21</v>
      </c>
      <c r="B26" s="694" t="s">
        <v>158</v>
      </c>
      <c r="C26" s="692" t="s">
        <v>159</v>
      </c>
      <c r="D26" s="692" t="s">
        <v>955</v>
      </c>
      <c r="E26" s="703">
        <f>+'POAI ENERO-SEPT-2017 '!AR110</f>
        <v>49717417.740000002</v>
      </c>
      <c r="F26" s="703"/>
      <c r="G26" s="703"/>
    </row>
    <row r="27" spans="1:9" s="689" customFormat="1" ht="32.25" customHeight="1" x14ac:dyDescent="0.25">
      <c r="A27" s="686">
        <v>22</v>
      </c>
      <c r="B27" s="694" t="s">
        <v>161</v>
      </c>
      <c r="C27" s="695" t="s">
        <v>162</v>
      </c>
      <c r="D27" s="692" t="s">
        <v>955</v>
      </c>
      <c r="E27" s="703">
        <f>+'POAI ENERO-SEPT-2017 '!AR111</f>
        <v>324800000</v>
      </c>
      <c r="F27" s="703"/>
      <c r="G27" s="703"/>
    </row>
    <row r="28" spans="1:9" s="689" customFormat="1" ht="30" customHeight="1" x14ac:dyDescent="0.25">
      <c r="A28" s="686">
        <v>23</v>
      </c>
      <c r="B28" s="694" t="s">
        <v>164</v>
      </c>
      <c r="C28" s="695" t="s">
        <v>165</v>
      </c>
      <c r="D28" s="692" t="s">
        <v>955</v>
      </c>
      <c r="E28" s="703">
        <f>+'POAI ENERO-SEPT-2017 '!AR112</f>
        <v>1032300000</v>
      </c>
      <c r="F28" s="703"/>
      <c r="G28" s="703"/>
    </row>
    <row r="29" spans="1:9" s="689" customFormat="1" ht="30" customHeight="1" x14ac:dyDescent="0.25">
      <c r="A29" s="686">
        <v>24</v>
      </c>
      <c r="B29" s="694" t="s">
        <v>167</v>
      </c>
      <c r="C29" s="695" t="s">
        <v>168</v>
      </c>
      <c r="D29" s="692" t="s">
        <v>955</v>
      </c>
      <c r="E29" s="703">
        <f>+'POAI ENERO-SEPT-2017 '!AR113</f>
        <v>265000000</v>
      </c>
      <c r="F29" s="703">
        <f>SUM(E22:E29)</f>
        <v>14787527533.74</v>
      </c>
      <c r="G29" s="703">
        <f>+'POAI ENERO-SEPT-2017 '!AR117</f>
        <v>14787527533.74</v>
      </c>
      <c r="I29" s="702"/>
    </row>
    <row r="30" spans="1:9" s="689" customFormat="1" ht="24" customHeight="1" x14ac:dyDescent="0.25">
      <c r="A30" s="686">
        <v>25</v>
      </c>
      <c r="B30" s="694" t="s">
        <v>178</v>
      </c>
      <c r="C30" s="692" t="s">
        <v>179</v>
      </c>
      <c r="D30" s="692" t="s">
        <v>956</v>
      </c>
      <c r="E30" s="703">
        <f>SUM('POAI ENERO-SEPT-2017 '!AR123:AR127)</f>
        <v>9051631612</v>
      </c>
      <c r="F30" s="703"/>
      <c r="G30" s="703"/>
    </row>
    <row r="31" spans="1:9" s="689" customFormat="1" ht="24" customHeight="1" x14ac:dyDescent="0.25">
      <c r="A31" s="686">
        <v>26</v>
      </c>
      <c r="B31" s="694" t="s">
        <v>190</v>
      </c>
      <c r="C31" s="692" t="s">
        <v>191</v>
      </c>
      <c r="D31" s="692" t="s">
        <v>956</v>
      </c>
      <c r="E31" s="703">
        <f>SUM('POAI ENERO-SEPT-2017 '!AR131:AR134)</f>
        <v>638000000</v>
      </c>
      <c r="F31" s="703"/>
      <c r="G31" s="703"/>
    </row>
    <row r="32" spans="1:9" s="689" customFormat="1" ht="30.75" customHeight="1" x14ac:dyDescent="0.25">
      <c r="A32" s="686">
        <v>27</v>
      </c>
      <c r="B32" s="694" t="s">
        <v>202</v>
      </c>
      <c r="C32" s="692" t="s">
        <v>203</v>
      </c>
      <c r="D32" s="692" t="s">
        <v>956</v>
      </c>
      <c r="E32" s="703">
        <f>SUM('POAI ENERO-SEPT-2017 '!AR140:AR144)</f>
        <v>577189775.75</v>
      </c>
      <c r="F32" s="703"/>
      <c r="G32" s="703"/>
    </row>
    <row r="33" spans="1:7" s="689" customFormat="1" ht="31.5" customHeight="1" x14ac:dyDescent="0.25">
      <c r="A33" s="686">
        <v>28</v>
      </c>
      <c r="B33" s="694" t="s">
        <v>210</v>
      </c>
      <c r="C33" s="692" t="s">
        <v>211</v>
      </c>
      <c r="D33" s="692" t="s">
        <v>956</v>
      </c>
      <c r="E33" s="703">
        <f>SUM('POAI ENERO-SEPT-2017 '!AR148:AR150)</f>
        <v>37080000</v>
      </c>
      <c r="F33" s="703"/>
      <c r="G33" s="703"/>
    </row>
    <row r="34" spans="1:7" s="689" customFormat="1" ht="24" customHeight="1" x14ac:dyDescent="0.25">
      <c r="A34" s="686">
        <v>29</v>
      </c>
      <c r="B34" s="694" t="s">
        <v>216</v>
      </c>
      <c r="C34" s="692" t="s">
        <v>217</v>
      </c>
      <c r="D34" s="692" t="s">
        <v>956</v>
      </c>
      <c r="E34" s="703">
        <f>SUM('POAI ENERO-SEPT-2017 '!AR154:AR155)</f>
        <v>37080000</v>
      </c>
      <c r="F34" s="703"/>
      <c r="G34" s="703"/>
    </row>
    <row r="35" spans="1:7" s="689" customFormat="1" ht="31.5" customHeight="1" x14ac:dyDescent="0.25">
      <c r="A35" s="686">
        <v>30</v>
      </c>
      <c r="B35" s="694" t="s">
        <v>223</v>
      </c>
      <c r="C35" s="692" t="s">
        <v>224</v>
      </c>
      <c r="D35" s="692" t="s">
        <v>956</v>
      </c>
      <c r="E35" s="703">
        <f>SUM('POAI ENERO-SEPT-2017 '!AR161:AR165)</f>
        <v>507500000</v>
      </c>
      <c r="F35" s="703"/>
      <c r="G35" s="703"/>
    </row>
    <row r="36" spans="1:7" s="689" customFormat="1" ht="24" customHeight="1" x14ac:dyDescent="0.25">
      <c r="A36" s="686">
        <v>31</v>
      </c>
      <c r="B36" s="694" t="s">
        <v>231</v>
      </c>
      <c r="C36" s="692" t="s">
        <v>232</v>
      </c>
      <c r="D36" s="692" t="s">
        <v>956</v>
      </c>
      <c r="E36" s="703">
        <f>SUM('POAI ENERO-SEPT-2017 '!AR169:AR170)</f>
        <v>90000000</v>
      </c>
      <c r="F36" s="703"/>
      <c r="G36" s="703"/>
    </row>
    <row r="37" spans="1:7" s="689" customFormat="1" ht="24" customHeight="1" x14ac:dyDescent="0.25">
      <c r="A37" s="686">
        <v>32</v>
      </c>
      <c r="B37" s="694" t="s">
        <v>240</v>
      </c>
      <c r="C37" s="692" t="s">
        <v>241</v>
      </c>
      <c r="D37" s="692" t="s">
        <v>956</v>
      </c>
      <c r="E37" s="703">
        <f>SUM('POAI ENERO-SEPT-2017 '!AR184:AR186)</f>
        <v>505000000</v>
      </c>
      <c r="F37" s="703"/>
      <c r="G37" s="703"/>
    </row>
    <row r="38" spans="1:7" s="689" customFormat="1" ht="24" customHeight="1" x14ac:dyDescent="0.25">
      <c r="A38" s="686">
        <v>33</v>
      </c>
      <c r="B38" s="694" t="s">
        <v>245</v>
      </c>
      <c r="C38" s="692" t="s">
        <v>246</v>
      </c>
      <c r="D38" s="692" t="s">
        <v>956</v>
      </c>
      <c r="E38" s="703">
        <f>SUM('POAI ENERO-SEPT-2017 '!AR190)</f>
        <v>100500000</v>
      </c>
      <c r="F38" s="703"/>
      <c r="G38" s="703"/>
    </row>
    <row r="39" spans="1:7" s="689" customFormat="1" ht="24" customHeight="1" x14ac:dyDescent="0.25">
      <c r="A39" s="686">
        <v>34</v>
      </c>
      <c r="B39" s="691" t="s">
        <v>236</v>
      </c>
      <c r="C39" s="692" t="s">
        <v>237</v>
      </c>
      <c r="D39" s="692" t="s">
        <v>956</v>
      </c>
      <c r="E39" s="703">
        <f>SUM('POAI ENERO-SEPT-2017 '!AR178)</f>
        <v>40000000</v>
      </c>
      <c r="F39" s="703">
        <f>SUM(E30:E39)</f>
        <v>11583981387.75</v>
      </c>
      <c r="G39" s="703">
        <f>+'POAI ENERO-SEPT-2017 '!AR194</f>
        <v>11583981387.75</v>
      </c>
    </row>
    <row r="40" spans="1:7" s="689" customFormat="1" ht="24" customHeight="1" x14ac:dyDescent="0.25">
      <c r="A40" s="686">
        <v>35</v>
      </c>
      <c r="B40" s="691" t="s">
        <v>257</v>
      </c>
      <c r="C40" s="692" t="s">
        <v>258</v>
      </c>
      <c r="D40" s="692" t="s">
        <v>957</v>
      </c>
      <c r="E40" s="703">
        <f>SUM('POAI ENERO-SEPT-2017 '!AR200)</f>
        <v>901586045</v>
      </c>
      <c r="F40" s="703"/>
      <c r="G40" s="703"/>
    </row>
    <row r="41" spans="1:7" s="689" customFormat="1" ht="24" customHeight="1" x14ac:dyDescent="0.25">
      <c r="A41" s="686">
        <v>36</v>
      </c>
      <c r="B41" s="691" t="s">
        <v>260</v>
      </c>
      <c r="C41" s="692" t="s">
        <v>261</v>
      </c>
      <c r="D41" s="692" t="s">
        <v>957</v>
      </c>
      <c r="E41" s="703">
        <f>SUM('POAI ENERO-SEPT-2017 '!AR201:AR203)</f>
        <v>2874227232</v>
      </c>
      <c r="F41" s="703"/>
      <c r="G41" s="703"/>
    </row>
    <row r="42" spans="1:7" s="689" customFormat="1" ht="24" customHeight="1" x14ac:dyDescent="0.25">
      <c r="A42" s="686">
        <v>37</v>
      </c>
      <c r="B42" s="691" t="s">
        <v>270</v>
      </c>
      <c r="C42" s="692" t="s">
        <v>271</v>
      </c>
      <c r="D42" s="692" t="s">
        <v>957</v>
      </c>
      <c r="E42" s="703">
        <f>SUM('POAI ENERO-SEPT-2017 '!AR207)</f>
        <v>111943025</v>
      </c>
      <c r="F42" s="703"/>
      <c r="G42" s="703"/>
    </row>
    <row r="43" spans="1:7" s="689" customFormat="1" ht="31.5" customHeight="1" x14ac:dyDescent="0.25">
      <c r="A43" s="686">
        <v>38</v>
      </c>
      <c r="B43" s="691" t="s">
        <v>278</v>
      </c>
      <c r="C43" s="692" t="s">
        <v>279</v>
      </c>
      <c r="D43" s="692" t="s">
        <v>957</v>
      </c>
      <c r="E43" s="703">
        <f>+'POAI ENERO-SEPT-2017 '!AR211</f>
        <v>265263043</v>
      </c>
      <c r="F43" s="703"/>
      <c r="G43" s="703"/>
    </row>
    <row r="44" spans="1:7" s="689" customFormat="1" ht="30" customHeight="1" x14ac:dyDescent="0.25">
      <c r="A44" s="686">
        <v>39</v>
      </c>
      <c r="B44" s="691" t="s">
        <v>287</v>
      </c>
      <c r="C44" s="692" t="s">
        <v>288</v>
      </c>
      <c r="D44" s="692" t="s">
        <v>957</v>
      </c>
      <c r="E44" s="703">
        <f>+'POAI ENERO-SEPT-2017 '!AR217</f>
        <v>585462917</v>
      </c>
      <c r="F44" s="703"/>
      <c r="G44" s="703"/>
    </row>
    <row r="45" spans="1:7" s="689" customFormat="1" ht="24" customHeight="1" x14ac:dyDescent="0.25">
      <c r="A45" s="686">
        <v>40</v>
      </c>
      <c r="B45" s="691" t="s">
        <v>295</v>
      </c>
      <c r="C45" s="692" t="s">
        <v>296</v>
      </c>
      <c r="D45" s="692" t="s">
        <v>957</v>
      </c>
      <c r="E45" s="703">
        <f>SUM('POAI ENERO-SEPT-2017 '!AR221:AR222)</f>
        <v>150000000</v>
      </c>
      <c r="F45" s="703">
        <f>SUM(E40:E45)</f>
        <v>4888482262</v>
      </c>
      <c r="G45" s="703">
        <f>+'POAI ENERO-SEPT-2017 '!AR226</f>
        <v>4888482262</v>
      </c>
    </row>
    <row r="46" spans="1:7" s="689" customFormat="1" ht="38.25" customHeight="1" x14ac:dyDescent="0.25">
      <c r="A46" s="686">
        <v>41</v>
      </c>
      <c r="B46" s="691" t="s">
        <v>304</v>
      </c>
      <c r="C46" s="692" t="s">
        <v>305</v>
      </c>
      <c r="D46" s="692" t="s">
        <v>958</v>
      </c>
      <c r="E46" s="703">
        <f>SUM('POAI ENERO-SEPT-2017 '!AR232:AR233)</f>
        <v>74160000</v>
      </c>
      <c r="F46" s="703"/>
      <c r="G46" s="703"/>
    </row>
    <row r="47" spans="1:7" s="689" customFormat="1" ht="24" customHeight="1" x14ac:dyDescent="0.25">
      <c r="A47" s="686">
        <v>42</v>
      </c>
      <c r="B47" s="691" t="s">
        <v>311</v>
      </c>
      <c r="C47" s="692" t="s">
        <v>312</v>
      </c>
      <c r="D47" s="692" t="s">
        <v>958</v>
      </c>
      <c r="E47" s="703">
        <f>SUM('POAI ENERO-SEPT-2017 '!AR234:AR236)</f>
        <v>135300000</v>
      </c>
      <c r="F47" s="703"/>
      <c r="G47" s="703"/>
    </row>
    <row r="48" spans="1:7" s="689" customFormat="1" ht="24" customHeight="1" x14ac:dyDescent="0.25">
      <c r="A48" s="686">
        <v>43</v>
      </c>
      <c r="B48" s="691" t="s">
        <v>317</v>
      </c>
      <c r="C48" s="692" t="s">
        <v>318</v>
      </c>
      <c r="D48" s="692" t="s">
        <v>958</v>
      </c>
      <c r="E48" s="703">
        <f>SUM('POAI ENERO-SEPT-2017 '!AR240:AR243)</f>
        <v>415200000</v>
      </c>
      <c r="F48" s="703"/>
      <c r="G48" s="703"/>
    </row>
    <row r="49" spans="1:9" s="689" customFormat="1" ht="24" customHeight="1" x14ac:dyDescent="0.25">
      <c r="A49" s="686">
        <v>44</v>
      </c>
      <c r="B49" s="691" t="s">
        <v>330</v>
      </c>
      <c r="C49" s="692" t="s">
        <v>331</v>
      </c>
      <c r="D49" s="692" t="s">
        <v>958</v>
      </c>
      <c r="E49" s="703">
        <f>SUM('POAI ENERO-SEPT-2017 '!AR247:AR249)</f>
        <v>423920000</v>
      </c>
      <c r="F49" s="703"/>
      <c r="G49" s="703"/>
    </row>
    <row r="50" spans="1:9" s="689" customFormat="1" ht="24" customHeight="1" x14ac:dyDescent="0.25">
      <c r="A50" s="686">
        <v>45</v>
      </c>
      <c r="B50" s="691" t="s">
        <v>342</v>
      </c>
      <c r="C50" s="692" t="s">
        <v>343</v>
      </c>
      <c r="D50" s="692" t="s">
        <v>958</v>
      </c>
      <c r="E50" s="703">
        <f>SUM('POAI ENERO-SEPT-2017 '!AR255:AR256)</f>
        <v>298240000</v>
      </c>
      <c r="F50" s="703"/>
      <c r="G50" s="703"/>
    </row>
    <row r="51" spans="1:9" s="689" customFormat="1" ht="24" customHeight="1" x14ac:dyDescent="0.25">
      <c r="A51" s="686">
        <v>46</v>
      </c>
      <c r="B51" s="691" t="s">
        <v>347</v>
      </c>
      <c r="C51" s="692" t="s">
        <v>348</v>
      </c>
      <c r="D51" s="692" t="s">
        <v>958</v>
      </c>
      <c r="E51" s="703">
        <f>SUM('POAI ENERO-SEPT-2017 '!AR260)</f>
        <v>245080000</v>
      </c>
      <c r="F51" s="703"/>
      <c r="G51" s="703"/>
    </row>
    <row r="52" spans="1:9" s="689" customFormat="1" ht="24" customHeight="1" x14ac:dyDescent="0.25">
      <c r="A52" s="686">
        <v>47</v>
      </c>
      <c r="B52" s="691" t="s">
        <v>351</v>
      </c>
      <c r="C52" s="695" t="s">
        <v>352</v>
      </c>
      <c r="D52" s="692" t="s">
        <v>958</v>
      </c>
      <c r="E52" s="703">
        <f>+'POAI ENERO-SEPT-2017 '!AR264</f>
        <v>928209563</v>
      </c>
      <c r="F52" s="703">
        <f>SUM(E46:E52)</f>
        <v>2520109563</v>
      </c>
      <c r="G52" s="703">
        <f>+'POAI ENERO-SEPT-2017 '!AR268</f>
        <v>2520109563</v>
      </c>
      <c r="H52" s="702"/>
      <c r="I52" s="702"/>
    </row>
    <row r="53" spans="1:9" s="689" customFormat="1" ht="24" customHeight="1" x14ac:dyDescent="0.25">
      <c r="A53" s="686">
        <v>48</v>
      </c>
      <c r="B53" s="691" t="s">
        <v>358</v>
      </c>
      <c r="C53" s="692" t="s">
        <v>359</v>
      </c>
      <c r="D53" s="692" t="s">
        <v>959</v>
      </c>
      <c r="E53" s="703">
        <f>SUM('POAI ENERO-SEPT-2017 '!AR274:AR279)</f>
        <v>160000000</v>
      </c>
      <c r="F53" s="703"/>
      <c r="G53" s="703"/>
    </row>
    <row r="54" spans="1:9" s="689" customFormat="1" ht="24" customHeight="1" x14ac:dyDescent="0.25">
      <c r="A54" s="686">
        <v>49</v>
      </c>
      <c r="B54" s="691" t="s">
        <v>370</v>
      </c>
      <c r="C54" s="692" t="s">
        <v>371</v>
      </c>
      <c r="D54" s="692" t="s">
        <v>959</v>
      </c>
      <c r="E54" s="703">
        <f>SUM('POAI ENERO-SEPT-2017 '!AR283:AR284)</f>
        <v>108800000</v>
      </c>
      <c r="F54" s="703"/>
      <c r="G54" s="703"/>
    </row>
    <row r="55" spans="1:9" s="689" customFormat="1" ht="24" customHeight="1" x14ac:dyDescent="0.25">
      <c r="A55" s="686">
        <v>50</v>
      </c>
      <c r="B55" s="691" t="s">
        <v>379</v>
      </c>
      <c r="C55" s="692" t="s">
        <v>380</v>
      </c>
      <c r="D55" s="692" t="s">
        <v>959</v>
      </c>
      <c r="E55" s="703">
        <f>+'POAI ENERO-SEPT-2017 '!AR288</f>
        <v>676300057.66919994</v>
      </c>
      <c r="F55" s="703"/>
      <c r="G55" s="703"/>
    </row>
    <row r="56" spans="1:9" s="689" customFormat="1" ht="24" customHeight="1" x14ac:dyDescent="0.25">
      <c r="A56" s="686">
        <v>51</v>
      </c>
      <c r="B56" s="691" t="s">
        <v>382</v>
      </c>
      <c r="C56" s="692" t="s">
        <v>383</v>
      </c>
      <c r="D56" s="692" t="s">
        <v>959</v>
      </c>
      <c r="E56" s="703">
        <f>SUM('POAI ENERO-SEPT-2017 '!AR289:AR293)</f>
        <v>348744348</v>
      </c>
      <c r="F56" s="703"/>
      <c r="G56" s="703"/>
    </row>
    <row r="57" spans="1:9" s="689" customFormat="1" ht="24" customHeight="1" x14ac:dyDescent="0.25">
      <c r="A57" s="686">
        <v>52</v>
      </c>
      <c r="B57" s="691" t="s">
        <v>397</v>
      </c>
      <c r="C57" s="692" t="s">
        <v>398</v>
      </c>
      <c r="D57" s="692" t="s">
        <v>959</v>
      </c>
      <c r="E57" s="703">
        <f>SUM('POAI ENERO-SEPT-2017 '!AR301:AR304)</f>
        <v>350000000</v>
      </c>
      <c r="F57" s="703"/>
      <c r="G57" s="703"/>
    </row>
    <row r="58" spans="1:9" s="689" customFormat="1" ht="24" customHeight="1" x14ac:dyDescent="0.25">
      <c r="A58" s="686">
        <v>53</v>
      </c>
      <c r="B58" s="691" t="s">
        <v>417</v>
      </c>
      <c r="C58" s="692" t="s">
        <v>418</v>
      </c>
      <c r="D58" s="692" t="s">
        <v>959</v>
      </c>
      <c r="E58" s="703">
        <f>SUM('POAI ENERO-SEPT-2017 '!AR317:AR320)</f>
        <v>350000000</v>
      </c>
      <c r="F58" s="703"/>
      <c r="G58" s="703"/>
    </row>
    <row r="59" spans="1:9" s="689" customFormat="1" ht="24" customHeight="1" x14ac:dyDescent="0.25">
      <c r="A59" s="686">
        <v>54</v>
      </c>
      <c r="B59" s="691" t="s">
        <v>426</v>
      </c>
      <c r="C59" s="692" t="s">
        <v>427</v>
      </c>
      <c r="D59" s="692" t="s">
        <v>959</v>
      </c>
      <c r="E59" s="703">
        <f>SUM('POAI ENERO-SEPT-2017 '!AR324:AR326)</f>
        <v>150000000</v>
      </c>
      <c r="F59" s="703"/>
      <c r="G59" s="703"/>
    </row>
    <row r="60" spans="1:9" s="689" customFormat="1" ht="39" customHeight="1" x14ac:dyDescent="0.25">
      <c r="A60" s="686">
        <v>55</v>
      </c>
      <c r="B60" s="691" t="s">
        <v>437</v>
      </c>
      <c r="C60" s="692" t="s">
        <v>438</v>
      </c>
      <c r="D60" s="692" t="s">
        <v>959</v>
      </c>
      <c r="E60" s="703">
        <f>SUM('POAI ENERO-SEPT-2017 '!AR334:AR338)</f>
        <v>245000000</v>
      </c>
      <c r="F60" s="703">
        <f>SUM(E53:E60)+E123+E124+E125</f>
        <v>2868844405.6691999</v>
      </c>
      <c r="G60" s="703">
        <f>+'POAI ENERO-SEPT-2017 '!AR342</f>
        <v>2868844405.6691999</v>
      </c>
    </row>
    <row r="61" spans="1:9" s="689" customFormat="1" ht="24" customHeight="1" x14ac:dyDescent="0.25">
      <c r="A61" s="686">
        <v>56</v>
      </c>
      <c r="B61" s="691" t="s">
        <v>454</v>
      </c>
      <c r="C61" s="692" t="s">
        <v>455</v>
      </c>
      <c r="D61" s="692" t="s">
        <v>960</v>
      </c>
      <c r="E61" s="703">
        <f>SUM('POAI ENERO-SEPT-2017 '!AR355)</f>
        <v>869504873</v>
      </c>
      <c r="F61" s="703"/>
      <c r="G61" s="703"/>
    </row>
    <row r="62" spans="1:9" s="689" customFormat="1" ht="24" customHeight="1" x14ac:dyDescent="0.25">
      <c r="A62" s="686">
        <v>57</v>
      </c>
      <c r="B62" s="691" t="s">
        <v>447</v>
      </c>
      <c r="C62" s="692" t="s">
        <v>448</v>
      </c>
      <c r="D62" s="692" t="s">
        <v>960</v>
      </c>
      <c r="E62" s="703">
        <f>+'POAI ENERO-SEPT-2017 '!AR348</f>
        <v>1154534666</v>
      </c>
      <c r="F62" s="703"/>
      <c r="G62" s="703"/>
    </row>
    <row r="63" spans="1:9" s="689" customFormat="1" ht="24" customHeight="1" x14ac:dyDescent="0.25">
      <c r="A63" s="686">
        <v>58</v>
      </c>
      <c r="B63" s="691" t="s">
        <v>451</v>
      </c>
      <c r="C63" s="692" t="s">
        <v>452</v>
      </c>
      <c r="D63" s="692" t="s">
        <v>960</v>
      </c>
      <c r="E63" s="703">
        <f>+'POAI ENERO-SEPT-2017 '!AR349</f>
        <v>215000000</v>
      </c>
      <c r="F63" s="703">
        <f>SUM(E61:E63)</f>
        <v>2239039539</v>
      </c>
      <c r="G63" s="703">
        <f>+'POAI ENERO-SEPT-2017 '!AR359</f>
        <v>2239039539</v>
      </c>
    </row>
    <row r="64" spans="1:9" s="689" customFormat="1" ht="30.75" customHeight="1" x14ac:dyDescent="0.25">
      <c r="A64" s="686">
        <v>59</v>
      </c>
      <c r="B64" s="691" t="s">
        <v>462</v>
      </c>
      <c r="C64" s="692" t="s">
        <v>463</v>
      </c>
      <c r="D64" s="692" t="s">
        <v>961</v>
      </c>
      <c r="E64" s="703">
        <f>SUM('POAI ENERO-SEPT-2017 '!AR365:AR367)</f>
        <v>16729504991</v>
      </c>
      <c r="F64" s="703"/>
      <c r="G64" s="703"/>
    </row>
    <row r="65" spans="1:9" s="689" customFormat="1" ht="31.5" customHeight="1" x14ac:dyDescent="0.25">
      <c r="A65" s="686">
        <v>60</v>
      </c>
      <c r="B65" s="691" t="s">
        <v>472</v>
      </c>
      <c r="C65" s="692" t="s">
        <v>473</v>
      </c>
      <c r="D65" s="692" t="s">
        <v>961</v>
      </c>
      <c r="E65" s="703">
        <f>SUM('POAI ENERO-SEPT-2017 '!AR371:AR376)</f>
        <v>1370503506</v>
      </c>
      <c r="F65" s="703"/>
      <c r="G65" s="703"/>
    </row>
    <row r="66" spans="1:9" s="689" customFormat="1" ht="24" customHeight="1" x14ac:dyDescent="0.25">
      <c r="A66" s="686">
        <v>61</v>
      </c>
      <c r="B66" s="691" t="s">
        <v>487</v>
      </c>
      <c r="C66" s="692" t="s">
        <v>488</v>
      </c>
      <c r="D66" s="692" t="s">
        <v>961</v>
      </c>
      <c r="E66" s="703">
        <f>+'POAI ENERO-SEPT-2017 '!AR380</f>
        <v>107135695491</v>
      </c>
      <c r="F66" s="703"/>
      <c r="G66" s="703"/>
    </row>
    <row r="67" spans="1:9" s="689" customFormat="1" ht="44.25" customHeight="1" x14ac:dyDescent="0.25">
      <c r="A67" s="686">
        <v>62</v>
      </c>
      <c r="B67" s="691" t="s">
        <v>492</v>
      </c>
      <c r="C67" s="692" t="s">
        <v>974</v>
      </c>
      <c r="D67" s="692" t="s">
        <v>961</v>
      </c>
      <c r="E67" s="703">
        <f>SUM('POAI ENERO-SEPT-2017 '!AR386:AR393)</f>
        <v>183000000</v>
      </c>
      <c r="F67" s="703"/>
      <c r="G67" s="703"/>
    </row>
    <row r="68" spans="1:9" s="689" customFormat="1" ht="30" customHeight="1" x14ac:dyDescent="0.25">
      <c r="A68" s="686">
        <v>63</v>
      </c>
      <c r="B68" s="691" t="s">
        <v>505</v>
      </c>
      <c r="C68" s="692" t="s">
        <v>506</v>
      </c>
      <c r="D68" s="692" t="s">
        <v>961</v>
      </c>
      <c r="E68" s="703">
        <f>SUM('POAI ENERO-SEPT-2017 '!AR397:AR406)</f>
        <v>602989553</v>
      </c>
      <c r="F68" s="703"/>
      <c r="G68" s="703"/>
    </row>
    <row r="69" spans="1:9" s="689" customFormat="1" ht="27.75" customHeight="1" x14ac:dyDescent="0.25">
      <c r="A69" s="686">
        <v>64</v>
      </c>
      <c r="B69" s="691" t="s">
        <v>520</v>
      </c>
      <c r="C69" s="692" t="s">
        <v>521</v>
      </c>
      <c r="D69" s="692" t="s">
        <v>961</v>
      </c>
      <c r="E69" s="703">
        <f>SUM('POAI ENERO-SEPT-2017 '!AR410:AR413)</f>
        <v>287500000</v>
      </c>
      <c r="F69" s="703"/>
      <c r="G69" s="703"/>
    </row>
    <row r="70" spans="1:9" s="689" customFormat="1" ht="31.5" customHeight="1" x14ac:dyDescent="0.25">
      <c r="A70" s="686">
        <v>65</v>
      </c>
      <c r="B70" s="691" t="s">
        <v>531</v>
      </c>
      <c r="C70" s="692" t="s">
        <v>532</v>
      </c>
      <c r="D70" s="692" t="s">
        <v>961</v>
      </c>
      <c r="E70" s="703">
        <f>+'POAI ENERO-SEPT-2017 '!AR417</f>
        <v>113300000</v>
      </c>
      <c r="F70" s="703"/>
      <c r="G70" s="703"/>
    </row>
    <row r="71" spans="1:9" s="689" customFormat="1" ht="31.5" customHeight="1" x14ac:dyDescent="0.25">
      <c r="A71" s="686">
        <v>66</v>
      </c>
      <c r="B71" s="691" t="s">
        <v>536</v>
      </c>
      <c r="C71" s="692" t="s">
        <v>537</v>
      </c>
      <c r="D71" s="692" t="s">
        <v>961</v>
      </c>
      <c r="E71" s="703">
        <f>SUM('POAI ENERO-SEPT-2017 '!AR423:AR427)</f>
        <v>103000000</v>
      </c>
      <c r="F71" s="703"/>
      <c r="G71" s="703"/>
    </row>
    <row r="72" spans="1:9" s="689" customFormat="1" ht="33.75" customHeight="1" x14ac:dyDescent="0.25">
      <c r="A72" s="686">
        <v>67</v>
      </c>
      <c r="B72" s="691" t="s">
        <v>545</v>
      </c>
      <c r="C72" s="692" t="s">
        <v>546</v>
      </c>
      <c r="D72" s="692" t="s">
        <v>961</v>
      </c>
      <c r="E72" s="703">
        <f>SUM('POAI ENERO-SEPT-2017 '!AR431:AR434)</f>
        <v>139200000</v>
      </c>
      <c r="F72" s="703"/>
      <c r="G72" s="703"/>
    </row>
    <row r="73" spans="1:9" s="689" customFormat="1" ht="40.5" customHeight="1" x14ac:dyDescent="0.25">
      <c r="A73" s="686">
        <v>68</v>
      </c>
      <c r="B73" s="691" t="s">
        <v>559</v>
      </c>
      <c r="C73" s="692" t="s">
        <v>560</v>
      </c>
      <c r="D73" s="692" t="s">
        <v>961</v>
      </c>
      <c r="E73" s="703">
        <f>SUM('POAI ENERO-SEPT-2017 '!AR441:AR442)</f>
        <v>80000000</v>
      </c>
      <c r="F73" s="703"/>
      <c r="G73" s="703"/>
    </row>
    <row r="74" spans="1:9" s="689" customFormat="1" ht="38.25" customHeight="1" x14ac:dyDescent="0.25">
      <c r="A74" s="686">
        <v>69</v>
      </c>
      <c r="B74" s="691" t="s">
        <v>568</v>
      </c>
      <c r="C74" s="692" t="s">
        <v>569</v>
      </c>
      <c r="D74" s="692" t="s">
        <v>961</v>
      </c>
      <c r="E74" s="703">
        <f>+'POAI ENERO-SEPT-2017 '!AR446</f>
        <v>1200000000</v>
      </c>
      <c r="F74" s="703"/>
      <c r="G74" s="703"/>
    </row>
    <row r="75" spans="1:9" s="689" customFormat="1" ht="37.5" customHeight="1" x14ac:dyDescent="0.25">
      <c r="A75" s="686">
        <v>70</v>
      </c>
      <c r="B75" s="691" t="s">
        <v>571</v>
      </c>
      <c r="C75" s="696" t="s">
        <v>572</v>
      </c>
      <c r="D75" s="692" t="s">
        <v>961</v>
      </c>
      <c r="E75" s="703">
        <f>+'POAI ENERO-SEPT-2017 '!AR450</f>
        <v>18022698130</v>
      </c>
      <c r="F75" s="703"/>
      <c r="G75" s="703"/>
    </row>
    <row r="76" spans="1:9" s="689" customFormat="1" ht="34.5" customHeight="1" x14ac:dyDescent="0.25">
      <c r="A76" s="686">
        <v>71</v>
      </c>
      <c r="B76" s="691" t="s">
        <v>575</v>
      </c>
      <c r="C76" s="692" t="s">
        <v>576</v>
      </c>
      <c r="D76" s="692" t="s">
        <v>961</v>
      </c>
      <c r="E76" s="703">
        <f>SUM('POAI ENERO-SEPT-2017 '!AR454:AR455)</f>
        <v>42600000</v>
      </c>
      <c r="F76" s="703"/>
      <c r="G76" s="703"/>
    </row>
    <row r="77" spans="1:9" s="689" customFormat="1" ht="29.25" customHeight="1" x14ac:dyDescent="0.25">
      <c r="A77" s="686">
        <v>72</v>
      </c>
      <c r="B77" s="691" t="s">
        <v>585</v>
      </c>
      <c r="C77" s="692" t="s">
        <v>586</v>
      </c>
      <c r="D77" s="692" t="s">
        <v>961</v>
      </c>
      <c r="E77" s="703">
        <f>+'POAI ENERO-SEPT-2017 '!AR461</f>
        <v>40000000</v>
      </c>
      <c r="F77" s="703">
        <f>SUM(E64:E77)+E126</f>
        <v>146103791671</v>
      </c>
      <c r="G77" s="703">
        <f>+'POAI ENERO-SEPT-2017 '!AR465</f>
        <v>146103791671</v>
      </c>
      <c r="H77" s="702"/>
      <c r="I77" s="706"/>
    </row>
    <row r="78" spans="1:9" s="689" customFormat="1" ht="32.25" customHeight="1" x14ac:dyDescent="0.25">
      <c r="A78" s="686">
        <v>73</v>
      </c>
      <c r="B78" s="691" t="s">
        <v>591</v>
      </c>
      <c r="C78" s="692" t="s">
        <v>592</v>
      </c>
      <c r="D78" s="692" t="s">
        <v>962</v>
      </c>
      <c r="E78" s="703">
        <f>+'POAI ENERO-SEPT-2017 '!AR471+'POAI ENERO-SEPT-2017 '!AR472</f>
        <v>260000000</v>
      </c>
      <c r="F78" s="703"/>
      <c r="G78" s="703"/>
    </row>
    <row r="79" spans="1:9" s="689" customFormat="1" ht="32.25" customHeight="1" x14ac:dyDescent="0.25">
      <c r="A79" s="686">
        <v>74</v>
      </c>
      <c r="B79" s="691" t="s">
        <v>600</v>
      </c>
      <c r="C79" s="692" t="s">
        <v>601</v>
      </c>
      <c r="D79" s="692" t="s">
        <v>962</v>
      </c>
      <c r="E79" s="703">
        <f>+'POAI ENERO-SEPT-2017 '!AR478</f>
        <v>180000000</v>
      </c>
      <c r="F79" s="703"/>
      <c r="G79" s="703"/>
    </row>
    <row r="80" spans="1:9" s="689" customFormat="1" ht="24" customHeight="1" x14ac:dyDescent="0.25">
      <c r="A80" s="686">
        <v>75</v>
      </c>
      <c r="B80" s="691" t="s">
        <v>608</v>
      </c>
      <c r="C80" s="692" t="s">
        <v>609</v>
      </c>
      <c r="D80" s="692" t="s">
        <v>962</v>
      </c>
      <c r="E80" s="703">
        <f>SUM('POAI ENERO-SEPT-2017 '!AR482:AR484)</f>
        <v>470000000</v>
      </c>
      <c r="F80" s="703"/>
      <c r="G80" s="703"/>
    </row>
    <row r="81" spans="1:7" s="689" customFormat="1" ht="41.25" customHeight="1" x14ac:dyDescent="0.25">
      <c r="A81" s="686">
        <v>76</v>
      </c>
      <c r="B81" s="691" t="s">
        <v>617</v>
      </c>
      <c r="C81" s="692" t="s">
        <v>618</v>
      </c>
      <c r="D81" s="692" t="s">
        <v>962</v>
      </c>
      <c r="E81" s="703">
        <f>SUM('POAI ENERO-SEPT-2017 '!AR488:AR490)</f>
        <v>160000000</v>
      </c>
      <c r="F81" s="703"/>
      <c r="G81" s="703"/>
    </row>
    <row r="82" spans="1:7" s="689" customFormat="1" ht="30" customHeight="1" x14ac:dyDescent="0.25">
      <c r="A82" s="686">
        <v>77</v>
      </c>
      <c r="B82" s="691" t="s">
        <v>627</v>
      </c>
      <c r="C82" s="692" t="s">
        <v>628</v>
      </c>
      <c r="D82" s="692" t="s">
        <v>962</v>
      </c>
      <c r="E82" s="703">
        <f>+'POAI ENERO-SEPT-2017 '!AR494</f>
        <v>190000000</v>
      </c>
      <c r="F82" s="703"/>
      <c r="G82" s="703"/>
    </row>
    <row r="83" spans="1:7" s="689" customFormat="1" ht="30" customHeight="1" x14ac:dyDescent="0.25">
      <c r="A83" s="686">
        <v>78</v>
      </c>
      <c r="B83" s="691" t="s">
        <v>632</v>
      </c>
      <c r="C83" s="692" t="s">
        <v>963</v>
      </c>
      <c r="D83" s="692" t="s">
        <v>962</v>
      </c>
      <c r="E83" s="704">
        <f>SUM('POAI ENERO-SEPT-2017 '!AR500)</f>
        <v>1100000000</v>
      </c>
      <c r="F83" s="703"/>
      <c r="G83" s="703"/>
    </row>
    <row r="84" spans="1:7" s="689" customFormat="1" ht="34.5" customHeight="1" x14ac:dyDescent="0.25">
      <c r="A84" s="686">
        <v>79</v>
      </c>
      <c r="B84" s="691" t="s">
        <v>635</v>
      </c>
      <c r="C84" s="692" t="s">
        <v>636</v>
      </c>
      <c r="D84" s="692" t="s">
        <v>962</v>
      </c>
      <c r="E84" s="703">
        <f>+'POAI ENERO-SEPT-2017 '!AR501</f>
        <v>75000000</v>
      </c>
      <c r="F84" s="703"/>
      <c r="G84" s="703"/>
    </row>
    <row r="85" spans="1:7" s="689" customFormat="1" ht="31.5" customHeight="1" x14ac:dyDescent="0.25">
      <c r="A85" s="686">
        <v>80</v>
      </c>
      <c r="B85" s="691" t="s">
        <v>639</v>
      </c>
      <c r="C85" s="692" t="s">
        <v>640</v>
      </c>
      <c r="D85" s="692" t="s">
        <v>962</v>
      </c>
      <c r="E85" s="703">
        <f>+'POAI ENERO-SEPT-2017 '!AR505</f>
        <v>15000000</v>
      </c>
      <c r="F85" s="703"/>
      <c r="G85" s="703"/>
    </row>
    <row r="86" spans="1:7" s="689" customFormat="1" ht="30" customHeight="1" x14ac:dyDescent="0.25">
      <c r="A86" s="686">
        <v>81</v>
      </c>
      <c r="B86" s="691" t="s">
        <v>642</v>
      </c>
      <c r="C86" s="692" t="s">
        <v>643</v>
      </c>
      <c r="D86" s="692" t="s">
        <v>962</v>
      </c>
      <c r="E86" s="703">
        <f>+'POAI ENERO-SEPT-2017 '!AR506</f>
        <v>90000000</v>
      </c>
      <c r="F86" s="703"/>
      <c r="G86" s="703"/>
    </row>
    <row r="87" spans="1:7" s="689" customFormat="1" ht="33.75" customHeight="1" x14ac:dyDescent="0.25">
      <c r="A87" s="686">
        <v>82</v>
      </c>
      <c r="B87" s="691" t="s">
        <v>648</v>
      </c>
      <c r="C87" s="692" t="s">
        <v>649</v>
      </c>
      <c r="D87" s="692" t="s">
        <v>962</v>
      </c>
      <c r="E87" s="703">
        <f>+'POAI ENERO-SEPT-2017 '!AR510</f>
        <v>100000000</v>
      </c>
      <c r="F87" s="703"/>
      <c r="G87" s="703"/>
    </row>
    <row r="88" spans="1:7" s="689" customFormat="1" ht="30.75" customHeight="1" x14ac:dyDescent="0.25">
      <c r="A88" s="686">
        <v>83</v>
      </c>
      <c r="B88" s="691" t="s">
        <v>655</v>
      </c>
      <c r="C88" s="692" t="s">
        <v>656</v>
      </c>
      <c r="D88" s="692" t="s">
        <v>962</v>
      </c>
      <c r="E88" s="703">
        <f>+'POAI ENERO-SEPT-2017 '!AR514</f>
        <v>70000000</v>
      </c>
      <c r="F88" s="703"/>
      <c r="G88" s="703"/>
    </row>
    <row r="89" spans="1:7" s="689" customFormat="1" ht="29.25" customHeight="1" x14ac:dyDescent="0.25">
      <c r="A89" s="686">
        <v>84</v>
      </c>
      <c r="B89" s="691" t="s">
        <v>660</v>
      </c>
      <c r="C89" s="692" t="s">
        <v>661</v>
      </c>
      <c r="D89" s="692" t="s">
        <v>962</v>
      </c>
      <c r="E89" s="703">
        <f>+'POAI ENERO-SEPT-2017 '!AR518</f>
        <v>82000000</v>
      </c>
      <c r="F89" s="703"/>
      <c r="G89" s="703"/>
    </row>
    <row r="90" spans="1:7" s="689" customFormat="1" ht="32.25" customHeight="1" x14ac:dyDescent="0.25">
      <c r="A90" s="686">
        <v>85</v>
      </c>
      <c r="B90" s="691" t="s">
        <v>668</v>
      </c>
      <c r="C90" s="692" t="s">
        <v>669</v>
      </c>
      <c r="D90" s="692" t="s">
        <v>962</v>
      </c>
      <c r="E90" s="703">
        <f>SUM('POAI ENERO-SEPT-2017 '!AR524:AR527)</f>
        <v>4228997981</v>
      </c>
      <c r="F90" s="703">
        <f>SUM(E78:E90)</f>
        <v>7020997981</v>
      </c>
      <c r="G90" s="703">
        <f>+'POAI ENERO-SEPT-2017 '!AR531</f>
        <v>7020997981</v>
      </c>
    </row>
    <row r="91" spans="1:7" s="689" customFormat="1" ht="27" customHeight="1" x14ac:dyDescent="0.25">
      <c r="A91" s="686">
        <v>86</v>
      </c>
      <c r="B91" s="691" t="s">
        <v>676</v>
      </c>
      <c r="C91" s="692" t="s">
        <v>677</v>
      </c>
      <c r="D91" s="692" t="s">
        <v>964</v>
      </c>
      <c r="E91" s="703">
        <f>+'POAI ENERO-SEPT-2017 '!AR537</f>
        <v>100000000</v>
      </c>
      <c r="F91" s="703">
        <f>+E91</f>
        <v>100000000</v>
      </c>
      <c r="G91" s="703">
        <f>+'POAI ENERO-SEPT-2017 '!AR541</f>
        <v>100000000</v>
      </c>
    </row>
    <row r="92" spans="1:7" s="689" customFormat="1" ht="21" customHeight="1" x14ac:dyDescent="0.25">
      <c r="A92" s="686">
        <v>87</v>
      </c>
      <c r="B92" s="691" t="s">
        <v>682</v>
      </c>
      <c r="C92" s="692" t="s">
        <v>965</v>
      </c>
      <c r="D92" s="692" t="s">
        <v>966</v>
      </c>
      <c r="E92" s="703">
        <f>SUM('POAI ENERO-SEPT-2017 '!AR547:AR549)</f>
        <v>189400000</v>
      </c>
      <c r="F92" s="703"/>
      <c r="G92" s="703"/>
    </row>
    <row r="93" spans="1:7" s="689" customFormat="1" ht="24" customHeight="1" x14ac:dyDescent="0.25">
      <c r="A93" s="686">
        <v>88</v>
      </c>
      <c r="B93" s="691" t="s">
        <v>691</v>
      </c>
      <c r="C93" s="692" t="s">
        <v>692</v>
      </c>
      <c r="D93" s="692" t="s">
        <v>966</v>
      </c>
      <c r="E93" s="703">
        <f>SUM('POAI ENERO-SEPT-2017 '!AR555:AR556)</f>
        <v>154500000</v>
      </c>
      <c r="F93" s="703"/>
      <c r="G93" s="703"/>
    </row>
    <row r="94" spans="1:7" s="689" customFormat="1" ht="30" customHeight="1" x14ac:dyDescent="0.25">
      <c r="A94" s="686">
        <v>89</v>
      </c>
      <c r="B94" s="691" t="s">
        <v>698</v>
      </c>
      <c r="C94" s="692" t="s">
        <v>699</v>
      </c>
      <c r="D94" s="692" t="s">
        <v>966</v>
      </c>
      <c r="E94" s="703">
        <f>SUM('POAI ENERO-SEPT-2017 '!AR560:AR563)</f>
        <v>148600000</v>
      </c>
      <c r="F94" s="703"/>
      <c r="G94" s="703"/>
    </row>
    <row r="95" spans="1:7" s="689" customFormat="1" ht="34.5" customHeight="1" x14ac:dyDescent="0.25">
      <c r="A95" s="686">
        <v>90</v>
      </c>
      <c r="B95" s="691" t="s">
        <v>706</v>
      </c>
      <c r="C95" s="692" t="s">
        <v>707</v>
      </c>
      <c r="D95" s="692" t="s">
        <v>966</v>
      </c>
      <c r="E95" s="703">
        <f>SUM('POAI ENERO-SEPT-2017 '!AR567:AR569)</f>
        <v>122700000</v>
      </c>
      <c r="F95" s="703"/>
      <c r="G95" s="703"/>
    </row>
    <row r="96" spans="1:7" s="689" customFormat="1" ht="30.75" customHeight="1" x14ac:dyDescent="0.25">
      <c r="A96" s="686">
        <v>91</v>
      </c>
      <c r="B96" s="691" t="s">
        <v>712</v>
      </c>
      <c r="C96" s="692" t="s">
        <v>713</v>
      </c>
      <c r="D96" s="692" t="s">
        <v>966</v>
      </c>
      <c r="E96" s="703">
        <f>SUM('POAI ENERO-SEPT-2017 '!AR573:AR575)</f>
        <v>144200000</v>
      </c>
      <c r="F96" s="703"/>
      <c r="G96" s="703"/>
    </row>
    <row r="97" spans="1:7" s="689" customFormat="1" ht="32.25" customHeight="1" x14ac:dyDescent="0.25">
      <c r="A97" s="686">
        <v>92</v>
      </c>
      <c r="B97" s="691" t="s">
        <v>723</v>
      </c>
      <c r="C97" s="692" t="s">
        <v>724</v>
      </c>
      <c r="D97" s="692" t="s">
        <v>966</v>
      </c>
      <c r="E97" s="703">
        <f>SUM('POAI ENERO-SEPT-2017 '!AR579:AR580)</f>
        <v>82147580</v>
      </c>
      <c r="F97" s="703"/>
      <c r="G97" s="703"/>
    </row>
    <row r="98" spans="1:7" s="689" customFormat="1" ht="35.1" customHeight="1" x14ac:dyDescent="0.25">
      <c r="A98" s="686">
        <v>93</v>
      </c>
      <c r="B98" s="691" t="s">
        <v>731</v>
      </c>
      <c r="C98" s="692" t="s">
        <v>732</v>
      </c>
      <c r="D98" s="692" t="s">
        <v>966</v>
      </c>
      <c r="E98" s="703">
        <f>SUM('POAI ENERO-SEPT-2017 '!AR581:AR582)</f>
        <v>552769110.99691093</v>
      </c>
      <c r="F98" s="703"/>
      <c r="G98" s="703"/>
    </row>
    <row r="99" spans="1:7" s="689" customFormat="1" ht="35.1" customHeight="1" x14ac:dyDescent="0.25">
      <c r="A99" s="686">
        <v>94</v>
      </c>
      <c r="B99" s="691" t="s">
        <v>738</v>
      </c>
      <c r="C99" s="692" t="s">
        <v>739</v>
      </c>
      <c r="D99" s="692" t="s">
        <v>966</v>
      </c>
      <c r="E99" s="703">
        <f>+'POAI ENERO-SEPT-2017 '!AR583</f>
        <v>255275291</v>
      </c>
      <c r="F99" s="703"/>
      <c r="G99" s="703"/>
    </row>
    <row r="100" spans="1:7" s="689" customFormat="1" ht="35.1" customHeight="1" x14ac:dyDescent="0.25">
      <c r="A100" s="686">
        <v>95</v>
      </c>
      <c r="B100" s="691" t="s">
        <v>742</v>
      </c>
      <c r="C100" s="692" t="s">
        <v>743</v>
      </c>
      <c r="D100" s="692" t="s">
        <v>966</v>
      </c>
      <c r="E100" s="703">
        <f>SUM('POAI ENERO-SEPT-2017 '!AR587:AR588)</f>
        <v>10300000</v>
      </c>
      <c r="F100" s="703"/>
      <c r="G100" s="703"/>
    </row>
    <row r="101" spans="1:7" s="689" customFormat="1" ht="35.1" customHeight="1" x14ac:dyDescent="0.25">
      <c r="A101" s="686">
        <v>96</v>
      </c>
      <c r="B101" s="691" t="s">
        <v>750</v>
      </c>
      <c r="C101" s="692" t="s">
        <v>751</v>
      </c>
      <c r="D101" s="692" t="s">
        <v>966</v>
      </c>
      <c r="E101" s="703">
        <f>SUM('POAI ENERO-SEPT-2017 '!AR592:AR593)</f>
        <v>51500000</v>
      </c>
      <c r="F101" s="703"/>
      <c r="G101" s="703"/>
    </row>
    <row r="102" spans="1:7" s="689" customFormat="1" ht="35.1" customHeight="1" x14ac:dyDescent="0.25">
      <c r="A102" s="686">
        <v>97</v>
      </c>
      <c r="B102" s="691" t="s">
        <v>757</v>
      </c>
      <c r="C102" s="692" t="s">
        <v>758</v>
      </c>
      <c r="D102" s="692" t="s">
        <v>966</v>
      </c>
      <c r="E102" s="703">
        <f>SUM('POAI ENERO-SEPT-2017 '!AR597:AR599)</f>
        <v>1688415255</v>
      </c>
      <c r="F102" s="703"/>
      <c r="G102" s="703"/>
    </row>
    <row r="103" spans="1:7" s="689" customFormat="1" ht="35.1" customHeight="1" x14ac:dyDescent="0.25">
      <c r="A103" s="686">
        <v>98</v>
      </c>
      <c r="B103" s="691" t="s">
        <v>762</v>
      </c>
      <c r="C103" s="692" t="s">
        <v>763</v>
      </c>
      <c r="D103" s="692" t="s">
        <v>966</v>
      </c>
      <c r="E103" s="703">
        <f>SUM('POAI ENERO-SEPT-2017 '!AR603:AR606)</f>
        <v>404307604</v>
      </c>
      <c r="F103" s="703"/>
      <c r="G103" s="703"/>
    </row>
    <row r="104" spans="1:7" s="689" customFormat="1" ht="35.1" customHeight="1" x14ac:dyDescent="0.25">
      <c r="A104" s="686">
        <v>99</v>
      </c>
      <c r="B104" s="691" t="s">
        <v>777</v>
      </c>
      <c r="C104" s="692" t="s">
        <v>778</v>
      </c>
      <c r="D104" s="692" t="s">
        <v>966</v>
      </c>
      <c r="E104" s="703">
        <f>SUM('POAI ENERO-SEPT-2017 '!AR610:AR611)</f>
        <v>1496230606</v>
      </c>
      <c r="F104" s="703"/>
      <c r="G104" s="703"/>
    </row>
    <row r="105" spans="1:7" s="689" customFormat="1" ht="35.1" customHeight="1" x14ac:dyDescent="0.25">
      <c r="A105" s="686">
        <v>100</v>
      </c>
      <c r="B105" s="691" t="s">
        <v>784</v>
      </c>
      <c r="C105" s="692" t="s">
        <v>785</v>
      </c>
      <c r="D105" s="692" t="s">
        <v>966</v>
      </c>
      <c r="E105" s="703">
        <f>+'POAI ENERO-SEPT-2017 '!AR615</f>
        <v>1251315208</v>
      </c>
      <c r="F105" s="703"/>
      <c r="G105" s="703"/>
    </row>
    <row r="106" spans="1:7" s="689" customFormat="1" ht="35.1" customHeight="1" x14ac:dyDescent="0.25">
      <c r="A106" s="686">
        <v>101</v>
      </c>
      <c r="B106" s="691" t="s">
        <v>791</v>
      </c>
      <c r="C106" s="692" t="s">
        <v>792</v>
      </c>
      <c r="D106" s="692" t="s">
        <v>966</v>
      </c>
      <c r="E106" s="703">
        <f>SUM('POAI ENERO-SEPT-2017 '!AR616:AR617)</f>
        <v>366809844</v>
      </c>
      <c r="F106" s="703"/>
      <c r="G106" s="703"/>
    </row>
    <row r="107" spans="1:7" s="689" customFormat="1" ht="35.1" customHeight="1" x14ac:dyDescent="0.25">
      <c r="A107" s="686">
        <v>102</v>
      </c>
      <c r="B107" s="691" t="s">
        <v>798</v>
      </c>
      <c r="C107" s="692" t="s">
        <v>799</v>
      </c>
      <c r="D107" s="692" t="s">
        <v>966</v>
      </c>
      <c r="E107" s="703">
        <f>+'POAI ENERO-SEPT-2017 '!AR623+'POAI ENERO-SEPT-2017 '!AR627+'POAI ENERO-SEPT-2017 '!AR631</f>
        <v>15894841380</v>
      </c>
      <c r="F107" s="703"/>
      <c r="G107" s="703"/>
    </row>
    <row r="108" spans="1:7" s="689" customFormat="1" ht="35.1" customHeight="1" x14ac:dyDescent="0.25">
      <c r="A108" s="686">
        <v>103</v>
      </c>
      <c r="B108" s="691" t="s">
        <v>807</v>
      </c>
      <c r="C108" s="692" t="s">
        <v>808</v>
      </c>
      <c r="D108" s="692" t="s">
        <v>966</v>
      </c>
      <c r="E108" s="703">
        <f>SUM('POAI ENERO-SEPT-2017 '!AR637:AR639)</f>
        <v>22506815626</v>
      </c>
      <c r="F108" s="703"/>
      <c r="G108" s="703"/>
    </row>
    <row r="109" spans="1:7" s="689" customFormat="1" ht="35.1" customHeight="1" x14ac:dyDescent="0.25">
      <c r="A109" s="686">
        <v>104</v>
      </c>
      <c r="B109" s="691" t="s">
        <v>814</v>
      </c>
      <c r="C109" s="692" t="s">
        <v>815</v>
      </c>
      <c r="D109" s="692" t="s">
        <v>966</v>
      </c>
      <c r="E109" s="703">
        <f>+'POAI ENERO-SEPT-2017 '!AR643</f>
        <v>44149920</v>
      </c>
      <c r="F109" s="703"/>
      <c r="G109" s="703"/>
    </row>
    <row r="110" spans="1:7" s="689" customFormat="1" ht="35.1" customHeight="1" x14ac:dyDescent="0.25">
      <c r="A110" s="686">
        <v>105</v>
      </c>
      <c r="B110" s="691" t="s">
        <v>819</v>
      </c>
      <c r="C110" s="692" t="s">
        <v>820</v>
      </c>
      <c r="D110" s="692" t="s">
        <v>966</v>
      </c>
      <c r="E110" s="703">
        <f>SUM('POAI ENERO-SEPT-2017 '!AR647+'POAI ENERO-SEPT-2017 '!AR648)</f>
        <v>138195555</v>
      </c>
      <c r="F110" s="703"/>
      <c r="G110" s="703"/>
    </row>
    <row r="111" spans="1:7" s="689" customFormat="1" ht="35.1" customHeight="1" x14ac:dyDescent="0.25">
      <c r="A111" s="686">
        <v>106</v>
      </c>
      <c r="B111" s="691" t="s">
        <v>822</v>
      </c>
      <c r="C111" s="692" t="s">
        <v>823</v>
      </c>
      <c r="D111" s="692" t="s">
        <v>966</v>
      </c>
      <c r="E111" s="703">
        <f>+'POAI ENERO-SEPT-2017 '!AR649</f>
        <v>706004444</v>
      </c>
      <c r="F111" s="703"/>
      <c r="G111" s="703"/>
    </row>
    <row r="112" spans="1:7" s="689" customFormat="1" ht="35.1" customHeight="1" x14ac:dyDescent="0.25">
      <c r="A112" s="686">
        <v>107</v>
      </c>
      <c r="B112" s="691" t="s">
        <v>826</v>
      </c>
      <c r="C112" s="692" t="s">
        <v>827</v>
      </c>
      <c r="D112" s="692" t="s">
        <v>966</v>
      </c>
      <c r="E112" s="703">
        <f>+'POAI ENERO-SEPT-2017 '!AR653+'POAI ENERO-SEPT-2017 '!AR654</f>
        <v>35436120</v>
      </c>
      <c r="F112" s="703"/>
      <c r="G112" s="703"/>
    </row>
    <row r="113" spans="1:9" s="689" customFormat="1" ht="35.1" customHeight="1" x14ac:dyDescent="0.25">
      <c r="A113" s="686">
        <v>108</v>
      </c>
      <c r="B113" s="691" t="s">
        <v>831</v>
      </c>
      <c r="C113" s="692" t="s">
        <v>832</v>
      </c>
      <c r="D113" s="692" t="s">
        <v>966</v>
      </c>
      <c r="E113" s="703">
        <f>+'POAI ENERO-SEPT-2017 '!AR658+'POAI ENERO-SEPT-2017 '!AR659</f>
        <v>23817720</v>
      </c>
      <c r="F113" s="703"/>
      <c r="G113" s="703"/>
    </row>
    <row r="114" spans="1:9" s="689" customFormat="1" ht="35.1" customHeight="1" x14ac:dyDescent="0.25">
      <c r="A114" s="686">
        <v>109</v>
      </c>
      <c r="B114" s="691" t="s">
        <v>838</v>
      </c>
      <c r="C114" s="692" t="s">
        <v>839</v>
      </c>
      <c r="D114" s="692" t="s">
        <v>966</v>
      </c>
      <c r="E114" s="703">
        <f>SUM('POAI ENERO-SEPT-2017 '!AR665:AR667)</f>
        <v>137595160</v>
      </c>
      <c r="F114" s="703">
        <f>SUM(E92:E114)</f>
        <v>46405326423.99691</v>
      </c>
      <c r="G114" s="703">
        <f>+'POAI ENERO-SEPT-2017 '!AR671</f>
        <v>46405326423.99691</v>
      </c>
    </row>
    <row r="115" spans="1:9" s="689" customFormat="1" ht="35.1" customHeight="1" x14ac:dyDescent="0.25">
      <c r="A115" s="686">
        <v>110</v>
      </c>
      <c r="B115" s="691" t="s">
        <v>850</v>
      </c>
      <c r="C115" s="697" t="s">
        <v>851</v>
      </c>
      <c r="D115" s="697" t="s">
        <v>967</v>
      </c>
      <c r="E115" s="703">
        <f>+'POAI ENERO-SEPT-2017 '!AR679+'POAI ENERO-SEPT-2017 '!AR680+'POAI ENERO-SEPT-2017 '!AR684</f>
        <v>987541229.80999994</v>
      </c>
      <c r="F115" s="703"/>
      <c r="G115" s="703"/>
    </row>
    <row r="116" spans="1:9" s="689" customFormat="1" ht="35.1" customHeight="1" x14ac:dyDescent="0.25">
      <c r="A116" s="686">
        <v>111</v>
      </c>
      <c r="B116" s="691" t="s">
        <v>857</v>
      </c>
      <c r="C116" s="697" t="s">
        <v>858</v>
      </c>
      <c r="D116" s="697" t="s">
        <v>967</v>
      </c>
      <c r="E116" s="703">
        <f>+'POAI ENERO-SEPT-2017 '!AR688</f>
        <v>405652392</v>
      </c>
      <c r="F116" s="703"/>
      <c r="G116" s="703"/>
    </row>
    <row r="117" spans="1:9" s="689" customFormat="1" ht="35.1" customHeight="1" x14ac:dyDescent="0.25">
      <c r="A117" s="686">
        <v>112</v>
      </c>
      <c r="B117" s="691" t="s">
        <v>861</v>
      </c>
      <c r="C117" s="697" t="s">
        <v>862</v>
      </c>
      <c r="D117" s="697" t="s">
        <v>967</v>
      </c>
      <c r="E117" s="703">
        <f>SUM('POAI ENERO-SEPT-2017 '!AR692:AR694)</f>
        <v>555098827</v>
      </c>
      <c r="F117" s="703"/>
      <c r="G117" s="703"/>
    </row>
    <row r="118" spans="1:9" s="689" customFormat="1" ht="30" customHeight="1" x14ac:dyDescent="0.25">
      <c r="A118" s="686">
        <v>113</v>
      </c>
      <c r="B118" s="691" t="s">
        <v>868</v>
      </c>
      <c r="C118" s="697" t="s">
        <v>968</v>
      </c>
      <c r="D118" s="697" t="s">
        <v>967</v>
      </c>
      <c r="E118" s="703">
        <f>+'POAI ENERO-SEPT-2017 '!AR700+'POAI ENERO-SEPT-2017 '!AR701+'POAI ENERO-SEPT-2017 '!AR702</f>
        <v>160171960</v>
      </c>
      <c r="F118" s="703"/>
      <c r="G118" s="703"/>
    </row>
    <row r="119" spans="1:9" s="689" customFormat="1" ht="30.75" customHeight="1" x14ac:dyDescent="0.25">
      <c r="A119" s="686">
        <v>114</v>
      </c>
      <c r="B119" s="691" t="s">
        <v>874</v>
      </c>
      <c r="C119" s="697" t="s">
        <v>969</v>
      </c>
      <c r="D119" s="697" t="s">
        <v>967</v>
      </c>
      <c r="E119" s="703">
        <f>+'POAI ENERO-SEPT-2017 '!AR706</f>
        <v>154700000</v>
      </c>
      <c r="F119" s="703"/>
      <c r="G119" s="703"/>
      <c r="I119" s="702"/>
    </row>
    <row r="120" spans="1:9" s="689" customFormat="1" ht="24" customHeight="1" x14ac:dyDescent="0.25">
      <c r="A120" s="686">
        <v>115</v>
      </c>
      <c r="B120" s="691" t="s">
        <v>878</v>
      </c>
      <c r="C120" s="697" t="s">
        <v>879</v>
      </c>
      <c r="D120" s="697" t="s">
        <v>967</v>
      </c>
      <c r="E120" s="705">
        <f>+'POAI ENERO-SEPT-2017 '!AR712</f>
        <v>242825366</v>
      </c>
      <c r="F120" s="703">
        <f>SUM(E115:E120)</f>
        <v>2505989774.8099999</v>
      </c>
      <c r="G120" s="703">
        <f>+'POAI ENERO-SEPT-2017 '!AR716</f>
        <v>2505989774.8099999</v>
      </c>
    </row>
    <row r="121" spans="1:9" s="689" customFormat="1" ht="33.75" customHeight="1" x14ac:dyDescent="0.25">
      <c r="A121" s="686">
        <v>116</v>
      </c>
      <c r="B121" s="691" t="s">
        <v>883</v>
      </c>
      <c r="C121" s="697" t="s">
        <v>884</v>
      </c>
      <c r="D121" s="697" t="s">
        <v>970</v>
      </c>
      <c r="E121" s="703">
        <f>+'POAI ENERO-SEPT-2017 '!AR722+'POAI ENERO-SEPT-2017 '!AR726+'POAI ENERO-SEPT-2017 '!AR727+'POAI ENERO-SEPT-2017 '!AR728+'POAI ENERO-SEPT-2017 '!AR729</f>
        <v>2596345166</v>
      </c>
      <c r="F121" s="703">
        <f>+E121</f>
        <v>2596345166</v>
      </c>
      <c r="G121" s="703">
        <f>+'POAI ENERO-SEPT-2017 '!AR733</f>
        <v>2596345166</v>
      </c>
    </row>
    <row r="122" spans="1:9" s="689" customFormat="1" ht="28.5" customHeight="1" x14ac:dyDescent="0.25">
      <c r="A122" s="686">
        <v>117</v>
      </c>
      <c r="B122" s="691" t="s">
        <v>892</v>
      </c>
      <c r="C122" s="697" t="s">
        <v>893</v>
      </c>
      <c r="D122" s="697" t="s">
        <v>971</v>
      </c>
      <c r="E122" s="703">
        <f>SUM('POAI ENERO-SEPT-2017 '!AR739:AR741)</f>
        <v>111551754</v>
      </c>
      <c r="F122" s="703">
        <f>+E122</f>
        <v>111551754</v>
      </c>
      <c r="G122" s="703">
        <f>+'POAI ENERO-SEPT-2017 '!AR745</f>
        <v>111551754</v>
      </c>
    </row>
    <row r="123" spans="1:9" s="689" customFormat="1" ht="31.5" customHeight="1" x14ac:dyDescent="0.25">
      <c r="A123" s="686">
        <v>119</v>
      </c>
      <c r="B123" s="691" t="s">
        <v>412</v>
      </c>
      <c r="C123" s="692" t="s">
        <v>413</v>
      </c>
      <c r="D123" s="692" t="s">
        <v>959</v>
      </c>
      <c r="E123" s="703">
        <f>SUM('POAI ENERO-SEPT-2017 '!AR313)</f>
        <v>45000000</v>
      </c>
      <c r="F123" s="703"/>
      <c r="G123" s="703"/>
    </row>
    <row r="124" spans="1:9" s="689" customFormat="1" ht="34.5" customHeight="1" x14ac:dyDescent="0.25">
      <c r="A124" s="686">
        <v>120</v>
      </c>
      <c r="B124" s="691" t="s">
        <v>404</v>
      </c>
      <c r="C124" s="692" t="s">
        <v>972</v>
      </c>
      <c r="D124" s="692" t="s">
        <v>959</v>
      </c>
      <c r="E124" s="703">
        <f>SUM('POAI ENERO-SEPT-2017 '!AR308:AR311)</f>
        <v>410000000</v>
      </c>
      <c r="F124" s="703"/>
      <c r="G124" s="703"/>
    </row>
    <row r="125" spans="1:9" s="689" customFormat="1" ht="30.75" customHeight="1" x14ac:dyDescent="0.25">
      <c r="A125" s="686">
        <v>121</v>
      </c>
      <c r="B125" s="691" t="s">
        <v>896</v>
      </c>
      <c r="C125" s="692" t="s">
        <v>410</v>
      </c>
      <c r="D125" s="692" t="s">
        <v>959</v>
      </c>
      <c r="E125" s="703">
        <f>+'POAI ENERO-SEPT-2017 '!AR312</f>
        <v>25000000</v>
      </c>
      <c r="F125" s="703"/>
      <c r="G125" s="703"/>
    </row>
    <row r="126" spans="1:9" s="689" customFormat="1" ht="30.75" customHeight="1" x14ac:dyDescent="0.25">
      <c r="A126" s="686">
        <v>122</v>
      </c>
      <c r="B126" s="698" t="s">
        <v>973</v>
      </c>
      <c r="C126" s="682" t="s">
        <v>924</v>
      </c>
      <c r="D126" s="692" t="s">
        <v>961</v>
      </c>
      <c r="E126" s="703">
        <f>+'POAI ENERO-SEPT-2017 '!AR435</f>
        <v>53800000</v>
      </c>
      <c r="F126" s="703"/>
      <c r="G126" s="703"/>
    </row>
    <row r="127" spans="1:9" s="689" customFormat="1" ht="30.75" customHeight="1" x14ac:dyDescent="0.25">
      <c r="A127" s="686">
        <v>125</v>
      </c>
      <c r="B127" s="698" t="s">
        <v>975</v>
      </c>
      <c r="C127" s="682" t="s">
        <v>976</v>
      </c>
      <c r="D127" s="688" t="s">
        <v>951</v>
      </c>
      <c r="E127" s="703">
        <f>+'POAI ENERO-SEPT-2017 '!AR20</f>
        <v>0</v>
      </c>
      <c r="F127" s="703">
        <f>+E127</f>
        <v>0</v>
      </c>
      <c r="G127" s="703">
        <f>+'POAI ENERO-SEPT-2017 '!AR20</f>
        <v>0</v>
      </c>
    </row>
    <row r="128" spans="1:9" s="689" customFormat="1" ht="24" customHeight="1" x14ac:dyDescent="0.25">
      <c r="A128" s="686"/>
      <c r="B128" s="691"/>
      <c r="C128" s="699" t="s">
        <v>977</v>
      </c>
      <c r="D128" s="700"/>
      <c r="E128" s="707">
        <f>SUM(E6:E127)</f>
        <v>249647369229.72345</v>
      </c>
      <c r="F128" s="707">
        <f>SUM(F6:F127)</f>
        <v>249647369229.72345</v>
      </c>
      <c r="G128" s="707">
        <f>+'POAI ENERO-SEPT-2017 '!AR747</f>
        <v>249647369229.72345</v>
      </c>
    </row>
  </sheetData>
  <sheetProtection password="CBEB" sheet="1" objects="1" scenarios="1"/>
  <mergeCells count="3">
    <mergeCell ref="B1:G1"/>
    <mergeCell ref="B2:G2"/>
    <mergeCell ref="A3:G3"/>
  </mergeCells>
  <dataValidations disablePrompts="1" count="1">
    <dataValidation type="whole" allowBlank="1" showInputMessage="1" showErrorMessage="1" errorTitle="VALOR NUMERICO" error="Registre un valor númerico" sqref="E120">
      <formula1>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POAI ENERO-SEPT-2017 </vt:lpstr>
      <vt:lpstr>PROYECTOS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dc:creator>
  <cp:lastModifiedBy>AUXPLANEACION03</cp:lastModifiedBy>
  <dcterms:created xsi:type="dcterms:W3CDTF">2016-11-06T23:03:57Z</dcterms:created>
  <dcterms:modified xsi:type="dcterms:W3CDTF">2017-11-03T18:22:46Z</dcterms:modified>
</cp:coreProperties>
</file>