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Gobernacion 2023\MIPG 2023\Autodiagnosticos\"/>
    </mc:Choice>
  </mc:AlternateContent>
  <bookViews>
    <workbookView xWindow="0" yWindow="0" windowWidth="12915" windowHeight="8685" firstSheet="1" activeTab="1"/>
  </bookViews>
  <sheets>
    <sheet name="Instructivo" sheetId="2" r:id="rId1"/>
    <sheet name="Estado SCI" sheetId="1" r:id="rId2"/>
    <sheet name="Análisis Resultados" sheetId="3" r:id="rId3"/>
    <sheet name="Conclusión" sheetId="5" r:id="rId4"/>
    <sheet name="Hoja1" sheetId="6" state="hidden" r:id="rId5"/>
  </sheets>
  <externalReferences>
    <externalReference r:id="rId6"/>
  </externalReferences>
  <definedNames>
    <definedName name="_xlnm._FilterDatabase" localSheetId="4" hidden="1">Hoja1!$A$1:$K$45</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59" i="1" l="1"/>
  <c r="J58" i="1"/>
  <c r="J57" i="1"/>
  <c r="J56" i="1"/>
  <c r="J55" i="1"/>
  <c r="J54" i="1"/>
  <c r="J53" i="1"/>
  <c r="J52" i="1"/>
  <c r="J51" i="1"/>
  <c r="J5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A59" i="1" l="1"/>
  <c r="A58" i="1"/>
  <c r="A57" i="1"/>
  <c r="A56" i="1"/>
  <c r="A55" i="1"/>
  <c r="A54" i="1"/>
  <c r="A53" i="1"/>
  <c r="A52" i="1"/>
  <c r="A51" i="1"/>
  <c r="A50" i="1"/>
  <c r="A49" i="1"/>
  <c r="A48" i="1"/>
  <c r="A47" i="1"/>
  <c r="A46" i="1"/>
  <c r="A45" i="1"/>
  <c r="A44" i="1"/>
  <c r="A43" i="1"/>
  <c r="A42" i="1"/>
  <c r="A41" i="1"/>
  <c r="A40" i="1"/>
  <c r="A39" i="1"/>
  <c r="J37" i="1"/>
  <c r="L37" i="1" s="1"/>
  <c r="J36" i="1"/>
  <c r="L36" i="1" s="1"/>
  <c r="J35" i="1"/>
  <c r="L35" i="1" s="1"/>
  <c r="J34" i="1"/>
  <c r="L34" i="1" s="1"/>
  <c r="J33" i="1"/>
  <c r="L33" i="1" s="1"/>
  <c r="J32" i="1"/>
  <c r="L32" i="1" s="1"/>
  <c r="A38" i="1"/>
  <c r="A37" i="1"/>
  <c r="A36" i="1"/>
  <c r="A35" i="1"/>
  <c r="A34" i="1"/>
  <c r="A33" i="1"/>
  <c r="A32" i="1"/>
  <c r="L59" i="1"/>
  <c r="L58" i="1"/>
  <c r="L57" i="1"/>
  <c r="L56" i="1"/>
  <c r="L55" i="1"/>
  <c r="L54" i="1"/>
  <c r="L53" i="1"/>
  <c r="L52" i="1"/>
  <c r="L51" i="1"/>
  <c r="L50" i="1"/>
  <c r="J49" i="1"/>
  <c r="L49" i="1" s="1"/>
  <c r="J48" i="1"/>
  <c r="L48" i="1" s="1"/>
  <c r="J47" i="1"/>
  <c r="L47" i="1" s="1"/>
  <c r="J46" i="1"/>
  <c r="L46" i="1" s="1"/>
  <c r="J45" i="1"/>
  <c r="L45" i="1" s="1"/>
  <c r="J44" i="1"/>
  <c r="L44" i="1" s="1"/>
  <c r="J43" i="1"/>
  <c r="L43" i="1" s="1"/>
  <c r="J42" i="1"/>
  <c r="L42" i="1" s="1"/>
  <c r="J41" i="1"/>
  <c r="L41" i="1" s="1"/>
  <c r="J40" i="1"/>
  <c r="L40" i="1" s="1"/>
  <c r="J39" i="1"/>
  <c r="L39" i="1" s="1"/>
  <c r="J38" i="1"/>
  <c r="L38" i="1" s="1"/>
  <c r="J31" i="1"/>
  <c r="L31" i="1" s="1"/>
  <c r="J30" i="1"/>
  <c r="L30" i="1" s="1"/>
  <c r="J29" i="1"/>
  <c r="L29" i="1" s="1"/>
  <c r="J28" i="1"/>
  <c r="L28" i="1" s="1"/>
  <c r="J27" i="1"/>
  <c r="L27" i="1" s="1"/>
  <c r="J26" i="1"/>
  <c r="L26" i="1" s="1"/>
  <c r="J25" i="1"/>
  <c r="L25" i="1" s="1"/>
  <c r="J24" i="1"/>
  <c r="L24" i="1" s="1"/>
  <c r="J23" i="1"/>
  <c r="L23" i="1" s="1"/>
  <c r="J22" i="1"/>
  <c r="L22" i="1" s="1"/>
  <c r="J21" i="1"/>
  <c r="L21" i="1" s="1"/>
  <c r="J20" i="1"/>
  <c r="L20" i="1" s="1"/>
  <c r="J19" i="1"/>
  <c r="L19" i="1" s="1"/>
  <c r="J18" i="1"/>
  <c r="L18" i="1" s="1"/>
  <c r="J17" i="1"/>
  <c r="L17" i="1" s="1"/>
  <c r="J16" i="1"/>
  <c r="L16" i="1" s="1"/>
  <c r="A31" i="1" l="1"/>
  <c r="A30" i="1"/>
  <c r="A29" i="1"/>
  <c r="A28" i="1"/>
  <c r="A27" i="1"/>
  <c r="A26" i="1"/>
  <c r="A25" i="1"/>
  <c r="A24" i="1"/>
  <c r="A23" i="1"/>
  <c r="A22" i="1"/>
  <c r="A21" i="1"/>
  <c r="A20" i="1"/>
  <c r="A19" i="1"/>
  <c r="A18" i="1"/>
  <c r="A17" i="1"/>
  <c r="A16" i="1"/>
  <c r="I3" i="6" l="1"/>
  <c r="J3" i="6" s="1"/>
  <c r="I11" i="6"/>
  <c r="J11" i="6" s="1"/>
  <c r="I19" i="6"/>
  <c r="J19" i="6" s="1"/>
  <c r="I25" i="6"/>
  <c r="J25" i="6" s="1"/>
  <c r="I33" i="6"/>
  <c r="J33" i="6" s="1"/>
  <c r="I41" i="6"/>
  <c r="J41" i="6" s="1"/>
  <c r="B29" i="6"/>
  <c r="I4" i="6"/>
  <c r="J4" i="6" s="1"/>
  <c r="I12" i="6"/>
  <c r="J12" i="6" s="1"/>
  <c r="I20" i="6"/>
  <c r="J20" i="6" s="1"/>
  <c r="I26" i="6"/>
  <c r="J26" i="6" s="1"/>
  <c r="I34" i="6"/>
  <c r="J34" i="6" s="1"/>
  <c r="I42" i="6"/>
  <c r="J42" i="6" s="1"/>
  <c r="B36" i="6"/>
  <c r="I5" i="6"/>
  <c r="J5" i="6" s="1"/>
  <c r="I13" i="6"/>
  <c r="J13" i="6" s="1"/>
  <c r="I27" i="6"/>
  <c r="J27" i="6" s="1"/>
  <c r="I35" i="6"/>
  <c r="J35" i="6" s="1"/>
  <c r="I43" i="6"/>
  <c r="J43" i="6" s="1"/>
  <c r="B2" i="6"/>
  <c r="I6" i="6"/>
  <c r="J6" i="6" s="1"/>
  <c r="I14" i="6"/>
  <c r="J14" i="6" s="1"/>
  <c r="I21" i="6"/>
  <c r="J21" i="6" s="1"/>
  <c r="I28" i="6"/>
  <c r="J28" i="6" s="1"/>
  <c r="I36" i="6"/>
  <c r="J36" i="6" s="1"/>
  <c r="I44" i="6"/>
  <c r="J44" i="6" s="1"/>
  <c r="I7" i="6"/>
  <c r="J7" i="6" s="1"/>
  <c r="I15" i="6"/>
  <c r="J15" i="6" s="1"/>
  <c r="I22" i="6"/>
  <c r="J22" i="6" s="1"/>
  <c r="I29" i="6"/>
  <c r="J29" i="6" s="1"/>
  <c r="I37" i="6"/>
  <c r="J37" i="6" s="1"/>
  <c r="I45" i="6"/>
  <c r="J45" i="6" s="1"/>
  <c r="I8" i="6"/>
  <c r="J8" i="6" s="1"/>
  <c r="I16" i="6"/>
  <c r="J16" i="6" s="1"/>
  <c r="I23" i="6"/>
  <c r="J23" i="6" s="1"/>
  <c r="I30" i="6"/>
  <c r="J30" i="6" s="1"/>
  <c r="I38" i="6"/>
  <c r="J38" i="6" s="1"/>
  <c r="I2" i="6"/>
  <c r="J2" i="6" s="1"/>
  <c r="I9" i="6"/>
  <c r="J9" i="6" s="1"/>
  <c r="I17" i="6"/>
  <c r="J17" i="6" s="1"/>
  <c r="I31" i="6"/>
  <c r="J31" i="6" s="1"/>
  <c r="I39" i="6"/>
  <c r="J39" i="6" s="1"/>
  <c r="B14" i="6"/>
  <c r="I10" i="6"/>
  <c r="J10" i="6" s="1"/>
  <c r="I18" i="6"/>
  <c r="J18" i="6" s="1"/>
  <c r="I24" i="6"/>
  <c r="J24" i="6" s="1"/>
  <c r="I32" i="6"/>
  <c r="J32" i="6" s="1"/>
  <c r="I40" i="6"/>
  <c r="J40" i="6" s="1"/>
  <c r="B24" i="6"/>
  <c r="G41" i="6"/>
  <c r="G40" i="6"/>
  <c r="G32" i="6"/>
  <c r="G24" i="6"/>
  <c r="G18" i="6"/>
  <c r="G10" i="6"/>
  <c r="G2" i="6"/>
  <c r="F10" i="6"/>
  <c r="F18" i="6"/>
  <c r="F24" i="6"/>
  <c r="F32" i="6"/>
  <c r="F40" i="6"/>
  <c r="G29" i="6"/>
  <c r="G7" i="6"/>
  <c r="F27" i="6"/>
  <c r="G28" i="6"/>
  <c r="G14" i="6"/>
  <c r="F14" i="6"/>
  <c r="F36" i="6"/>
  <c r="G27" i="6"/>
  <c r="G5" i="6"/>
  <c r="F22" i="6"/>
  <c r="F45" i="6"/>
  <c r="G34" i="6"/>
  <c r="G20" i="6"/>
  <c r="F8" i="6"/>
  <c r="F30" i="6"/>
  <c r="G33" i="6"/>
  <c r="G11" i="6"/>
  <c r="F17" i="6"/>
  <c r="G39" i="6"/>
  <c r="G31" i="6"/>
  <c r="G17" i="6"/>
  <c r="G9" i="6"/>
  <c r="F3" i="6"/>
  <c r="F11" i="6"/>
  <c r="F19" i="6"/>
  <c r="F25" i="6"/>
  <c r="F33" i="6"/>
  <c r="F41" i="6"/>
  <c r="G37" i="6"/>
  <c r="G15" i="6"/>
  <c r="F5" i="6"/>
  <c r="F43" i="6"/>
  <c r="G44" i="6"/>
  <c r="G21" i="6"/>
  <c r="F6" i="6"/>
  <c r="F28" i="6"/>
  <c r="G35" i="6"/>
  <c r="G13" i="6"/>
  <c r="F7" i="6"/>
  <c r="F29" i="6"/>
  <c r="G26" i="6"/>
  <c r="G4" i="6"/>
  <c r="F23" i="6"/>
  <c r="F2" i="6"/>
  <c r="G19" i="6"/>
  <c r="F9" i="6"/>
  <c r="F39" i="6"/>
  <c r="G38" i="6"/>
  <c r="G30" i="6"/>
  <c r="G23" i="6"/>
  <c r="G16" i="6"/>
  <c r="G8" i="6"/>
  <c r="F4" i="6"/>
  <c r="F12" i="6"/>
  <c r="F20" i="6"/>
  <c r="F26" i="6"/>
  <c r="F34" i="6"/>
  <c r="F42" i="6"/>
  <c r="G45" i="6"/>
  <c r="G22" i="6"/>
  <c r="F13" i="6"/>
  <c r="F35" i="6"/>
  <c r="G36" i="6"/>
  <c r="G6" i="6"/>
  <c r="F21" i="6"/>
  <c r="F44" i="6"/>
  <c r="G43" i="6"/>
  <c r="F15" i="6"/>
  <c r="F37" i="6"/>
  <c r="G42" i="6"/>
  <c r="G12" i="6"/>
  <c r="F16" i="6"/>
  <c r="F38" i="6"/>
  <c r="G25" i="6"/>
  <c r="G3" i="6"/>
  <c r="F31" i="6"/>
  <c r="K24" i="6" l="1"/>
  <c r="G30" i="5" s="1"/>
  <c r="K29" i="6"/>
  <c r="K36" i="6"/>
  <c r="K14" i="6"/>
  <c r="K9" i="6"/>
  <c r="K6" i="6"/>
  <c r="K35" i="6"/>
  <c r="K19" i="6"/>
  <c r="K23" i="6"/>
  <c r="K40" i="6"/>
  <c r="K10" i="6"/>
  <c r="K7" i="6"/>
  <c r="K44" i="6"/>
  <c r="K20" i="6"/>
  <c r="K38" i="6"/>
  <c r="K3" i="6"/>
  <c r="K8" i="6"/>
  <c r="K30" i="6"/>
  <c r="K37" i="6"/>
  <c r="K25" i="6"/>
  <c r="K45" i="6"/>
  <c r="K11" i="6"/>
  <c r="K4" i="6"/>
  <c r="K12" i="6"/>
  <c r="K32" i="6"/>
  <c r="K41" i="6"/>
  <c r="K17" i="6"/>
  <c r="K15" i="6"/>
  <c r="K28" i="6"/>
  <c r="K39" i="6"/>
  <c r="K27" i="6"/>
  <c r="K5" i="6"/>
  <c r="K33" i="6"/>
  <c r="K42" i="6"/>
  <c r="K22" i="6"/>
  <c r="K2" i="6"/>
  <c r="K31" i="6"/>
  <c r="K13" i="6"/>
  <c r="K34" i="6"/>
  <c r="K43" i="6"/>
  <c r="K18" i="6"/>
  <c r="K16" i="6"/>
  <c r="K26" i="6"/>
  <c r="K21" i="6"/>
  <c r="H37" i="6"/>
  <c r="H17" i="6"/>
  <c r="H30" i="6"/>
  <c r="H2" i="6"/>
  <c r="H10" i="6"/>
  <c r="H44" i="6"/>
  <c r="H6" i="6"/>
  <c r="H7" i="6"/>
  <c r="H42" i="6"/>
  <c r="H36" i="6"/>
  <c r="H11" i="6"/>
  <c r="H5" i="6"/>
  <c r="H29" i="6"/>
  <c r="H18" i="6"/>
  <c r="H12" i="6"/>
  <c r="H38" i="6"/>
  <c r="H13" i="6"/>
  <c r="H33" i="6"/>
  <c r="H27" i="6"/>
  <c r="H24" i="6"/>
  <c r="H3" i="6"/>
  <c r="H8" i="6"/>
  <c r="H26" i="6"/>
  <c r="H39" i="6"/>
  <c r="H19" i="6"/>
  <c r="H35" i="6"/>
  <c r="H15" i="6"/>
  <c r="H9" i="6"/>
  <c r="H32" i="6"/>
  <c r="H40" i="6"/>
  <c r="H22" i="6"/>
  <c r="H25" i="6"/>
  <c r="H45" i="6"/>
  <c r="H20" i="6"/>
  <c r="H14" i="6"/>
  <c r="H43" i="6"/>
  <c r="H16" i="6"/>
  <c r="H23" i="6"/>
  <c r="H4" i="6"/>
  <c r="H21" i="6"/>
  <c r="H31" i="6"/>
  <c r="H34" i="6"/>
  <c r="H28" i="6"/>
  <c r="H41" i="6"/>
  <c r="E30" i="5" l="1"/>
  <c r="E26" i="5"/>
  <c r="G26" i="5"/>
  <c r="E28" i="5"/>
  <c r="G28" i="5"/>
  <c r="G34" i="5"/>
  <c r="E34" i="5"/>
  <c r="E32" i="5"/>
  <c r="G32" i="5"/>
  <c r="F56" i="3"/>
  <c r="F48" i="3"/>
  <c r="F40" i="3"/>
  <c r="F32" i="3"/>
  <c r="F24" i="3"/>
  <c r="F55" i="3"/>
  <c r="F47" i="3"/>
  <c r="F39" i="3"/>
  <c r="F31" i="3"/>
  <c r="F23" i="3"/>
  <c r="F34" i="3"/>
  <c r="F62" i="3"/>
  <c r="F54" i="3"/>
  <c r="F46" i="3"/>
  <c r="F38" i="3"/>
  <c r="F30" i="3"/>
  <c r="F22" i="3"/>
  <c r="F53" i="3"/>
  <c r="F45" i="3"/>
  <c r="F37" i="3"/>
  <c r="F29" i="3"/>
  <c r="F57" i="3"/>
  <c r="F33" i="3"/>
  <c r="F61" i="3"/>
  <c r="F21" i="3"/>
  <c r="F58" i="3"/>
  <c r="F50" i="3"/>
  <c r="F26" i="3"/>
  <c r="F60" i="3"/>
  <c r="F52" i="3"/>
  <c r="F44" i="3"/>
  <c r="F36" i="3"/>
  <c r="F28" i="3"/>
  <c r="F20" i="3"/>
  <c r="F25" i="3"/>
  <c r="F59" i="3"/>
  <c r="F51" i="3"/>
  <c r="F43" i="3"/>
  <c r="F35" i="3"/>
  <c r="F27" i="3"/>
  <c r="F19" i="3"/>
  <c r="F42" i="3"/>
  <c r="F49" i="3"/>
  <c r="F41" i="3"/>
  <c r="E56" i="3"/>
  <c r="E40" i="3"/>
  <c r="E55" i="3"/>
  <c r="E47" i="3"/>
  <c r="E39" i="3"/>
  <c r="E31" i="3"/>
  <c r="E23" i="3"/>
  <c r="E51" i="3"/>
  <c r="E27" i="3"/>
  <c r="E58" i="3"/>
  <c r="E26" i="3"/>
  <c r="E57" i="3"/>
  <c r="E25" i="3"/>
  <c r="E24" i="3"/>
  <c r="E62" i="3"/>
  <c r="E54" i="3"/>
  <c r="E46" i="3"/>
  <c r="E38" i="3"/>
  <c r="E30" i="3"/>
  <c r="E22" i="3"/>
  <c r="E60" i="3"/>
  <c r="E20" i="3"/>
  <c r="E43" i="3"/>
  <c r="E50" i="3"/>
  <c r="E34" i="3"/>
  <c r="E49" i="3"/>
  <c r="E48" i="3"/>
  <c r="E61" i="3"/>
  <c r="E53" i="3"/>
  <c r="E45" i="3"/>
  <c r="E37" i="3"/>
  <c r="E29" i="3"/>
  <c r="E21" i="3"/>
  <c r="E52" i="3"/>
  <c r="E44" i="3"/>
  <c r="E36" i="3"/>
  <c r="E28" i="3"/>
  <c r="E59" i="3"/>
  <c r="E35" i="3"/>
  <c r="E19" i="3"/>
  <c r="E42" i="3"/>
  <c r="E41" i="3"/>
  <c r="E33" i="3"/>
  <c r="E32" i="3"/>
  <c r="I61" i="3" l="1"/>
  <c r="G61" i="3"/>
  <c r="I59" i="3"/>
  <c r="G59" i="3"/>
  <c r="I45" i="3"/>
  <c r="G45" i="3"/>
  <c r="G20" i="3"/>
  <c r="I20" i="3"/>
  <c r="G24" i="3"/>
  <c r="I24" i="3"/>
  <c r="I31" i="3"/>
  <c r="G31" i="3"/>
  <c r="I32" i="3"/>
  <c r="G32" i="3"/>
  <c r="G28" i="3"/>
  <c r="I28" i="3"/>
  <c r="I53" i="3"/>
  <c r="G53" i="3"/>
  <c r="I60" i="3"/>
  <c r="G60" i="3"/>
  <c r="G25" i="3"/>
  <c r="I25" i="3"/>
  <c r="I39" i="3"/>
  <c r="G39" i="3"/>
  <c r="G22" i="3"/>
  <c r="I22" i="3"/>
  <c r="I57" i="3"/>
  <c r="G57" i="3"/>
  <c r="I47" i="3"/>
  <c r="G47" i="3"/>
  <c r="I33" i="3"/>
  <c r="G33" i="3"/>
  <c r="I44" i="3"/>
  <c r="G44" i="3"/>
  <c r="I48" i="3"/>
  <c r="G48" i="3"/>
  <c r="I30" i="3"/>
  <c r="G30" i="3"/>
  <c r="G26" i="3"/>
  <c r="I26" i="3"/>
  <c r="I55" i="3"/>
  <c r="G55" i="3"/>
  <c r="I41" i="3"/>
  <c r="G41" i="3"/>
  <c r="I52" i="3"/>
  <c r="G52" i="3"/>
  <c r="I49" i="3"/>
  <c r="G49" i="3"/>
  <c r="I38" i="3"/>
  <c r="G38" i="3"/>
  <c r="I58" i="3"/>
  <c r="G58" i="3"/>
  <c r="I42" i="3"/>
  <c r="G42" i="3"/>
  <c r="G21" i="3"/>
  <c r="I21" i="3"/>
  <c r="I34" i="3"/>
  <c r="G34" i="3"/>
  <c r="I46" i="3"/>
  <c r="G46" i="3"/>
  <c r="I27" i="3"/>
  <c r="G27" i="3"/>
  <c r="I40" i="3"/>
  <c r="G40" i="3"/>
  <c r="I36" i="3"/>
  <c r="G36" i="3"/>
  <c r="I19" i="3"/>
  <c r="G19" i="3"/>
  <c r="G29" i="3"/>
  <c r="I29" i="3"/>
  <c r="I50" i="3"/>
  <c r="G50" i="3"/>
  <c r="I54" i="3"/>
  <c r="G54" i="3"/>
  <c r="I51" i="3"/>
  <c r="G51" i="3"/>
  <c r="I56" i="3"/>
  <c r="G56" i="3"/>
  <c r="I35" i="3"/>
  <c r="G35" i="3"/>
  <c r="I37" i="3"/>
  <c r="G37" i="3"/>
  <c r="I43" i="3"/>
  <c r="G43" i="3"/>
  <c r="I62" i="3"/>
  <c r="G62" i="3"/>
  <c r="G23" i="3"/>
  <c r="I23" i="3"/>
  <c r="J41" i="3" l="1"/>
  <c r="J53" i="3"/>
  <c r="J46" i="3"/>
  <c r="J31" i="3"/>
  <c r="J19" i="3"/>
  <c r="M8" i="5" l="1"/>
</calcChain>
</file>

<file path=xl/sharedStrings.xml><?xml version="1.0" encoding="utf-8"?>
<sst xmlns="http://schemas.openxmlformats.org/spreadsheetml/2006/main" count="507" uniqueCount="237">
  <si>
    <t>EVALUACIÓN INDEPENDIENTE SISTEMA DE CONTROL INTERNO
Entidades Pequeñas
(instrucciones para su diligenciamiento)</t>
  </si>
  <si>
    <t>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Esta estructura requiere de un análisis articulado frente al desarrollo de las políticas de gestión y desempeño contenidas en el modelo y su efectividad en relación con la estructura de control, este útlimo, aspecto esecial para garantizar el buen manejo de los recursos, que las metas y objetivos se cumplan y se mejore la prestación del servicio a los usuarios, ejes fundamentales para la generación de valor público.
Teniendo en cuenta lo anterior y dada la necesidad de dar cumplimiento a la dispuesto en el articulo 156 del Decreto 2106 de 2019, el presente formatobusca que las entidades cuenten con una herramienta para evaluar sus Sistemas de Control Interno de manera integral y permitirle al Jefe de Control Interno o quien haga sus veces llevar a cabo el informe de evaluación independiente sobre el mismo para su publicación cada seis (6) meses, en el sitio web de la entidad. La estructura propuesta es diferencial para aquellas entidades de municipios de 6a categoría (Personerías y Concejos Municipales) que son entidades con 1 y hasta 5 servidores en sus plantas de personal. Estas entidades deben tener en cuenta que de acuerdo con el parágrafo del artículo ARTÍCULO 2.2.22.2.1. del Decreto 1499 de 2017, las políticas de gestión y desempeño contenidas en el Modelo Integrado de Planeación y Gestión MIPG, deben ser aplicadas acorde con las normas que las regulan, por lo que deben analizar dichas políticas e implementarlas en armonía con el MECI.</t>
  </si>
  <si>
    <t>Orientaciones Generales</t>
  </si>
  <si>
    <r>
      <t xml:space="preserve">El archivo contiene las siguientes hojas:
 -  1 </t>
    </r>
    <r>
      <rPr>
        <b/>
        <sz val="11"/>
        <rFont val="Arial Narrow"/>
        <family val="2"/>
      </rPr>
      <t xml:space="preserve">Pestaña que desarrolla la estructura para evaluar el estado del Sistema de Control Interno: </t>
    </r>
    <r>
      <rPr>
        <sz val="11"/>
        <rFont val="Arial Narrow"/>
        <family val="2"/>
      </rPr>
      <t xml:space="preserve">Se desagrega en </t>
    </r>
    <r>
      <rPr>
        <sz val="10"/>
        <rFont val="Arial Narrow"/>
        <family val="2"/>
      </rPr>
      <t>"Ambiente de Control", "Evaluación de riesgos", "Actividades de control", "Información y Comunicación", y " Actividades de Monitoreo", componentes actuales del Modelo Estándar de Control Interno MECI. La estructura es la siguiente para el diligenciamiento:</t>
    </r>
  </si>
  <si>
    <t>Columna</t>
  </si>
  <si>
    <t>Descripción</t>
  </si>
  <si>
    <t>Componente del MECI asociado</t>
  </si>
  <si>
    <t>Esta columna define los componentes del MECI.</t>
  </si>
  <si>
    <t>Lineamiento General por Componente</t>
  </si>
  <si>
    <t>En esta columna establece el lineamientos general para cada uno de los componentes del MECI</t>
  </si>
  <si>
    <t>Requerimiento Asociado al Componente</t>
  </si>
  <si>
    <t>Se muestran una serie de preguntas con 3 opciones de respuesta así:
1. SI
2.NO
3. EN PROCESO</t>
  </si>
  <si>
    <t>Evidencia de Seguimiento al Control</t>
  </si>
  <si>
    <t>Establezca actividades adelantadas de aplicación del documento o elemento antes identificado (esto cuando se responde SI o bien EN PROCESO)</t>
  </si>
  <si>
    <r>
      <t xml:space="preserve"> -</t>
    </r>
    <r>
      <rPr>
        <sz val="11"/>
        <rFont val="Arial Narrow"/>
        <family val="2"/>
      </rPr>
      <t xml:space="preserve"> </t>
    </r>
    <r>
      <rPr>
        <b/>
        <sz val="11"/>
        <rFont val="Arial Narrow"/>
        <family val="2"/>
      </rPr>
      <t>Análisis de Resultados:</t>
    </r>
    <r>
      <rPr>
        <sz val="10"/>
        <rFont val="Arial Narrow"/>
        <family val="2"/>
      </rPr>
      <t xml:space="preserve"> Esta hoja permite consolidar los resultados para cada componente evaluado.</t>
    </r>
  </si>
  <si>
    <t xml:space="preserve">Clasificación </t>
  </si>
  <si>
    <t>Observaciones del Control</t>
  </si>
  <si>
    <t>Mantenimiento del Control</t>
  </si>
  <si>
    <t>Existe requerimiento pero se requiere actividades  dirigidas a su mantenimiento dentro del marco de las lineas de defensa.</t>
  </si>
  <si>
    <t>Oportunidad de Mejora</t>
  </si>
  <si>
    <t>Se encuentra en proceso, pero requiere continuar con acciones dirigidas a contar con dicho aspecto de control</t>
  </si>
  <si>
    <t xml:space="preserve">Deficiencia del Control 
</t>
  </si>
  <si>
    <t>No se encuentra el aspecto  por lo tanto la entidad debera generar acciones dirigidas a que se cumpla con el requerimiento .</t>
  </si>
  <si>
    <r>
      <t xml:space="preserve"> -</t>
    </r>
    <r>
      <rPr>
        <sz val="11"/>
        <rFont val="Arial Narrow"/>
        <family val="2"/>
      </rPr>
      <t xml:space="preserve"> </t>
    </r>
    <r>
      <rPr>
        <b/>
        <sz val="11"/>
        <rFont val="Arial Narrow"/>
        <family val="2"/>
      </rPr>
      <t>Conclusiones:</t>
    </r>
    <r>
      <rPr>
        <sz val="10"/>
        <rFont val="Arial Narrow"/>
        <family val="2"/>
      </rPr>
      <t xml:space="preserve"> Esta hoja permite establecer el estado del Sistema de Control Interno evaluado, información a partir de la cual se definen las acciones de mejora correspondientes. Esta hoja será el informe para publicación en página web, o bien para ubicar en un lugar visible en la sede de la entidad (esto para aquellas que no cuentan con conectividad o página web en operación).</t>
    </r>
  </si>
  <si>
    <t>MEDICION ESTADO DEL SISTEMA DE CONTROL INTERNO EN LA ENTIDAD</t>
  </si>
  <si>
    <t xml:space="preserve">No. </t>
  </si>
  <si>
    <t>Literal</t>
  </si>
  <si>
    <t>Requerimiento asociado al componente</t>
  </si>
  <si>
    <t>Seguimiento al control (Si, No, En proceso)</t>
  </si>
  <si>
    <t>Evidencia de seguimiento al control
(Establezca actividades adelantadas de aplicación del documento o elemento antes identificado, esto cuando se responde SI o bien EN PROCESO</t>
  </si>
  <si>
    <t>Evaluación</t>
  </si>
  <si>
    <t>1</t>
  </si>
  <si>
    <t>AMBIENTE DE CONTROL</t>
  </si>
  <si>
    <t>El ambiente de control institucional está integrado por todas esas condiciones mínimas que debe garantizar cualquier entidad pública para el ejercicio del control interno. Para el caso de su entidad indique si se cuenta con:</t>
  </si>
  <si>
    <t>a</t>
  </si>
  <si>
    <t>Documento interno o adopción del MECI actualizado</t>
  </si>
  <si>
    <t>b</t>
  </si>
  <si>
    <t>Un documento tal como un código de ética, integridad u otro que formalice los estándares de conducta, los principios institucionales o los valores del servicio público</t>
  </si>
  <si>
    <t>Si</t>
  </si>
  <si>
    <t>c</t>
  </si>
  <si>
    <t>Planes, programas y proyectos de acuerdo con las normas que rigen y atendiendo con su propósito fundamental institucional (misión)</t>
  </si>
  <si>
    <t>d</t>
  </si>
  <si>
    <t>Una estructura organizacional formalizada (organigrama)</t>
  </si>
  <si>
    <t>e</t>
  </si>
  <si>
    <t>Un manual de funciones que describa los empleos de la entidad</t>
  </si>
  <si>
    <t>f</t>
  </si>
  <si>
    <t>La documentación de sus procesos y procedimientos o bien una lista de actividades principales que permitan conocer el estado de su gestión</t>
  </si>
  <si>
    <t>g</t>
  </si>
  <si>
    <t>Vinculación de los servidores públicos de acuerdo con el marco normativo que les rige (carrera administrativa, libre nombramiento y remoción, entre otros)</t>
  </si>
  <si>
    <t>h</t>
  </si>
  <si>
    <t>Procesos de inducción, capacitación y bienestar social para sus servidores públicos, de manera directa o en asociación con otras entidades municipales</t>
  </si>
  <si>
    <t>i</t>
  </si>
  <si>
    <t>Evaluación a los servidores públicos de acuerdo con el marco normativo que le rige</t>
  </si>
  <si>
    <t>j</t>
  </si>
  <si>
    <t>Procesos de desvinculación de servidores de acuerdo con lo previsto en la Constitución Política y las leyes</t>
  </si>
  <si>
    <t>k</t>
  </si>
  <si>
    <t>Mecanismos de rendición de cuentas a la ciudadanía</t>
  </si>
  <si>
    <t>l</t>
  </si>
  <si>
    <t>Presentación oportuna de sus informes de gestión a las autoridades competentes</t>
  </si>
  <si>
    <t>2</t>
  </si>
  <si>
    <t>EVALUACION DEL RIESGO</t>
  </si>
  <si>
    <t>Toda entidad debe identificar, evaluar y gestionar eventos potenciales, tanto internos como externos, que puedan afectar el logro de los objetivos institucionales. Para el caso de su entidad indique si se cuenta con:</t>
  </si>
  <si>
    <t>Identificación de cambios en su entorno que pueden generar consecuencias negativas en su gestión</t>
  </si>
  <si>
    <t>Identificación de aquellos problemas o aspectos que pueden afectar el cumplimiento de los planes de la entidad y en general su gestión institucional (riesgos)</t>
  </si>
  <si>
    <t>Identificación  de los riesgos relacionados con posibles actos de corrupción en el ejercicio de sus funciones</t>
  </si>
  <si>
    <t>Si su capacidad e infraestructura lo permite, identificación de riesgos asociados a las tecnologías de la información y las comunicaciones</t>
  </si>
  <si>
    <t>3</t>
  </si>
  <si>
    <t>Los líderes de los programas, proyectos, o procesos de la entidad  junto con sus equipos de trabajo:</t>
  </si>
  <si>
    <t>Hacen seguimiento a los problemas (riesgos)  que pueden afectar el cumplimiento de sus procesos, programas o proyectos a cargo</t>
  </si>
  <si>
    <t>Informan de manera periódica a quien corresponda sobre el desempeño de las actividades de gestión de riesgos</t>
  </si>
  <si>
    <t>Identifican deficiencias en las maneras de  controlar los riesgos o problemas en sus procesos, programas o proyectos, y propone los ajustes necesarios</t>
  </si>
  <si>
    <t>4</t>
  </si>
  <si>
    <t>Para el manejo de los problemas que afectan el cumplimiento de las metas u objetivos institucionales (riesgos), el jefe de control interno o quien haga sus veces, ha podido evidenciar si en la entidad:</t>
  </si>
  <si>
    <t>Se definen espacios de reunión para conocerlos y proponer acciones para su solución</t>
  </si>
  <si>
    <t>Cada líder del equipo autónomamente toma las acciones para solucionarlos.</t>
  </si>
  <si>
    <t>Solamente hasta que un organismo de control actúa se definen acciones de mejora.</t>
  </si>
  <si>
    <t>5</t>
  </si>
  <si>
    <t>ACTIVIDADES DE CONTROL</t>
  </si>
  <si>
    <t>Una vez identificados los problemas que afectan el cumplimiento de los planes de la entidad o su gestión institucional, la entidad debe diseñar los controles o mecanismos para darles tratamiento. Para el caso de su entidad indique si se cuenta con:</t>
  </si>
  <si>
    <t>La definición de acciones o actividades para para dar tratamiento a los problemas identificados (mitigación de riesgos), incluyendo aquellos asociados a posibles actos de corrupción</t>
  </si>
  <si>
    <t>Mecanismos de verificación de si se están o no mitigando los riesgos, o en su defecto, elaboración de planes de contingencia para subsanar sus consecuencias</t>
  </si>
  <si>
    <t>Planes, acciones o estrategias que permitan subsanar las consecuencias de la materialización de los riesgos, cuando se presentan</t>
  </si>
  <si>
    <t>Un documento que consolide  los riesgos  y el tratamiento que se les da, incluyendo aquellos que conllevan posibles actos de corrupción y si la capacidad e infraestructura lo permite, los asociados con las tecnologías de la información y las comunicaciones</t>
  </si>
  <si>
    <t>Un plan anticorrupción y de servicio al ciudadano con los temas que le aplican, publicado en algún medio para conocimiento de la ciudadanía</t>
  </si>
  <si>
    <t>6</t>
  </si>
  <si>
    <t>INFORMACION Y COMUNICACIÓN</t>
  </si>
  <si>
    <t>Las entidades deben procurar, de acuerdo con sus propias capacidades internas, que la información y la comunicación que requiere para su gestión y  control interno fluya de manera clara.  Acorde con lo anterior, indique si se cuenta con:</t>
  </si>
  <si>
    <t>Responsables de la información institucional</t>
  </si>
  <si>
    <t>Canales de comunicación con los ciudadanos</t>
  </si>
  <si>
    <t>Canales de comunicación o mecanismos de reporte de información a otros organismos gubernamentales o de control</t>
  </si>
  <si>
    <t xml:space="preserve">Lineamientos para dar tratamiento a la información de carácter reservado </t>
  </si>
  <si>
    <t>Identificación de información que produce en el marco de su gestión (Para los ciudadanos, organismos de control, organismos gubernamentales, entre otros)</t>
  </si>
  <si>
    <t>Identificación de información necesaria para la operación de la entidad (normograma, presupuesto, talento humano, infraestructura física y tecnológica)</t>
  </si>
  <si>
    <t>Si su capacidad e infraestructura lo permite, tecnologías de la información y las comunicaciones que soporten estos procesos</t>
  </si>
  <si>
    <t>7</t>
  </si>
  <si>
    <t>ACTIVIDADES DE MONITOREO</t>
  </si>
  <si>
    <t>Las entidades deben valorar: la eficiencia y eficacia de su gestión y la efectividad del control interno de la entidad pública con el propósito de detectar desviaciones y generar recomendaciones para la mejora. Para el caso de su entidad indique si se cuenta con:</t>
  </si>
  <si>
    <t>Mecanismos de evaluación de la gestión (cronogramas, indicadores, listas de chequeo u otros)</t>
  </si>
  <si>
    <t>Algún mecanismo para monitorear o supervisar el sistema de control interno institucional, ya sea por parte del representante legal, o del área de control interno (si la entidad cuenta con ella), o bien a través del Comité departamental o municipal de Auditoría.</t>
  </si>
  <si>
    <t>Medidas correctivas en caso de detectarse deficiencias en los ejercicios de evaluación, seguimiento o auditoría</t>
  </si>
  <si>
    <t>Seguimiento a los planes de mejoramiento suscritos con instancias de control internas o externas</t>
  </si>
  <si>
    <t>8</t>
  </si>
  <si>
    <t>¿La entidad ha solicitado hacer parte del Comité Municipal de Auditoría, a efectos de contar con un escenario para compartir buenas prácticas en materia de control interno, así como analizar la viabilidad de contar como mínimo con un proceso auditor en la vigencia?</t>
  </si>
  <si>
    <t>La entidad participa en el  Comité Municipal de Auditoría?</t>
  </si>
  <si>
    <t>9</t>
  </si>
  <si>
    <t>El jefe de control interno o quien haga sus veces, ha podido evidenciar si en la entidad el manejo que se ha hecho a los problemas que afectan el cumplimiento de sus metas y objetivos (riesgos) le ha permitido:</t>
  </si>
  <si>
    <t>Evitar que los problemas (riesgos) obstaculicen el cumplimiento de los objetivos.</t>
  </si>
  <si>
    <t>Controlar los puntos críticos en los procesos.</t>
  </si>
  <si>
    <t>Diseñar acciones adecuadas para controlar los problemas que afectan el cumplimiento de las metas y objetivos institucionales (riesgos).</t>
  </si>
  <si>
    <t>Ejecutar las acciones de acuerdo a como se diseñaron previamente.</t>
  </si>
  <si>
    <t>No se gestionan los problemas que afectan el cumplimiento de las funciones y objetivos institucionales(riesgos).</t>
  </si>
  <si>
    <t>ANÁLISIS DE RESULTADOS PARA LA TOMA DE DECISIONES</t>
  </si>
  <si>
    <t>Se encuentra en proceso, pero requiere continuar con acciones dirigidas a contar con dicho aspecto de control.</t>
  </si>
  <si>
    <t>Se encuentra presente  y funcionando, pero requiere mejoras frente a su diseño, ya que  opera de manera efectiva</t>
  </si>
  <si>
    <t>No se encuentra el aspecto  por lo tanto la entidad debera generar acciones dirigidas a que se cumpla con el requerimiento.</t>
  </si>
  <si>
    <t>RESULTADOS</t>
  </si>
  <si>
    <t>FUENTE DEL ANALISIS</t>
  </si>
  <si>
    <t xml:space="preserve">Seguimiento al control </t>
  </si>
  <si>
    <t>OBSERVACIONES DEL CONTROL</t>
  </si>
  <si>
    <t>NIVEL DE CUMPLIMIENTO-ASPECTOS PARTICULARES POR COMPONENTE</t>
  </si>
  <si>
    <t>NIVEL DE CUMPLIMIENTO COMPONENTE</t>
  </si>
  <si>
    <t>componente</t>
  </si>
  <si>
    <t>Nombre de la Entidad:</t>
  </si>
  <si>
    <t>Periodo Evaluado:</t>
  </si>
  <si>
    <t>Estado del sistema de Control Interno de la entidad</t>
  </si>
  <si>
    <t>Conclusión general sobre la evaluación del Sistema de Control Interno</t>
  </si>
  <si>
    <t>¿Están todos los componentes operando juntos y de manera integrada? (Si / en proceso / No) (Justifique su respuesta):</t>
  </si>
  <si>
    <t>¿Es efectivo el sistema de control interno para los objetivos evaluados? (Si/No) (Justifique su respuesta):</t>
  </si>
  <si>
    <t>La entidad cuenta dentro de su Sistema de Control Interno, con una institucionalidad (Líneas de defensa)  que le permita la toma de decisiones frente al control (Si/No) (Justifique su respuesta):</t>
  </si>
  <si>
    <t>Componente</t>
  </si>
  <si>
    <t>¿se esta cumpliendo los requerimientos ?</t>
  </si>
  <si>
    <t>Nivel de Cumplimiento componente</t>
  </si>
  <si>
    <r>
      <rPr>
        <b/>
        <u/>
        <sz val="20"/>
        <color theme="0"/>
        <rFont val="Arial"/>
        <family val="2"/>
      </rPr>
      <t xml:space="preserve"> Estado actual:</t>
    </r>
    <r>
      <rPr>
        <b/>
        <sz val="20"/>
        <color theme="0"/>
        <rFont val="Arial"/>
        <family val="2"/>
      </rPr>
      <t xml:space="preserve"> Explicacion de las Debilidades y/o Fortalezas encontradas en cada componente</t>
    </r>
  </si>
  <si>
    <t>EVALUCION DEL RIESGO</t>
  </si>
  <si>
    <t>ACTIVIDADES DEL CONTROL</t>
  </si>
  <si>
    <t xml:space="preserve">ACTIVIDADES DE MONITOREO </t>
  </si>
  <si>
    <t xml:space="preserve">Evaluación </t>
  </si>
  <si>
    <t>Puntaje</t>
  </si>
  <si>
    <t xml:space="preserve">Orden </t>
  </si>
  <si>
    <t>Nivel de cumplimiento -Aaspectos particulares por componente</t>
  </si>
  <si>
    <t xml:space="preserve">Promedios </t>
  </si>
  <si>
    <t>1a</t>
  </si>
  <si>
    <t>1b</t>
  </si>
  <si>
    <t>1c</t>
  </si>
  <si>
    <t>1d</t>
  </si>
  <si>
    <t>1e</t>
  </si>
  <si>
    <t>1f</t>
  </si>
  <si>
    <t>1g</t>
  </si>
  <si>
    <t>1h</t>
  </si>
  <si>
    <t>1i</t>
  </si>
  <si>
    <t>1j</t>
  </si>
  <si>
    <t>1k</t>
  </si>
  <si>
    <t>1l</t>
  </si>
  <si>
    <t>2a</t>
  </si>
  <si>
    <t>La identificación de cambios en su entorno que pueden generar consecuencias negativas en su gestión</t>
  </si>
  <si>
    <t>2b</t>
  </si>
  <si>
    <t>La identificación de aquellos problemas o aspectos que pueden afectar el cumplimiento de los planes de la entidad y en general su gestión institucional (riesgos)</t>
  </si>
  <si>
    <t>2c</t>
  </si>
  <si>
    <t>La identificación  de los riesgos relacionados con posibles actos de corrupción en el ejercicio de sus funciones</t>
  </si>
  <si>
    <t>2d</t>
  </si>
  <si>
    <t>3a</t>
  </si>
  <si>
    <t>3b</t>
  </si>
  <si>
    <t>3c</t>
  </si>
  <si>
    <t>4a</t>
  </si>
  <si>
    <t>4b</t>
  </si>
  <si>
    <t>4c</t>
  </si>
  <si>
    <t>5a</t>
  </si>
  <si>
    <t>5b</t>
  </si>
  <si>
    <t>5c</t>
  </si>
  <si>
    <t>5d</t>
  </si>
  <si>
    <t>5e</t>
  </si>
  <si>
    <t>6a</t>
  </si>
  <si>
    <t>6b</t>
  </si>
  <si>
    <t>6c</t>
  </si>
  <si>
    <t>6d</t>
  </si>
  <si>
    <t>6e</t>
  </si>
  <si>
    <t>El jefe de control interno o quien haga sus veces, ha podido evidenciar si en la entidad si el manejo que se ha hecho a los problemas que afectan el cumplimiento de sus metas y objetivos (riesgos) le ha permitido:</t>
  </si>
  <si>
    <t>6f</t>
  </si>
  <si>
    <t>6g</t>
  </si>
  <si>
    <t>7a</t>
  </si>
  <si>
    <t>7d</t>
  </si>
  <si>
    <t>7f</t>
  </si>
  <si>
    <t>7g</t>
  </si>
  <si>
    <t>8h</t>
  </si>
  <si>
    <t>9a</t>
  </si>
  <si>
    <t>9b</t>
  </si>
  <si>
    <t>9c</t>
  </si>
  <si>
    <t>9d</t>
  </si>
  <si>
    <t>9e</t>
  </si>
  <si>
    <t xml:space="preserve">El documento que acredita las buenas practicas en materia de Integridad es el Código de Integridad actualizado, apropiado por la Gobernación del Quindío;  versión 02  código: COD-SAD-01
CÓDIGO DE INTEGRIDAD del año 2022; el cual esta  publicado en la pagina de la Gobernación del Quindío y podran consultar en el siguiente link: https://quindio.gov.co/notificaciones-administrativa-3/codigo-de-integridad  
</t>
  </si>
  <si>
    <t xml:space="preserve">Se realizo la verificacion  de la actualizacion del documento, el cual se encuentra en el siguiente link: 45.162.78.186:1882/sevenet/grupos/eva_52/MipgMeciIntranet.pptx </t>
  </si>
  <si>
    <t xml:space="preserve">Se realiza seguimiento semestral al plan de accion con sus repspectivos planes, programas, proyectos y la contratacion buscando la eficacia , la eficiencia, la efectividad y el impacto en la comunidad a cada una de las secretarias de despacho del Departamento. el se guimiento se encuentra en el siguiente link: https://quindio.gov.co/informe-de-evaluacion-de-gestion  </t>
  </si>
  <si>
    <t xml:space="preserve">el organigrama se encuentra actualizado y presente en el siguiente link de la pagina WEB Gobernacion Quindio.:  http://45.162.78.186:1882/sevenet/grupos/eva_52/OrganigramaGobernacion.pdf </t>
  </si>
  <si>
    <t xml:space="preserve">el manual de funciones se encuentra actualizado y fue socializado a todo el personal de la Gobernacion del Quindio. Link:  https://quindio.gov.co/la-gobernacion/la-organizacion/manual-de-funciones-y-competencias </t>
  </si>
  <si>
    <t xml:space="preserve">Contamos con la documentacion de la  caracterizacion de nuestros procesos, procedimentos y formatos para cada proceso y se encuentran en el siguiente link:  http://45.162.78.186:1882/sevenet/principal.php </t>
  </si>
  <si>
    <t xml:space="preserve">la OCIG realiza el seguimiento al plan institucional de capacitacion, procesos de induccion, y bienestar  participando tanto de la socializacion como de su planeacion y seguimiento. https://quindio.gov.co/home/docs/items/item_102/PLAN_INSTITUCIONAL_DE_CAPACITACIONES_V3_PL-SAD-03.pdf  -  https://quindio.gov.co/noticias-2022/noticias-abril-2023/jornada-de-induccion-y-reinduccion-fortalecio-conocimientos-en-el-personal-de-la-gobernacion  </t>
  </si>
  <si>
    <t>La OCIG realiza el seguimiento  a la evaluacion por dependencias y ratifica que la organización evalua a los servidores publicos de acuerdo a la normatividad vigente.</t>
  </si>
  <si>
    <t>la OCIG  certifica que la gobernacion del quindio a traves de talento humano desvincula los servidores publicos de acuerdo a la normatividad vigente y  en el marco de MIPG.</t>
  </si>
  <si>
    <t>la OCIG se encuentra en continua observacion hacia cualquier cambio en el entorno para realizar acciones que nos coloquen a la par, para dar la mejor estrategia.</t>
  </si>
  <si>
    <t>la OCIG  a traves de los seguimientos que realiza al departamento, cuando identifica problemas o aspectos que puedan afectar el cumplimiento de los planes de la entidad y de su gestion institucional Inmediatamente informa al comité coordinador de control interno y asi  desarrollar estrategias  de mejora.</t>
  </si>
  <si>
    <t xml:space="preserve">la OCIG realiza seguimiento cuatrimestral al plan anticorrupcion y atraves de auditorias a la gestion, donde al momento de encontrar posibles casos de corrupcion informara inmediatamente a la OCID. </t>
  </si>
  <si>
    <t>El jefe de la OCIG realiza seguimiento a los derechos de autor anualmente verificando que los sofware no sean piratas, ademas dentro del personal idoneo que pide cada año sse cuenta con un ingeniero de sistemas para realizar auditorias a la TICs.</t>
  </si>
  <si>
    <t>la OCIG informa de los resultados de sus seguimientos a la gestion cuando encuentra riesgos que impidan o amenacen el cumplimiento de los objetivos intitucionales, informando al comité coordinador de control interno para tomar la accion de mejora llegado al caso.</t>
  </si>
  <si>
    <t>la OCIG realiza seguimientos y auditorias de acuerdo a la guia administracion del riesgo  numero 5, identificando los posibles riesgos para tomar los planes de mejora necesarios.</t>
  </si>
  <si>
    <t>la OCIG a traves de sus seguimientos cuando existe lugar a la posible materializacion de riesgos obra oportunamente informando a los dolientes para tomar acciones de mejora.</t>
  </si>
  <si>
    <t>la OCIG realiza seguimiento al plan Anticorrupcion de la oficina de Talento humano donde muy de cerca visualiza con evidencias la vinculacion del personal de acuedo al marco normativo que rige para carrera administrativa, libre nombramiento y remocion, entre otros.</t>
  </si>
  <si>
    <t>la OCIG realiza permanentemente mesas de trabajo, donde se dan a conocer las posibles falencias y debilidades con las secretarias y con el comité de control interno para tomar acciones de mejora.</t>
  </si>
  <si>
    <t>se le informa a cada secretario de despacho o lider de equipo sobre las debilidades  y falencias, ellos autonomamente proponen sus planes de mejora y la OCIG realiza seguimiento a dichos planes d emejora para su cumplimiento.</t>
  </si>
  <si>
    <t>No, la OCIG a TRAVES DE LOS SEGUIMIENTOS Y AUDITORIAS CUANDO ENCUENTRA POSIBLES FALENCIAS INFORMA A LOS LIDERES DE EQUIPO  O SECRETARIOS DE DESPACHO PARA QUE ELLOS PROPONGAN SUS PLANES DE MEJORA.</t>
  </si>
  <si>
    <t xml:space="preserve">La OCIG a traves de seguimientos y auditorias informa a sus auditados las falencias o posibles riesgos identificados para que ellos propongan y pongan en marcha los planes de mejora. En cuanto a actos de corrupcion se informa a la OCID. </t>
  </si>
  <si>
    <t>la OCIG  en sus seguimientos y auditorias cuenta con mecanismos de seguimiento a los planes de mejoramiento y a los indicadores para verificar la mitigacion de los riesgos y asi actuar de manera inmediata.</t>
  </si>
  <si>
    <t>cuando se materializan riesgos la OCIG cuenta con planes,acciones y  estrategias para subsanar las consecuencias de matrializacion de roesgos.</t>
  </si>
  <si>
    <t xml:space="preserve">la OCIG certifica que la gobernacion del quindio realizo la rendicion de cuentas a la ciudadania reportandola a la A samblea Departamental del Quindio y de acuerdo a la normatividad en todo el departamento y la oficina diseño ly aplico la encuesta de satisfaccion  a la ciudadania. Link: https://quindio.gov.co/rendicion-publica-cuentas/vigencia-2021 </t>
  </si>
  <si>
    <t>contamos con el documento Politica Administracion del Riesgo 2022 link: https://quindio.gov.co/medios/POL-CIG-01-V2_ADMON_DEL_RIESGO.pdf</t>
  </si>
  <si>
    <t xml:space="preserve">la Gobernacion del Quindio cada año actualiza y socializa el plan anticorrupcion y la OCIG realiza seguimiento cuatrimestral a su cumplimiento. Link seguimiento: https://quindio.gov.co/rol-de-evaluacion-y-seguimiento/rol-de-evaluacion-y-seguimiento-3/plan-anticorrupcion-y-de-atencion-al-ciudadano/ano-2022/plan-anticorrupcion-y-de-atencion-al-ciudadano-segundo-cuatrimestre </t>
  </si>
  <si>
    <t>de cada seguimiento de ley que se realiza sea plan anticorrupcion, plan de accion, indicadores de gestion y sus seguimientos de auditoria no solo se leinforma al secretario de despacho  si no al comité de control interno y al señor gobernador, como a la ciudadania a traves de la pagina WEB. https://quindio.gov.co/rol-de-evaluacion-y-seguimiento/rol-de-evaluacion-y-seguimiento-4  -  https://quindio.gov.co/rol-de-evaluacion-y-seguimiento/rol-de-evaluacion-y-seguimiento-3/mapa-de-riesgos-institucionales/ano-2022/mapa-de-riesgos-institucionales-primer-semestre</t>
  </si>
  <si>
    <t>SI -  LA GOBERNACION DEL Quindio cuenta con diferentes canales de informacion a los cuales se le realiza seguimiento: pagina WEB (boton de transparencia), buzones de PQRs, correo electronico, telefonos etc. A estos se les realiza el seguimiento respectivo. link pagina WEB:  https://quindio.gov.co/   -  https://quindio.gov.co/ley-de-transparencia-1712</t>
  </si>
  <si>
    <t>SI la OCIG reporta informacion a traves de correo electronico certificado, de manera presencial, y portales de reporte de informacion de acuerdo a cada ente en los que carga la informacion.</t>
  </si>
  <si>
    <t>si contamos con politicas de privacidad en el reporte de informacion con respecto a tercero.</t>
  </si>
  <si>
    <t xml:space="preserve">si la OCIG identifica y clasifica informacion la cual se recolecta en el marco de los seguimientos, esta es guardada y custodiada hasta archivacion de acuerdo a la normatividad. </t>
  </si>
  <si>
    <t>la OCIG a trves de su gestion de seguimiento y control identifica, clasifica e informa sobre los peculiares cambios sea de normatividad o operacion para que sea actualizada y montada ala pagina WEB de la Gobernacion del Quindio.</t>
  </si>
  <si>
    <t>la OCIG cuenta con la capacidad interna en infraestuctura y la tecnologia necesaria para que la informacion requerida para la gestion fluya de manera clara y concisa.</t>
  </si>
  <si>
    <t>la OCIG cuenta con el rol evaluacion y seguimiento  para la identificacion del riesgo y aseguramiento del objetivo, contamos con heramientas como mapas de riesgo, politicas, cronogramas, listas de chequeo, formatos etc. https://quindio.gov.co/rol-de-evaluacion-y-seguimiento</t>
  </si>
  <si>
    <t xml:space="preserve">la OCIG cuenta con el  MIPG - MECI de donde se desprenden las principales herramientas o mecanismos para el seguimiento al control interno de la gobernacion del Quindio., asegurando el objetivo institucional e informando posibles debilidades de incumplimiento para asi asegurar su exito.  link: http://45.162.78.186:1882/sevenet/principal.php </t>
  </si>
  <si>
    <t>SI  como los planes de mejoramiento, las observaciones, notas y los mas importnte el seguimiento a su cumplimiento.</t>
  </si>
  <si>
    <t>la OCIG realiza seguimiento a los planes de mejoramiento con respecto a su cumplimiento y es por fecha de acuerdo a cada Auditoria, esta informacion de avance de cumplimiento se reporta en el GESPROY.</t>
  </si>
  <si>
    <t>la naturaleza de la OCIG ES ASEGURAR EL OBJETIVO DE LA INSTITUCION Y A TRAVES DE SUS SEGUIMIENTOS Y EVALUACIONES PROCURA LA MEJORA CONTINUA ALERTANDO SOBRE POSIBLES DESVIOS DEL CUMPLIMIENTO DEL OBJETIVO PARA TRAZAR PLANES DE MEJORA ASEGURANDO EL CUMPLIMIENTO DEL OBJETIVO. link seguimiento: https://quindio.gov.co/rol-de-evaluacion-y-seguimiento/rol-de-evaluacion-y-seguimiento-3</t>
  </si>
  <si>
    <t>SI, se ha podido evidenciar a raves de los seguimientos puntos criticos, los cuales al ser socializados inmediatamente se procede con el plan de mejora evitando asi el incumplimiento de las metas y objetivos.</t>
  </si>
  <si>
    <t>a traves del seguimiento que se realiza a la gobernacion del quindio a traves del mapa de riesgos institucional y su plan de accion, cuandos nos encontramos con problemas que afectan el cumplimiento de las metas y objetivos institucionales, inmediatamente se procede a los planes de mejora institucional para asegurar el objetivo.</t>
  </si>
  <si>
    <t>la OCIG anualmente proyecta su plan de accion, dentro de este se encuentran los seguimientos de ley por fechas, las auditorias internas con fechas de cumplimiento, ademas en cada auditoria se planea y se envia al auditado para su conocimiento.</t>
  </si>
  <si>
    <t xml:space="preserve">contamos con la politica gestion del riesgo la cual se encuentra actualizada https://quindio.gov.co/medios/POL-CIG-01-V2_ADMON_DEL_RIESGO.pdf     informe evaluacion de la gestion donde se informa de todos los seguimientos y el tratamiento a cada problema resultante para el cumplimiento y aseguramiento del objetivo   link: https://quindio.gov.co/informe-de-evaluacion-de-gestion </t>
  </si>
  <si>
    <t>si a traves de MECI - MIPG  se consolida la operación de los componentes.</t>
  </si>
  <si>
    <t>si pues nos permite asegurar el objetivo de la organización sin desvios.</t>
  </si>
  <si>
    <t>la  Gobernacion del Quindio cuenta con cuatro lines de defensa  de acuerdo al MIPG,  estas nos permiten  toma de decisiones frente al control.</t>
  </si>
  <si>
    <t>OFICNA DE CONTROL INTERNO DE GESTION</t>
  </si>
  <si>
    <t>la OCIG presenta todos los informes de ley y d ela gestion de acuerdo a la normatividad, ante las autoridades competentes y estan programadas por fecha de entrega en el plan de accion de la ocig.  https://quindio.gov.co/informe-de-evaluacion-de-gestion</t>
  </si>
  <si>
    <t>SI por tratrse de un ente territorial la OCIG participa en el Comite Departamental de Auditoria. https://quindio.gov.co/comite-deptal-de-auditoria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</si>
</sst>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dd/mm/yyyy;@"/>
  </numFmts>
  <fonts count="59" x14ac:knownFonts="1">
    <font>
      <sz val="11"/>
      <color theme="1"/>
      <name val="Calibri"/>
      <family val="2"/>
      <scheme val="minor"/>
    </font>
    <font>
      <sz val="11"/>
      <name val="Arial"/>
      <family val="2"/>
    </font>
    <font>
      <b/>
      <sz val="12"/>
      <name val="Arial"/>
      <family val="2"/>
    </font>
    <font>
      <sz val="11"/>
      <color theme="1"/>
      <name val="Calibri"/>
      <family val="2"/>
      <scheme val="minor"/>
    </font>
    <font>
      <sz val="11"/>
      <color theme="0"/>
      <name val="Calibri"/>
      <family val="2"/>
      <scheme val="minor"/>
    </font>
    <font>
      <b/>
      <sz val="12"/>
      <color theme="0"/>
      <name val="Arial"/>
      <family val="2"/>
    </font>
    <font>
      <b/>
      <sz val="20"/>
      <color theme="0"/>
      <name val="Arial Narrow"/>
      <family val="2"/>
    </font>
    <font>
      <sz val="11"/>
      <color theme="1"/>
      <name val="Arial Narrow"/>
      <family val="2"/>
    </font>
    <font>
      <sz val="11"/>
      <color theme="0"/>
      <name val="Arial Narrow"/>
      <family val="2"/>
    </font>
    <font>
      <b/>
      <sz val="18"/>
      <color theme="0"/>
      <name val="Arial"/>
      <family val="2"/>
    </font>
    <font>
      <sz val="20"/>
      <color rgb="FFFF0000"/>
      <name val="Arial"/>
      <family val="2"/>
    </font>
    <font>
      <b/>
      <sz val="12"/>
      <color rgb="FFFF0000"/>
      <name val="Arial"/>
      <family val="2"/>
    </font>
    <font>
      <b/>
      <sz val="10"/>
      <color rgb="FFFF0000"/>
      <name val="Arial"/>
      <family val="2"/>
    </font>
    <font>
      <b/>
      <sz val="10"/>
      <color theme="1"/>
      <name val="Arial"/>
      <family val="2"/>
    </font>
    <font>
      <b/>
      <sz val="16"/>
      <color theme="1"/>
      <name val="Arial"/>
      <family val="2"/>
    </font>
    <font>
      <b/>
      <i/>
      <sz val="10"/>
      <name val="Arial"/>
      <family val="2"/>
    </font>
    <font>
      <b/>
      <i/>
      <sz val="10"/>
      <color theme="1"/>
      <name val="Arial"/>
      <family val="2"/>
    </font>
    <font>
      <b/>
      <sz val="16"/>
      <color theme="0"/>
      <name val="Arial Narrow"/>
      <family val="2"/>
    </font>
    <font>
      <b/>
      <sz val="12"/>
      <color theme="0"/>
      <name val="Arial Narrow"/>
      <family val="2"/>
    </font>
    <font>
      <b/>
      <sz val="10"/>
      <color theme="0"/>
      <name val="Arial Narrow"/>
      <family val="2"/>
    </font>
    <font>
      <sz val="12"/>
      <color theme="1"/>
      <name val="Arial"/>
      <family val="2"/>
    </font>
    <font>
      <sz val="10"/>
      <color theme="1"/>
      <name val="Calibri"/>
      <family val="2"/>
      <scheme val="minor"/>
    </font>
    <font>
      <sz val="10"/>
      <color theme="0"/>
      <name val="Arial Narrow"/>
      <family val="2"/>
    </font>
    <font>
      <sz val="14"/>
      <color theme="0"/>
      <name val="Arial"/>
      <family val="2"/>
    </font>
    <font>
      <sz val="10"/>
      <color theme="1"/>
      <name val="Arial Narrow"/>
      <family val="2"/>
    </font>
    <font>
      <b/>
      <sz val="11"/>
      <name val="Arial Narrow"/>
      <family val="2"/>
    </font>
    <font>
      <sz val="10"/>
      <name val="Arial Narrow"/>
      <family val="2"/>
    </font>
    <font>
      <sz val="16"/>
      <color theme="0"/>
      <name val="Calibri"/>
      <family val="2"/>
      <scheme val="minor"/>
    </font>
    <font>
      <b/>
      <sz val="18"/>
      <name val="Calibri"/>
      <family val="2"/>
      <scheme val="minor"/>
    </font>
    <font>
      <sz val="10"/>
      <name val="Arial"/>
      <family val="2"/>
    </font>
    <font>
      <b/>
      <sz val="14"/>
      <name val="Arial Narrow"/>
      <family val="2"/>
    </font>
    <font>
      <b/>
      <u/>
      <sz val="11"/>
      <name val="Arial Narrow"/>
      <family val="2"/>
    </font>
    <font>
      <b/>
      <sz val="10"/>
      <name val="Arial Narrow"/>
      <family val="2"/>
    </font>
    <font>
      <sz val="12"/>
      <name val="Times New Roman"/>
      <family val="1"/>
    </font>
    <font>
      <b/>
      <sz val="9"/>
      <name val="Arial Narrow"/>
      <family val="2"/>
    </font>
    <font>
      <sz val="9"/>
      <name val="Arial Narrow"/>
      <family val="2"/>
    </font>
    <font>
      <sz val="11"/>
      <name val="Arial Narrow"/>
      <family val="2"/>
    </font>
    <font>
      <b/>
      <sz val="10"/>
      <color theme="1"/>
      <name val="Arial Narrow"/>
      <family val="2"/>
    </font>
    <font>
      <sz val="15"/>
      <name val="Arial Narrow"/>
      <family val="2"/>
    </font>
    <font>
      <sz val="15"/>
      <color theme="1"/>
      <name val="Arial Narrow"/>
      <family val="2"/>
    </font>
    <font>
      <sz val="8"/>
      <name val="Calibri"/>
      <family val="2"/>
      <scheme val="minor"/>
    </font>
    <font>
      <b/>
      <sz val="18"/>
      <color theme="1"/>
      <name val="Calibri"/>
      <family val="2"/>
      <scheme val="minor"/>
    </font>
    <font>
      <b/>
      <sz val="20"/>
      <name val="Arial"/>
      <family val="2"/>
    </font>
    <font>
      <sz val="18"/>
      <name val="Arial Narrow"/>
      <family val="2"/>
    </font>
    <font>
      <sz val="12"/>
      <color theme="0"/>
      <name val="Arial Narrow"/>
      <family val="2"/>
    </font>
    <font>
      <b/>
      <sz val="14"/>
      <color theme="0"/>
      <name val="Arial Narrow"/>
      <family val="2"/>
    </font>
    <font>
      <sz val="12"/>
      <name val="Arial Narrow"/>
      <family val="2"/>
    </font>
    <font>
      <sz val="12"/>
      <color theme="1"/>
      <name val="Arial Narrow"/>
      <family val="2"/>
    </font>
    <font>
      <sz val="14"/>
      <color theme="1"/>
      <name val="Calibri"/>
      <family val="2"/>
      <scheme val="minor"/>
    </font>
    <font>
      <b/>
      <sz val="14"/>
      <name val="Arial"/>
      <family val="2"/>
    </font>
    <font>
      <sz val="18"/>
      <color theme="1"/>
      <name val="Arial"/>
      <family val="2"/>
    </font>
    <font>
      <b/>
      <sz val="24"/>
      <color theme="0"/>
      <name val="Arial Narrow"/>
      <family val="2"/>
    </font>
    <font>
      <b/>
      <sz val="20"/>
      <color theme="0"/>
      <name val="Arial"/>
      <family val="2"/>
    </font>
    <font>
      <sz val="20"/>
      <color theme="1"/>
      <name val="Calibri"/>
      <family val="2"/>
      <scheme val="minor"/>
    </font>
    <font>
      <b/>
      <u/>
      <sz val="20"/>
      <color theme="0"/>
      <name val="Arial"/>
      <family val="2"/>
    </font>
    <font>
      <sz val="25"/>
      <color theme="1"/>
      <name val="Calibri"/>
      <family val="2"/>
      <scheme val="minor"/>
    </font>
    <font>
      <sz val="25"/>
      <color theme="1"/>
      <name val="Arial Narrow"/>
      <family val="2"/>
    </font>
    <font>
      <sz val="12"/>
      <name val="Arial"/>
      <family val="2"/>
    </font>
    <font>
      <sz val="10"/>
      <color rgb="FF002060"/>
      <name val="Arial"/>
      <family val="2"/>
    </font>
  </fonts>
  <fills count="18">
    <fill>
      <patternFill patternType="none"/>
    </fill>
    <fill>
      <patternFill patternType="gray125"/>
    </fill>
    <fill>
      <patternFill patternType="solid">
        <fgColor theme="3" tint="0.39997558519241921"/>
        <bgColor indexed="64"/>
      </patternFill>
    </fill>
    <fill>
      <patternFill patternType="solid">
        <fgColor theme="3" tint="0.59999389629810485"/>
        <bgColor indexed="64"/>
      </patternFill>
    </fill>
    <fill>
      <patternFill patternType="solid">
        <fgColor theme="0"/>
        <bgColor indexed="64"/>
      </patternFill>
    </fill>
    <fill>
      <patternFill patternType="solid">
        <fgColor theme="4"/>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9" tint="0.39997558519241921"/>
        <bgColor indexed="64"/>
      </patternFill>
    </fill>
    <fill>
      <patternFill patternType="solid">
        <fgColor rgb="FF92D050"/>
        <bgColor indexed="64"/>
      </patternFill>
    </fill>
  </fills>
  <borders count="95">
    <border>
      <left/>
      <right/>
      <top/>
      <bottom/>
      <diagonal/>
    </border>
    <border>
      <left/>
      <right/>
      <top style="medium">
        <color auto="1"/>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auto="1"/>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bottom/>
      <diagonal/>
    </border>
    <border>
      <left style="hair">
        <color indexed="64"/>
      </left>
      <right style="medium">
        <color indexed="64"/>
      </right>
      <top style="hair">
        <color indexed="64"/>
      </top>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right/>
      <top style="medium">
        <color indexed="64"/>
      </top>
      <bottom style="thin">
        <color indexed="64"/>
      </bottom>
      <diagonal/>
    </border>
    <border>
      <left style="dashed">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right/>
      <top style="dash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thin">
        <color indexed="64"/>
      </top>
      <bottom style="hair">
        <color indexed="64"/>
      </bottom>
      <diagonal/>
    </border>
    <border>
      <left/>
      <right style="hair">
        <color indexed="64"/>
      </right>
      <top style="thin">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theme="4" tint="-0.499984740745262"/>
      </left>
      <right style="thin">
        <color theme="4" tint="-0.499984740745262"/>
      </right>
      <top style="dashed">
        <color theme="4" tint="-0.499984740745262"/>
      </top>
      <bottom style="thin">
        <color theme="4" tint="-0.499984740745262"/>
      </bottom>
      <diagonal/>
    </border>
  </borders>
  <cellStyleXfs count="7">
    <xf numFmtId="0" fontId="0" fillId="0" borderId="0"/>
    <xf numFmtId="9" fontId="3" fillId="0" borderId="0" applyFont="0" applyFill="0" applyBorder="0" applyAlignment="0" applyProtection="0"/>
    <xf numFmtId="0" fontId="21" fillId="0" borderId="0"/>
    <xf numFmtId="0" fontId="29" fillId="0" borderId="0"/>
    <xf numFmtId="0" fontId="33" fillId="0" borderId="0"/>
    <xf numFmtId="41" fontId="3" fillId="0" borderId="0" applyFont="0" applyFill="0" applyBorder="0" applyAlignment="0" applyProtection="0"/>
    <xf numFmtId="41" fontId="3" fillId="0" borderId="0" applyFont="0" applyFill="0" applyBorder="0" applyAlignment="0" applyProtection="0"/>
  </cellStyleXfs>
  <cellXfs count="323">
    <xf numFmtId="0" fontId="0" fillId="0" borderId="0" xfId="0"/>
    <xf numFmtId="0" fontId="0" fillId="4" borderId="0" xfId="0" applyFill="1"/>
    <xf numFmtId="0" fontId="0" fillId="4" borderId="17" xfId="0" applyFill="1" applyBorder="1"/>
    <xf numFmtId="0" fontId="0" fillId="4" borderId="18" xfId="0" applyFill="1" applyBorder="1"/>
    <xf numFmtId="0" fontId="0" fillId="4" borderId="19" xfId="0" applyFill="1" applyBorder="1"/>
    <xf numFmtId="0" fontId="0" fillId="4" borderId="20" xfId="0" applyFill="1" applyBorder="1"/>
    <xf numFmtId="0" fontId="7" fillId="4" borderId="0" xfId="0" applyFont="1" applyFill="1" applyAlignment="1">
      <alignment horizontal="center"/>
    </xf>
    <xf numFmtId="0" fontId="0" fillId="4" borderId="21" xfId="0" applyFill="1" applyBorder="1"/>
    <xf numFmtId="164" fontId="7" fillId="4" borderId="0" xfId="0" applyNumberFormat="1" applyFont="1" applyFill="1" applyAlignment="1">
      <alignment horizontal="center"/>
    </xf>
    <xf numFmtId="0" fontId="8" fillId="4" borderId="0" xfId="0" applyFont="1" applyFill="1" applyAlignment="1">
      <alignment vertical="center"/>
    </xf>
    <xf numFmtId="0" fontId="10" fillId="4" borderId="0" xfId="0" applyFont="1" applyFill="1" applyAlignment="1">
      <alignment horizontal="center" vertical="center"/>
    </xf>
    <xf numFmtId="0" fontId="11" fillId="4" borderId="0" xfId="0" applyFont="1" applyFill="1"/>
    <xf numFmtId="0" fontId="9" fillId="4" borderId="0" xfId="0" applyFont="1" applyFill="1" applyAlignment="1">
      <alignment horizontal="center" vertical="center"/>
    </xf>
    <xf numFmtId="0" fontId="2" fillId="4" borderId="30" xfId="0" applyFont="1" applyFill="1" applyBorder="1" applyAlignment="1">
      <alignment horizontal="center" vertical="center"/>
    </xf>
    <xf numFmtId="0" fontId="2" fillId="4" borderId="0" xfId="0" applyFont="1" applyFill="1" applyAlignment="1">
      <alignment horizontal="center" vertical="center"/>
    </xf>
    <xf numFmtId="0" fontId="12" fillId="4" borderId="0" xfId="0" applyFont="1" applyFill="1" applyAlignment="1">
      <alignment wrapText="1"/>
    </xf>
    <xf numFmtId="0" fontId="13" fillId="4" borderId="0" xfId="0" applyFont="1" applyFill="1" applyAlignment="1">
      <alignment wrapText="1"/>
    </xf>
    <xf numFmtId="0" fontId="5" fillId="0" borderId="0" xfId="0" applyFont="1" applyAlignment="1">
      <alignment vertical="center"/>
    </xf>
    <xf numFmtId="9" fontId="2" fillId="0" borderId="0" xfId="0" applyNumberFormat="1" applyFont="1" applyAlignment="1">
      <alignment vertical="center"/>
    </xf>
    <xf numFmtId="0" fontId="2" fillId="4" borderId="21" xfId="0" applyFont="1" applyFill="1" applyBorder="1" applyAlignment="1">
      <alignment vertical="center"/>
    </xf>
    <xf numFmtId="0" fontId="2" fillId="4" borderId="0" xfId="0" applyFont="1" applyFill="1" applyAlignment="1">
      <alignment vertical="center"/>
    </xf>
    <xf numFmtId="0" fontId="0" fillId="0" borderId="3" xfId="0" applyBorder="1"/>
    <xf numFmtId="0" fontId="5" fillId="4" borderId="0" xfId="0" applyFont="1" applyFill="1" applyAlignment="1">
      <alignment vertical="center"/>
    </xf>
    <xf numFmtId="0" fontId="2" fillId="4" borderId="0" xfId="0" applyFont="1" applyFill="1" applyAlignment="1">
      <alignment horizontal="left" vertical="center"/>
    </xf>
    <xf numFmtId="0" fontId="15" fillId="4" borderId="0" xfId="0" applyFont="1" applyFill="1" applyAlignment="1">
      <alignment vertical="center"/>
    </xf>
    <xf numFmtId="0" fontId="16" fillId="4" borderId="0" xfId="0" applyFont="1" applyFill="1"/>
    <xf numFmtId="0" fontId="0" fillId="4" borderId="34" xfId="0" applyFill="1" applyBorder="1"/>
    <xf numFmtId="0" fontId="0" fillId="4" borderId="35" xfId="0" applyFill="1" applyBorder="1"/>
    <xf numFmtId="0" fontId="0" fillId="4" borderId="36" xfId="0" applyFill="1" applyBorder="1"/>
    <xf numFmtId="0" fontId="20" fillId="0" borderId="0" xfId="0" applyFont="1" applyAlignment="1">
      <alignment horizontal="center" wrapText="1"/>
    </xf>
    <xf numFmtId="0" fontId="5" fillId="4" borderId="0" xfId="0" applyFont="1" applyFill="1" applyAlignment="1">
      <alignment horizontal="center" vertical="center" wrapText="1"/>
    </xf>
    <xf numFmtId="0" fontId="4" fillId="4" borderId="0" xfId="0" applyFont="1" applyFill="1"/>
    <xf numFmtId="0" fontId="5" fillId="4" borderId="0" xfId="0" applyFont="1" applyFill="1" applyAlignment="1">
      <alignment horizontal="left" vertical="center"/>
    </xf>
    <xf numFmtId="9" fontId="5" fillId="4" borderId="0" xfId="0" applyNumberFormat="1" applyFont="1" applyFill="1" applyAlignment="1">
      <alignment horizontal="center" vertical="center"/>
    </xf>
    <xf numFmtId="0" fontId="4" fillId="4" borderId="0" xfId="0" applyFont="1" applyFill="1" applyAlignment="1">
      <alignment horizontal="left"/>
    </xf>
    <xf numFmtId="0" fontId="22" fillId="0" borderId="0" xfId="2" applyFont="1" applyAlignment="1" applyProtection="1">
      <alignment vertical="center"/>
      <protection locked="0"/>
    </xf>
    <xf numFmtId="49" fontId="24" fillId="4" borderId="0" xfId="2" applyNumberFormat="1" applyFont="1" applyFill="1" applyAlignment="1" applyProtection="1">
      <alignment vertical="center"/>
      <protection locked="0"/>
    </xf>
    <xf numFmtId="0" fontId="24" fillId="4" borderId="0" xfId="2" applyFont="1" applyFill="1" applyAlignment="1" applyProtection="1">
      <alignment vertical="center"/>
      <protection locked="0"/>
    </xf>
    <xf numFmtId="9" fontId="26" fillId="4" borderId="0" xfId="2" applyNumberFormat="1" applyFont="1" applyFill="1" applyAlignment="1" applyProtection="1">
      <alignment vertical="center"/>
      <protection locked="0"/>
    </xf>
    <xf numFmtId="9" fontId="22" fillId="4" borderId="0" xfId="1" applyFont="1" applyFill="1" applyAlignment="1" applyProtection="1">
      <alignment vertical="center"/>
      <protection locked="0"/>
    </xf>
    <xf numFmtId="9" fontId="22" fillId="4" borderId="0" xfId="2" applyNumberFormat="1" applyFont="1" applyFill="1" applyAlignment="1" applyProtection="1">
      <alignment vertical="center"/>
      <protection locked="0"/>
    </xf>
    <xf numFmtId="0" fontId="26" fillId="4" borderId="0" xfId="2" applyFont="1" applyFill="1" applyAlignment="1" applyProtection="1">
      <alignment vertical="center"/>
      <protection locked="0"/>
    </xf>
    <xf numFmtId="0" fontId="26" fillId="0" borderId="0" xfId="3" applyFont="1"/>
    <xf numFmtId="0" fontId="7" fillId="4" borderId="0" xfId="0" applyFont="1" applyFill="1"/>
    <xf numFmtId="0" fontId="7" fillId="0" borderId="0" xfId="0" applyFont="1"/>
    <xf numFmtId="0" fontId="36" fillId="0" borderId="0" xfId="0" applyFont="1" applyAlignment="1">
      <alignment vertical="top"/>
    </xf>
    <xf numFmtId="49" fontId="36" fillId="0" borderId="0" xfId="0" applyNumberFormat="1" applyFont="1" applyAlignment="1">
      <alignment horizontal="center" vertical="top"/>
    </xf>
    <xf numFmtId="0" fontId="22" fillId="4" borderId="0" xfId="2" applyFont="1" applyFill="1" applyAlignment="1" applyProtection="1">
      <alignment vertical="center"/>
      <protection locked="0"/>
    </xf>
    <xf numFmtId="0" fontId="26" fillId="4" borderId="0" xfId="3" applyFont="1" applyFill="1"/>
    <xf numFmtId="0" fontId="26" fillId="4" borderId="59" xfId="3" applyFont="1" applyFill="1" applyBorder="1" applyAlignment="1">
      <alignment vertical="top" wrapText="1"/>
    </xf>
    <xf numFmtId="0" fontId="26" fillId="4" borderId="0" xfId="3" applyFont="1" applyFill="1" applyAlignment="1">
      <alignment vertical="top" wrapText="1"/>
    </xf>
    <xf numFmtId="0" fontId="26" fillId="4" borderId="60" xfId="3" applyFont="1" applyFill="1" applyBorder="1" applyAlignment="1">
      <alignment vertical="top" wrapText="1"/>
    </xf>
    <xf numFmtId="0" fontId="26" fillId="4" borderId="59" xfId="3" applyFont="1" applyFill="1" applyBorder="1" applyAlignment="1">
      <alignment horizontal="left" vertical="top"/>
    </xf>
    <xf numFmtId="0" fontId="26" fillId="4" borderId="60" xfId="3" applyFont="1" applyFill="1" applyBorder="1" applyAlignment="1">
      <alignment horizontal="left" vertical="top"/>
    </xf>
    <xf numFmtId="0" fontId="26" fillId="4" borderId="59" xfId="3" applyFont="1" applyFill="1" applyBorder="1"/>
    <xf numFmtId="0" fontId="34" fillId="4" borderId="0" xfId="4" applyFont="1" applyFill="1" applyAlignment="1">
      <alignment horizontal="left" vertical="top" wrapText="1" readingOrder="1"/>
    </xf>
    <xf numFmtId="0" fontId="26" fillId="4" borderId="60" xfId="3" applyFont="1" applyFill="1" applyBorder="1"/>
    <xf numFmtId="0" fontId="26" fillId="4" borderId="72" xfId="3" applyFont="1" applyFill="1" applyBorder="1"/>
    <xf numFmtId="0" fontId="26" fillId="4" borderId="73" xfId="3" applyFont="1" applyFill="1" applyBorder="1"/>
    <xf numFmtId="0" fontId="26" fillId="4" borderId="74" xfId="3" applyFont="1" applyFill="1" applyBorder="1"/>
    <xf numFmtId="0" fontId="34" fillId="4" borderId="0" xfId="0" applyFont="1" applyFill="1" applyAlignment="1">
      <alignment horizontal="left" vertical="center" wrapText="1"/>
    </xf>
    <xf numFmtId="0" fontId="35" fillId="4" borderId="0" xfId="0" applyFont="1" applyFill="1" applyAlignment="1">
      <alignment horizontal="left" vertical="top" wrapText="1"/>
    </xf>
    <xf numFmtId="0" fontId="26" fillId="4" borderId="0" xfId="3" quotePrefix="1" applyFont="1" applyFill="1" applyAlignment="1">
      <alignment horizontal="left" vertical="center" wrapText="1"/>
    </xf>
    <xf numFmtId="0" fontId="32" fillId="4" borderId="0" xfId="3" applyFont="1" applyFill="1" applyAlignment="1">
      <alignment horizontal="left" vertical="center" wrapText="1"/>
    </xf>
    <xf numFmtId="0" fontId="26" fillId="4" borderId="0" xfId="3" applyFont="1" applyFill="1" applyAlignment="1">
      <alignment horizontal="left" vertical="center" wrapText="1"/>
    </xf>
    <xf numFmtId="0" fontId="7" fillId="4" borderId="0" xfId="0" applyFont="1" applyFill="1" applyAlignment="1">
      <alignment vertical="center"/>
    </xf>
    <xf numFmtId="0" fontId="7" fillId="0" borderId="0" xfId="0" applyFont="1" applyAlignment="1">
      <alignment vertical="center"/>
    </xf>
    <xf numFmtId="0" fontId="8" fillId="4" borderId="0" xfId="0" applyFont="1" applyFill="1"/>
    <xf numFmtId="0" fontId="8" fillId="0" borderId="0" xfId="0" applyFont="1" applyAlignment="1">
      <alignment vertical="top"/>
    </xf>
    <xf numFmtId="0" fontId="8" fillId="0" borderId="0" xfId="0" applyFont="1"/>
    <xf numFmtId="0" fontId="44" fillId="9" borderId="11" xfId="0" applyFont="1" applyFill="1" applyBorder="1" applyAlignment="1">
      <alignment horizontal="center" vertical="top" wrapText="1"/>
    </xf>
    <xf numFmtId="49" fontId="45" fillId="5" borderId="7" xfId="0" applyNumberFormat="1" applyFont="1" applyFill="1" applyBorder="1" applyAlignment="1">
      <alignment horizontal="center" vertical="center" wrapText="1"/>
    </xf>
    <xf numFmtId="0" fontId="45" fillId="5" borderId="7" xfId="0" applyFont="1" applyFill="1" applyBorder="1" applyAlignment="1">
      <alignment horizontal="center" vertical="center" wrapText="1"/>
    </xf>
    <xf numFmtId="0" fontId="45" fillId="5" borderId="10" xfId="0" applyFont="1" applyFill="1" applyBorder="1" applyAlignment="1">
      <alignment horizontal="center" vertical="center" wrapText="1"/>
    </xf>
    <xf numFmtId="0" fontId="45" fillId="5" borderId="5" xfId="0" applyFont="1" applyFill="1" applyBorder="1" applyAlignment="1">
      <alignment horizontal="center" vertical="center" wrapText="1"/>
    </xf>
    <xf numFmtId="0" fontId="46" fillId="0" borderId="2" xfId="0" applyFont="1" applyBorder="1" applyAlignment="1">
      <alignment horizontal="center" vertical="center" wrapText="1"/>
    </xf>
    <xf numFmtId="0" fontId="46" fillId="0" borderId="2" xfId="0" applyFont="1" applyBorder="1" applyAlignment="1">
      <alignment horizontal="left" vertical="center" wrapText="1"/>
    </xf>
    <xf numFmtId="0" fontId="46" fillId="0" borderId="3" xfId="0" applyFont="1" applyBorder="1" applyAlignment="1">
      <alignment horizontal="center" vertical="center" wrapText="1"/>
    </xf>
    <xf numFmtId="0" fontId="47" fillId="0" borderId="3" xfId="0" applyFont="1" applyBorder="1" applyAlignment="1">
      <alignment horizontal="left" vertical="center" wrapText="1"/>
    </xf>
    <xf numFmtId="0" fontId="46" fillId="0" borderId="3" xfId="0" applyFont="1" applyBorder="1" applyAlignment="1">
      <alignment horizontal="left" vertical="center" wrapText="1"/>
    </xf>
    <xf numFmtId="0" fontId="46" fillId="0" borderId="4" xfId="0" applyFont="1" applyBorder="1" applyAlignment="1">
      <alignment horizontal="center" vertical="center" wrapText="1"/>
    </xf>
    <xf numFmtId="0" fontId="46" fillId="0" borderId="4" xfId="0" applyFont="1" applyBorder="1" applyAlignment="1">
      <alignment horizontal="left" vertical="center" wrapText="1"/>
    </xf>
    <xf numFmtId="0" fontId="9" fillId="13" borderId="3" xfId="0" applyFont="1" applyFill="1" applyBorder="1" applyAlignment="1">
      <alignment horizontal="center" vertical="center" wrapText="1"/>
    </xf>
    <xf numFmtId="0" fontId="50" fillId="0" borderId="0" xfId="0" applyFont="1" applyAlignment="1">
      <alignment horizontal="center" wrapText="1"/>
    </xf>
    <xf numFmtId="0" fontId="9" fillId="15"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11" borderId="3"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51" fillId="2" borderId="3" xfId="0" applyFont="1" applyFill="1" applyBorder="1" applyAlignment="1">
      <alignment horizontal="center" vertical="center"/>
    </xf>
    <xf numFmtId="0" fontId="42" fillId="0" borderId="3" xfId="0" applyFont="1" applyBorder="1" applyAlignment="1">
      <alignment horizontal="center" vertical="center"/>
    </xf>
    <xf numFmtId="0" fontId="53" fillId="0" borderId="0" xfId="0" applyFont="1" applyAlignment="1">
      <alignment horizontal="center"/>
    </xf>
    <xf numFmtId="0" fontId="52" fillId="12" borderId="31" xfId="0" applyFont="1" applyFill="1" applyBorder="1" applyAlignment="1">
      <alignment horizontal="center" vertical="center" wrapText="1"/>
    </xf>
    <xf numFmtId="0" fontId="42" fillId="0" borderId="0" xfId="0" applyFont="1" applyAlignment="1">
      <alignment horizontal="center" vertical="center" wrapText="1"/>
    </xf>
    <xf numFmtId="0" fontId="25" fillId="4" borderId="0" xfId="2" applyFont="1" applyFill="1" applyAlignment="1">
      <alignment vertical="center" wrapText="1"/>
    </xf>
    <xf numFmtId="0" fontId="35" fillId="4" borderId="0" xfId="2" applyFont="1" applyFill="1" applyAlignment="1">
      <alignment vertical="center" wrapText="1"/>
    </xf>
    <xf numFmtId="0" fontId="36" fillId="0" borderId="0" xfId="0" applyFont="1" applyAlignment="1" applyProtection="1">
      <alignment horizontal="center" vertical="top"/>
      <protection hidden="1"/>
    </xf>
    <xf numFmtId="0" fontId="38" fillId="0" borderId="79" xfId="0" applyFont="1" applyBorder="1" applyAlignment="1" applyProtection="1">
      <alignment horizontal="center" vertical="center" wrapText="1"/>
      <protection hidden="1"/>
    </xf>
    <xf numFmtId="0" fontId="8" fillId="0" borderId="0" xfId="0" applyFont="1" applyAlignment="1" applyProtection="1">
      <alignment horizontal="center" vertical="top"/>
      <protection hidden="1"/>
    </xf>
    <xf numFmtId="0" fontId="39" fillId="0" borderId="9" xfId="0" applyFont="1" applyBorder="1" applyAlignment="1" applyProtection="1">
      <alignment horizontal="center" vertical="center" wrapText="1"/>
      <protection hidden="1"/>
    </xf>
    <xf numFmtId="49" fontId="8" fillId="0" borderId="0" xfId="0" applyNumberFormat="1" applyFont="1" applyAlignment="1" applyProtection="1">
      <alignment horizontal="center" vertical="top"/>
      <protection hidden="1"/>
    </xf>
    <xf numFmtId="0" fontId="38" fillId="0" borderId="9" xfId="0" applyFont="1" applyBorder="1" applyAlignment="1" applyProtection="1">
      <alignment horizontal="center" vertical="center" wrapText="1"/>
      <protection hidden="1"/>
    </xf>
    <xf numFmtId="0" fontId="38" fillId="0" borderId="80" xfId="0" applyFont="1" applyBorder="1" applyAlignment="1" applyProtection="1">
      <alignment horizontal="center" vertical="center" wrapText="1"/>
      <protection hidden="1"/>
    </xf>
    <xf numFmtId="0" fontId="8" fillId="0" borderId="0" xfId="0" applyFont="1" applyAlignment="1" applyProtection="1">
      <alignment vertical="top"/>
      <protection hidden="1"/>
    </xf>
    <xf numFmtId="0" fontId="43" fillId="0" borderId="2" xfId="0" applyFont="1" applyBorder="1" applyAlignment="1" applyProtection="1">
      <alignment horizontal="center" vertical="center" wrapText="1"/>
      <protection locked="0"/>
    </xf>
    <xf numFmtId="0" fontId="36" fillId="0" borderId="79" xfId="0" applyFont="1" applyBorder="1" applyAlignment="1" applyProtection="1">
      <alignment horizontal="left" vertical="center" wrapText="1"/>
      <protection locked="0"/>
    </xf>
    <xf numFmtId="0" fontId="43" fillId="0" borderId="3" xfId="0" applyFont="1" applyBorder="1" applyAlignment="1" applyProtection="1">
      <alignment horizontal="center" vertical="center" wrapText="1"/>
      <protection locked="0"/>
    </xf>
    <xf numFmtId="0" fontId="36" fillId="0" borderId="9" xfId="0" applyFont="1" applyBorder="1" applyAlignment="1" applyProtection="1">
      <alignment horizontal="left" vertical="center" wrapText="1"/>
      <protection locked="0"/>
    </xf>
    <xf numFmtId="0" fontId="43" fillId="0" borderId="4" xfId="0" applyFont="1" applyBorder="1" applyAlignment="1" applyProtection="1">
      <alignment horizontal="center" vertical="center" wrapText="1"/>
      <protection locked="0"/>
    </xf>
    <xf numFmtId="0" fontId="36" fillId="0" borderId="80" xfId="0" applyFont="1" applyBorder="1" applyAlignment="1" applyProtection="1">
      <alignment horizontal="left" vertical="center" wrapText="1"/>
      <protection locked="0"/>
    </xf>
    <xf numFmtId="0" fontId="19" fillId="2" borderId="82" xfId="2" applyFont="1" applyFill="1" applyBorder="1" applyAlignment="1">
      <alignment horizontal="center" vertical="center"/>
    </xf>
    <xf numFmtId="0" fontId="19" fillId="2" borderId="82" xfId="2" applyFont="1" applyFill="1" applyBorder="1" applyAlignment="1">
      <alignment horizontal="center" vertical="center" wrapText="1"/>
    </xf>
    <xf numFmtId="0" fontId="1" fillId="0" borderId="2" xfId="0" applyFont="1" applyBorder="1" applyAlignment="1" applyProtection="1">
      <alignment horizontal="left" vertical="center" wrapText="1"/>
      <protection hidden="1"/>
    </xf>
    <xf numFmtId="0" fontId="0" fillId="0" borderId="2" xfId="0" applyBorder="1" applyAlignment="1" applyProtection="1">
      <alignment horizontal="center" vertical="center"/>
      <protection hidden="1"/>
    </xf>
    <xf numFmtId="0" fontId="40" fillId="0" borderId="84" xfId="0" applyFont="1" applyBorder="1" applyAlignment="1" applyProtection="1">
      <alignment vertical="center" wrapText="1"/>
      <protection hidden="1"/>
    </xf>
    <xf numFmtId="0" fontId="1" fillId="0" borderId="3" xfId="0" applyFont="1" applyBorder="1" applyAlignment="1" applyProtection="1">
      <alignment horizontal="left" vertical="center" wrapText="1"/>
      <protection hidden="1"/>
    </xf>
    <xf numFmtId="0" fontId="0" fillId="0" borderId="3" xfId="0" applyBorder="1" applyAlignment="1" applyProtection="1">
      <alignment horizontal="center" vertical="center"/>
      <protection hidden="1"/>
    </xf>
    <xf numFmtId="0" fontId="40" fillId="0" borderId="85" xfId="0" applyFont="1" applyBorder="1" applyAlignment="1" applyProtection="1">
      <alignment vertical="center" wrapText="1"/>
      <protection hidden="1"/>
    </xf>
    <xf numFmtId="0" fontId="1" fillId="0" borderId="4" xfId="0" applyFont="1" applyBorder="1" applyAlignment="1" applyProtection="1">
      <alignment horizontal="left" vertical="center" wrapText="1"/>
      <protection hidden="1"/>
    </xf>
    <xf numFmtId="0" fontId="0" fillId="0" borderId="4" xfId="0" applyBorder="1" applyAlignment="1" applyProtection="1">
      <alignment horizontal="center" vertical="center"/>
      <protection hidden="1"/>
    </xf>
    <xf numFmtId="0" fontId="40" fillId="0" borderId="86" xfId="0" applyFont="1" applyBorder="1" applyAlignment="1" applyProtection="1">
      <alignment vertical="center" wrapText="1"/>
      <protection hidden="1"/>
    </xf>
    <xf numFmtId="0" fontId="1" fillId="0" borderId="7" xfId="0" applyFont="1" applyBorder="1" applyAlignment="1" applyProtection="1">
      <alignment horizontal="left" vertical="center" wrapText="1"/>
      <protection hidden="1"/>
    </xf>
    <xf numFmtId="0" fontId="0" fillId="0" borderId="7" xfId="0" applyBorder="1" applyAlignment="1" applyProtection="1">
      <alignment horizontal="center" vertical="center"/>
      <protection hidden="1"/>
    </xf>
    <xf numFmtId="0" fontId="40" fillId="0" borderId="5" xfId="0" applyFont="1" applyBorder="1" applyAlignment="1" applyProtection="1">
      <alignment vertical="center" wrapText="1"/>
      <protection hidden="1"/>
    </xf>
    <xf numFmtId="0" fontId="1" fillId="0" borderId="6" xfId="0" applyFont="1" applyBorder="1" applyAlignment="1" applyProtection="1">
      <alignment horizontal="left" vertical="center" wrapText="1"/>
      <protection hidden="1"/>
    </xf>
    <xf numFmtId="0" fontId="0" fillId="0" borderId="6" xfId="0" applyBorder="1" applyAlignment="1" applyProtection="1">
      <alignment horizontal="center" vertical="center"/>
      <protection hidden="1"/>
    </xf>
    <xf numFmtId="0" fontId="40" fillId="0" borderId="3" xfId="0" applyFont="1" applyBorder="1" applyAlignment="1" applyProtection="1">
      <alignment vertical="center" wrapText="1"/>
      <protection hidden="1"/>
    </xf>
    <xf numFmtId="0" fontId="40" fillId="0" borderId="7" xfId="0" applyFont="1" applyBorder="1" applyAlignment="1" applyProtection="1">
      <alignment vertical="center" wrapText="1"/>
      <protection hidden="1"/>
    </xf>
    <xf numFmtId="0" fontId="48" fillId="0" borderId="22" xfId="0" applyFont="1" applyBorder="1" applyAlignment="1" applyProtection="1">
      <alignment horizontal="center" vertical="center"/>
      <protection hidden="1"/>
    </xf>
    <xf numFmtId="9" fontId="0" fillId="0" borderId="90" xfId="0" applyNumberFormat="1" applyBorder="1" applyAlignment="1" applyProtection="1">
      <alignment horizontal="center" vertical="center"/>
      <protection hidden="1"/>
    </xf>
    <xf numFmtId="9" fontId="0" fillId="0" borderId="91" xfId="0" applyNumberFormat="1" applyBorder="1" applyAlignment="1" applyProtection="1">
      <alignment horizontal="center" vertical="center"/>
      <protection hidden="1"/>
    </xf>
    <xf numFmtId="9" fontId="0" fillId="0" borderId="92" xfId="0" applyNumberFormat="1" applyBorder="1" applyAlignment="1" applyProtection="1">
      <alignment horizontal="center" vertical="center"/>
      <protection hidden="1"/>
    </xf>
    <xf numFmtId="9" fontId="0" fillId="0" borderId="93" xfId="0" applyNumberFormat="1" applyBorder="1" applyAlignment="1" applyProtection="1">
      <alignment horizontal="center" vertical="center"/>
      <protection hidden="1"/>
    </xf>
    <xf numFmtId="9" fontId="0" fillId="0" borderId="6" xfId="0" applyNumberFormat="1" applyBorder="1" applyAlignment="1" applyProtection="1">
      <alignment horizontal="center" vertical="center"/>
      <protection hidden="1"/>
    </xf>
    <xf numFmtId="9" fontId="0" fillId="0" borderId="3" xfId="0" applyNumberFormat="1" applyBorder="1" applyAlignment="1" applyProtection="1">
      <alignment horizontal="center" vertical="center"/>
      <protection hidden="1"/>
    </xf>
    <xf numFmtId="9" fontId="0" fillId="0" borderId="7" xfId="0" applyNumberFormat="1" applyBorder="1" applyAlignment="1" applyProtection="1">
      <alignment horizontal="center" vertical="center"/>
      <protection hidden="1"/>
    </xf>
    <xf numFmtId="9" fontId="42" fillId="2" borderId="26" xfId="0" applyNumberFormat="1" applyFont="1" applyFill="1" applyBorder="1" applyAlignment="1" applyProtection="1">
      <alignment horizontal="center" vertical="center"/>
      <protection hidden="1"/>
    </xf>
    <xf numFmtId="0" fontId="42" fillId="0" borderId="3" xfId="0" applyFont="1" applyBorder="1" applyAlignment="1" applyProtection="1">
      <alignment horizontal="center" vertical="center"/>
      <protection hidden="1"/>
    </xf>
    <xf numFmtId="9" fontId="14" fillId="14" borderId="3" xfId="0" applyNumberFormat="1" applyFont="1" applyFill="1" applyBorder="1" applyAlignment="1" applyProtection="1">
      <alignment horizontal="center" vertical="center"/>
      <protection hidden="1"/>
    </xf>
    <xf numFmtId="49" fontId="55" fillId="4" borderId="2" xfId="0" applyNumberFormat="1" applyFont="1" applyFill="1" applyBorder="1" applyAlignment="1" applyProtection="1">
      <alignment horizontal="center" vertical="center" wrapText="1"/>
      <protection locked="0"/>
    </xf>
    <xf numFmtId="49" fontId="55" fillId="4" borderId="3" xfId="0" applyNumberFormat="1" applyFont="1" applyFill="1" applyBorder="1" applyAlignment="1" applyProtection="1">
      <alignment horizontal="center" vertical="center" wrapText="1"/>
      <protection locked="0"/>
    </xf>
    <xf numFmtId="49" fontId="55" fillId="4" borderId="4" xfId="0" applyNumberFormat="1" applyFont="1" applyFill="1" applyBorder="1" applyAlignment="1" applyProtection="1">
      <alignment horizontal="center" vertical="center" wrapText="1"/>
      <protection locked="0"/>
    </xf>
    <xf numFmtId="49" fontId="18" fillId="5" borderId="7" xfId="0" applyNumberFormat="1" applyFont="1" applyFill="1" applyBorder="1" applyAlignment="1" applyProtection="1">
      <alignment horizontal="center" vertical="center" wrapText="1"/>
      <protection hidden="1"/>
    </xf>
    <xf numFmtId="0" fontId="18" fillId="5" borderId="7" xfId="0" applyFont="1" applyFill="1" applyBorder="1" applyAlignment="1" applyProtection="1">
      <alignment horizontal="center" vertical="center" wrapText="1"/>
      <protection hidden="1"/>
    </xf>
    <xf numFmtId="0" fontId="18" fillId="5" borderId="10" xfId="0" applyFont="1" applyFill="1" applyBorder="1" applyAlignment="1" applyProtection="1">
      <alignment horizontal="center" vertical="center" wrapText="1"/>
      <protection hidden="1"/>
    </xf>
    <xf numFmtId="0" fontId="18" fillId="5" borderId="81" xfId="0" applyFont="1" applyFill="1" applyBorder="1" applyAlignment="1" applyProtection="1">
      <alignment horizontal="center" vertical="center" wrapText="1"/>
      <protection hidden="1"/>
    </xf>
    <xf numFmtId="0" fontId="0" fillId="0" borderId="0" xfId="0" applyProtection="1">
      <protection hidden="1"/>
    </xf>
    <xf numFmtId="9" fontId="0" fillId="0" borderId="0" xfId="1" applyFont="1" applyProtection="1">
      <protection hidden="1"/>
    </xf>
    <xf numFmtId="10" fontId="0" fillId="0" borderId="0" xfId="1" applyNumberFormat="1" applyFont="1" applyProtection="1">
      <protection hidden="1"/>
    </xf>
    <xf numFmtId="49" fontId="44" fillId="9" borderId="14" xfId="0" applyNumberFormat="1" applyFont="1" applyFill="1" applyBorder="1" applyAlignment="1">
      <alignment horizontal="center" vertical="center" wrapText="1"/>
    </xf>
    <xf numFmtId="49" fontId="44" fillId="9" borderId="11" xfId="0" applyNumberFormat="1" applyFont="1" applyFill="1" applyBorder="1" applyAlignment="1">
      <alignment horizontal="center" vertical="center" wrapText="1"/>
    </xf>
    <xf numFmtId="0" fontId="58" fillId="0" borderId="94" xfId="0" applyFont="1" applyBorder="1" applyAlignment="1">
      <alignment horizontal="center" vertical="center" wrapText="1"/>
    </xf>
    <xf numFmtId="0" fontId="58" fillId="0" borderId="94" xfId="0" applyFont="1" applyBorder="1" applyAlignment="1" applyProtection="1">
      <alignment horizontal="center" vertical="center" wrapText="1"/>
      <protection locked="0"/>
    </xf>
    <xf numFmtId="0" fontId="36" fillId="0" borderId="79" xfId="0" applyFont="1" applyFill="1" applyBorder="1" applyAlignment="1" applyProtection="1">
      <alignment horizontal="left" vertical="center" wrapText="1"/>
      <protection locked="0"/>
    </xf>
    <xf numFmtId="0" fontId="43" fillId="0" borderId="3" xfId="0" applyFont="1" applyFill="1" applyBorder="1" applyAlignment="1" applyProtection="1">
      <alignment horizontal="center" vertical="center" wrapText="1"/>
      <protection locked="0"/>
    </xf>
    <xf numFmtId="0" fontId="43" fillId="0" borderId="2" xfId="0" applyFont="1" applyFill="1" applyBorder="1" applyAlignment="1" applyProtection="1">
      <alignment horizontal="center" vertical="center" wrapText="1"/>
      <protection locked="0"/>
    </xf>
    <xf numFmtId="0" fontId="43" fillId="0" borderId="4" xfId="0" applyFont="1" applyFill="1" applyBorder="1" applyAlignment="1" applyProtection="1">
      <alignment horizontal="center" vertical="center" wrapText="1"/>
      <protection locked="0"/>
    </xf>
    <xf numFmtId="0" fontId="40" fillId="17" borderId="6" xfId="0" applyFont="1" applyFill="1" applyBorder="1" applyAlignment="1" applyProtection="1">
      <alignment vertical="center"/>
      <protection hidden="1"/>
    </xf>
    <xf numFmtId="0" fontId="30" fillId="0" borderId="58" xfId="3" applyFont="1" applyBorder="1" applyAlignment="1">
      <alignment horizontal="center" vertical="center" wrapText="1"/>
    </xf>
    <xf numFmtId="0" fontId="30" fillId="0" borderId="55" xfId="3" applyFont="1" applyBorder="1" applyAlignment="1">
      <alignment horizontal="center" vertical="center" wrapText="1"/>
    </xf>
    <xf numFmtId="0" fontId="30" fillId="0" borderId="8" xfId="3" applyFont="1" applyBorder="1" applyAlignment="1">
      <alignment horizontal="center" vertical="center" wrapText="1"/>
    </xf>
    <xf numFmtId="0" fontId="26" fillId="0" borderId="59" xfId="3" quotePrefix="1" applyFont="1" applyBorder="1" applyAlignment="1">
      <alignment horizontal="left" vertical="center" wrapText="1"/>
    </xf>
    <xf numFmtId="0" fontId="26" fillId="0" borderId="0" xfId="3" quotePrefix="1" applyFont="1" applyAlignment="1">
      <alignment horizontal="left" vertical="center" wrapText="1"/>
    </xf>
    <xf numFmtId="0" fontId="26" fillId="0" borderId="60" xfId="3" quotePrefix="1" applyFont="1" applyBorder="1" applyAlignment="1">
      <alignment horizontal="left" vertical="center" wrapText="1"/>
    </xf>
    <xf numFmtId="0" fontId="31" fillId="4" borderId="59" xfId="3" quotePrefix="1" applyFont="1" applyFill="1" applyBorder="1" applyAlignment="1">
      <alignment horizontal="left" vertical="top" wrapText="1"/>
    </xf>
    <xf numFmtId="0" fontId="25" fillId="4" borderId="0" xfId="3" quotePrefix="1" applyFont="1" applyFill="1" applyAlignment="1">
      <alignment horizontal="left" vertical="top" wrapText="1"/>
    </xf>
    <xf numFmtId="0" fontId="25" fillId="4" borderId="60" xfId="3" quotePrefix="1" applyFont="1" applyFill="1" applyBorder="1" applyAlignment="1">
      <alignment horizontal="left" vertical="top" wrapText="1"/>
    </xf>
    <xf numFmtId="0" fontId="26" fillId="4" borderId="59" xfId="3" quotePrefix="1" applyFont="1" applyFill="1" applyBorder="1" applyAlignment="1">
      <alignment horizontal="left" vertical="top" wrapText="1"/>
    </xf>
    <xf numFmtId="0" fontId="26" fillId="4" borderId="0" xfId="3" quotePrefix="1" applyFont="1" applyFill="1" applyAlignment="1">
      <alignment horizontal="left" vertical="top" wrapText="1"/>
    </xf>
    <xf numFmtId="0" fontId="26" fillId="4" borderId="60" xfId="3" quotePrefix="1" applyFont="1" applyFill="1" applyBorder="1" applyAlignment="1">
      <alignment horizontal="left" vertical="top" wrapText="1"/>
    </xf>
    <xf numFmtId="0" fontId="34" fillId="16" borderId="61" xfId="4" applyFont="1" applyFill="1" applyBorder="1" applyAlignment="1">
      <alignment horizontal="center" vertical="center" wrapText="1"/>
    </xf>
    <xf numFmtId="0" fontId="34" fillId="16" borderId="62" xfId="4" applyFont="1" applyFill="1" applyBorder="1" applyAlignment="1">
      <alignment horizontal="center" vertical="center" wrapText="1"/>
    </xf>
    <xf numFmtId="0" fontId="34" fillId="16" borderId="63" xfId="3" applyFont="1" applyFill="1" applyBorder="1" applyAlignment="1">
      <alignment horizontal="center" vertical="center"/>
    </xf>
    <xf numFmtId="0" fontId="34" fillId="16" borderId="64" xfId="3" applyFont="1" applyFill="1" applyBorder="1" applyAlignment="1">
      <alignment horizontal="center" vertical="center"/>
    </xf>
    <xf numFmtId="0" fontId="34" fillId="4" borderId="75" xfId="4" applyFont="1" applyFill="1" applyBorder="1" applyAlignment="1">
      <alignment horizontal="left" vertical="center" wrapText="1" readingOrder="1"/>
    </xf>
    <xf numFmtId="0" fontId="34" fillId="4" borderId="76" xfId="4" applyFont="1" applyFill="1" applyBorder="1" applyAlignment="1">
      <alignment horizontal="left" vertical="center" wrapText="1" readingOrder="1"/>
    </xf>
    <xf numFmtId="0" fontId="35" fillId="0" borderId="65" xfId="3" applyFont="1" applyBorder="1" applyAlignment="1">
      <alignment horizontal="left" vertical="center" wrapText="1"/>
    </xf>
    <xf numFmtId="0" fontId="35" fillId="0" borderId="66" xfId="3" applyFont="1" applyBorder="1" applyAlignment="1">
      <alignment horizontal="left" vertical="center" wrapText="1"/>
    </xf>
    <xf numFmtId="0" fontId="34" fillId="4" borderId="67" xfId="0" applyFont="1" applyFill="1" applyBorder="1" applyAlignment="1">
      <alignment horizontal="left" vertical="center" wrapText="1"/>
    </xf>
    <xf numFmtId="0" fontId="34" fillId="4" borderId="68" xfId="0" applyFont="1" applyFill="1" applyBorder="1" applyAlignment="1">
      <alignment horizontal="left" vertical="center" wrapText="1"/>
    </xf>
    <xf numFmtId="0" fontId="35" fillId="0" borderId="69" xfId="3" applyFont="1" applyBorder="1" applyAlignment="1">
      <alignment horizontal="left" vertical="center" wrapText="1"/>
    </xf>
    <xf numFmtId="0" fontId="35" fillId="0" borderId="70" xfId="3" applyFont="1" applyBorder="1" applyAlignment="1">
      <alignment horizontal="left" vertical="center" wrapText="1"/>
    </xf>
    <xf numFmtId="0" fontId="35" fillId="0" borderId="69" xfId="3" applyFont="1" applyBorder="1" applyAlignment="1">
      <alignment horizontal="left" vertical="top" wrapText="1"/>
    </xf>
    <xf numFmtId="0" fontId="35" fillId="0" borderId="70" xfId="3" applyFont="1" applyBorder="1" applyAlignment="1">
      <alignment horizontal="left" vertical="top" wrapText="1"/>
    </xf>
    <xf numFmtId="0" fontId="26" fillId="4" borderId="59" xfId="3" applyFont="1" applyFill="1" applyBorder="1" applyAlignment="1">
      <alignment horizontal="left" vertical="top" wrapText="1"/>
    </xf>
    <xf numFmtId="0" fontId="26" fillId="4" borderId="0" xfId="3" applyFont="1" applyFill="1" applyAlignment="1">
      <alignment horizontal="left" vertical="top" wrapText="1"/>
    </xf>
    <xf numFmtId="0" fontId="26" fillId="4" borderId="60" xfId="3" applyFont="1" applyFill="1" applyBorder="1" applyAlignment="1">
      <alignment horizontal="left" vertical="top" wrapText="1"/>
    </xf>
    <xf numFmtId="0" fontId="26" fillId="4" borderId="0" xfId="3" applyFont="1" applyFill="1"/>
    <xf numFmtId="0" fontId="34" fillId="4" borderId="77" xfId="0" applyFont="1" applyFill="1" applyBorder="1" applyAlignment="1">
      <alignment horizontal="left" vertical="center" wrapText="1"/>
    </xf>
    <xf numFmtId="0" fontId="34" fillId="4" borderId="78" xfId="0" applyFont="1" applyFill="1" applyBorder="1" applyAlignment="1">
      <alignment horizontal="left" vertical="center" wrapText="1"/>
    </xf>
    <xf numFmtId="0" fontId="17" fillId="2" borderId="44" xfId="2" applyFont="1" applyFill="1" applyBorder="1" applyAlignment="1">
      <alignment horizontal="center" vertical="center" wrapText="1"/>
    </xf>
    <xf numFmtId="0" fontId="17" fillId="2" borderId="45" xfId="2" applyFont="1" applyFill="1" applyBorder="1" applyAlignment="1">
      <alignment horizontal="center" vertical="center" wrapText="1"/>
    </xf>
    <xf numFmtId="0" fontId="25" fillId="7" borderId="50" xfId="2" applyFont="1" applyFill="1" applyBorder="1" applyAlignment="1">
      <alignment horizontal="center" vertical="center"/>
    </xf>
    <xf numFmtId="0" fontId="25" fillId="7" borderId="51" xfId="2" applyFont="1" applyFill="1" applyBorder="1" applyAlignment="1">
      <alignment horizontal="center" vertical="center"/>
    </xf>
    <xf numFmtId="0" fontId="26" fillId="0" borderId="56" xfId="2" applyFont="1" applyBorder="1" applyAlignment="1">
      <alignment horizontal="justify" vertical="center" wrapText="1"/>
    </xf>
    <xf numFmtId="0" fontId="26" fillId="0" borderId="57" xfId="2" applyFont="1" applyBorder="1" applyAlignment="1">
      <alignment horizontal="justify" vertical="center" wrapText="1"/>
    </xf>
    <xf numFmtId="0" fontId="25" fillId="8" borderId="52" xfId="2" applyFont="1" applyFill="1" applyBorder="1" applyAlignment="1">
      <alignment horizontal="center" vertical="center" wrapText="1"/>
    </xf>
    <xf numFmtId="0" fontId="25" fillId="8" borderId="53" xfId="2" applyFont="1" applyFill="1" applyBorder="1" applyAlignment="1">
      <alignment horizontal="center" vertical="center"/>
    </xf>
    <xf numFmtId="0" fontId="26" fillId="0" borderId="53" xfId="2" applyFont="1" applyBorder="1" applyAlignment="1">
      <alignment horizontal="justify" vertical="center" wrapText="1"/>
    </xf>
    <xf numFmtId="0" fontId="26" fillId="0" borderId="54" xfId="2" applyFont="1" applyBorder="1" applyAlignment="1">
      <alignment horizontal="justify" vertical="center" wrapText="1"/>
    </xf>
    <xf numFmtId="0" fontId="37" fillId="4" borderId="71" xfId="2" applyFont="1" applyFill="1" applyBorder="1" applyAlignment="1">
      <alignment horizontal="center" vertical="center" wrapText="1"/>
    </xf>
    <xf numFmtId="0" fontId="24" fillId="4" borderId="71" xfId="2" applyFont="1" applyFill="1" applyBorder="1" applyAlignment="1">
      <alignment horizontal="center" vertical="center" wrapText="1"/>
    </xf>
    <xf numFmtId="0" fontId="17" fillId="2" borderId="46" xfId="2" applyFont="1" applyFill="1" applyBorder="1" applyAlignment="1">
      <alignment horizontal="center" vertical="center" wrapText="1"/>
    </xf>
    <xf numFmtId="0" fontId="25" fillId="14" borderId="47" xfId="2" applyFont="1" applyFill="1" applyBorder="1" applyAlignment="1">
      <alignment horizontal="center" vertical="center"/>
    </xf>
    <xf numFmtId="0" fontId="25" fillId="14" borderId="48" xfId="2" applyFont="1" applyFill="1" applyBorder="1" applyAlignment="1">
      <alignment horizontal="center" vertical="center"/>
    </xf>
    <xf numFmtId="0" fontId="26" fillId="0" borderId="48" xfId="2" applyFont="1" applyBorder="1" applyAlignment="1">
      <alignment horizontal="justify" vertical="center" wrapText="1"/>
    </xf>
    <xf numFmtId="0" fontId="26" fillId="0" borderId="49" xfId="2" applyFont="1" applyBorder="1" applyAlignment="1">
      <alignment horizontal="justify" vertical="center" wrapText="1"/>
    </xf>
    <xf numFmtId="0" fontId="44" fillId="9" borderId="11" xfId="0" applyFont="1" applyFill="1" applyBorder="1" applyAlignment="1">
      <alignment horizontal="center" vertical="center" wrapText="1"/>
    </xf>
    <xf numFmtId="0" fontId="44" fillId="9" borderId="12" xfId="0" applyFont="1" applyFill="1" applyBorder="1" applyAlignment="1">
      <alignment horizontal="center" vertical="center" wrapText="1"/>
    </xf>
    <xf numFmtId="0" fontId="44" fillId="9" borderId="6" xfId="0" applyFont="1" applyFill="1" applyBorder="1" applyAlignment="1">
      <alignment horizontal="center" vertical="center" wrapText="1"/>
    </xf>
    <xf numFmtId="49" fontId="44" fillId="9" borderId="14" xfId="0" applyNumberFormat="1" applyFont="1" applyFill="1" applyBorder="1" applyAlignment="1">
      <alignment horizontal="center" vertical="center" wrapText="1"/>
    </xf>
    <xf numFmtId="49" fontId="44" fillId="9" borderId="15" xfId="0" applyNumberFormat="1" applyFont="1" applyFill="1" applyBorder="1" applyAlignment="1">
      <alignment horizontal="center" vertical="center" wrapText="1"/>
    </xf>
    <xf numFmtId="49" fontId="44" fillId="9" borderId="16" xfId="0" applyNumberFormat="1" applyFont="1" applyFill="1" applyBorder="1" applyAlignment="1">
      <alignment horizontal="center" vertical="center" wrapText="1"/>
    </xf>
    <xf numFmtId="49" fontId="44" fillId="6" borderId="11" xfId="0" applyNumberFormat="1" applyFont="1" applyFill="1" applyBorder="1" applyAlignment="1">
      <alignment horizontal="center" vertical="center" wrapText="1"/>
    </xf>
    <xf numFmtId="49" fontId="44" fillId="6" borderId="12" xfId="0" applyNumberFormat="1" applyFont="1" applyFill="1" applyBorder="1" applyAlignment="1">
      <alignment horizontal="center" vertical="center" wrapText="1"/>
    </xf>
    <xf numFmtId="49" fontId="44" fillId="6" borderId="13" xfId="0" applyNumberFormat="1" applyFont="1" applyFill="1" applyBorder="1" applyAlignment="1">
      <alignment horizontal="center" vertical="center" wrapText="1"/>
    </xf>
    <xf numFmtId="49" fontId="44" fillId="10" borderId="11" xfId="0" applyNumberFormat="1" applyFont="1" applyFill="1" applyBorder="1" applyAlignment="1">
      <alignment horizontal="center" vertical="center" wrapText="1"/>
    </xf>
    <xf numFmtId="49" fontId="44" fillId="10" borderId="12" xfId="0" applyNumberFormat="1" applyFont="1" applyFill="1" applyBorder="1" applyAlignment="1">
      <alignment horizontal="center" vertical="center" wrapText="1"/>
    </xf>
    <xf numFmtId="49" fontId="44" fillId="10" borderId="13" xfId="0" applyNumberFormat="1" applyFont="1" applyFill="1" applyBorder="1" applyAlignment="1">
      <alignment horizontal="center" vertical="center" wrapText="1"/>
    </xf>
    <xf numFmtId="49" fontId="44" fillId="2" borderId="11" xfId="0" applyNumberFormat="1" applyFont="1" applyFill="1" applyBorder="1" applyAlignment="1">
      <alignment horizontal="center" vertical="center" wrapText="1"/>
    </xf>
    <xf numFmtId="49" fontId="44" fillId="2" borderId="12" xfId="0" applyNumberFormat="1" applyFont="1" applyFill="1" applyBorder="1" applyAlignment="1">
      <alignment horizontal="center" vertical="center" wrapText="1"/>
    </xf>
    <xf numFmtId="49" fontId="44" fillId="2" borderId="13" xfId="0" applyNumberFormat="1" applyFont="1" applyFill="1" applyBorder="1" applyAlignment="1">
      <alignment horizontal="center" vertical="center" wrapText="1"/>
    </xf>
    <xf numFmtId="49" fontId="44" fillId="11" borderId="11" xfId="0" applyNumberFormat="1" applyFont="1" applyFill="1" applyBorder="1" applyAlignment="1">
      <alignment horizontal="center" vertical="center" wrapText="1"/>
    </xf>
    <xf numFmtId="49" fontId="44" fillId="11" borderId="12" xfId="0" applyNumberFormat="1" applyFont="1" applyFill="1" applyBorder="1" applyAlignment="1">
      <alignment horizontal="center" vertical="center" wrapText="1"/>
    </xf>
    <xf numFmtId="49" fontId="44" fillId="11" borderId="13" xfId="0" applyNumberFormat="1" applyFont="1" applyFill="1" applyBorder="1" applyAlignment="1">
      <alignment horizontal="center" vertical="center" wrapText="1"/>
    </xf>
    <xf numFmtId="49" fontId="44" fillId="9" borderId="11" xfId="0" applyNumberFormat="1" applyFont="1" applyFill="1" applyBorder="1" applyAlignment="1">
      <alignment horizontal="center" vertical="center" wrapText="1"/>
    </xf>
    <xf numFmtId="49" fontId="44" fillId="9" borderId="12" xfId="0" applyNumberFormat="1" applyFont="1" applyFill="1" applyBorder="1" applyAlignment="1">
      <alignment horizontal="center" vertical="center" wrapText="1"/>
    </xf>
    <xf numFmtId="49" fontId="44" fillId="9" borderId="13" xfId="0" applyNumberFormat="1" applyFont="1" applyFill="1" applyBorder="1" applyAlignment="1">
      <alignment horizontal="center" vertical="center" wrapText="1"/>
    </xf>
    <xf numFmtId="49" fontId="44" fillId="10" borderId="3" xfId="0" applyNumberFormat="1" applyFont="1" applyFill="1" applyBorder="1" applyAlignment="1">
      <alignment horizontal="center" vertical="center" wrapText="1"/>
    </xf>
    <xf numFmtId="0" fontId="44" fillId="10" borderId="3" xfId="0" applyFont="1" applyFill="1" applyBorder="1" applyAlignment="1">
      <alignment horizontal="center" vertical="center" wrapText="1"/>
    </xf>
    <xf numFmtId="49" fontId="44" fillId="10" borderId="15" xfId="0" applyNumberFormat="1" applyFont="1" applyFill="1" applyBorder="1" applyAlignment="1">
      <alignment horizontal="center" vertical="center" wrapText="1"/>
    </xf>
    <xf numFmtId="0" fontId="44" fillId="10" borderId="12" xfId="0" applyFont="1" applyFill="1" applyBorder="1" applyAlignment="1">
      <alignment horizontal="center" vertical="center" wrapText="1"/>
    </xf>
    <xf numFmtId="49" fontId="44" fillId="2" borderId="14" xfId="0" applyNumberFormat="1" applyFont="1" applyFill="1" applyBorder="1" applyAlignment="1">
      <alignment horizontal="center" vertical="center" wrapText="1"/>
    </xf>
    <xf numFmtId="49" fontId="44" fillId="2" borderId="15" xfId="0" applyNumberFormat="1" applyFont="1" applyFill="1" applyBorder="1" applyAlignment="1">
      <alignment horizontal="center" vertical="center" wrapText="1"/>
    </xf>
    <xf numFmtId="49" fontId="44" fillId="2" borderId="16" xfId="0" applyNumberFormat="1" applyFont="1" applyFill="1" applyBorder="1" applyAlignment="1">
      <alignment horizontal="center" vertical="center" wrapText="1"/>
    </xf>
    <xf numFmtId="0" fontId="44" fillId="2" borderId="11" xfId="0" applyFont="1" applyFill="1" applyBorder="1" applyAlignment="1">
      <alignment horizontal="center" vertical="center" wrapText="1"/>
    </xf>
    <xf numFmtId="0" fontId="44" fillId="2" borderId="12" xfId="0" applyFont="1" applyFill="1" applyBorder="1" applyAlignment="1">
      <alignment horizontal="center" vertical="center" wrapText="1"/>
    </xf>
    <xf numFmtId="0" fontId="44" fillId="2" borderId="13" xfId="0" applyFont="1" applyFill="1" applyBorder="1" applyAlignment="1">
      <alignment horizontal="center" vertical="center" wrapText="1"/>
    </xf>
    <xf numFmtId="49" fontId="45" fillId="5" borderId="0" xfId="0" applyNumberFormat="1" applyFont="1" applyFill="1" applyAlignment="1">
      <alignment horizontal="center" vertical="center"/>
    </xf>
    <xf numFmtId="0" fontId="44" fillId="11" borderId="11" xfId="0" applyFont="1" applyFill="1" applyBorder="1" applyAlignment="1">
      <alignment horizontal="center" vertical="center" wrapText="1"/>
    </xf>
    <xf numFmtId="0" fontId="44" fillId="11" borderId="12" xfId="0" applyFont="1" applyFill="1" applyBorder="1" applyAlignment="1">
      <alignment horizontal="center" vertical="center" wrapText="1"/>
    </xf>
    <xf numFmtId="0" fontId="44" fillId="11" borderId="13" xfId="0" applyFont="1" applyFill="1" applyBorder="1" applyAlignment="1">
      <alignment horizontal="center" vertical="center" wrapText="1"/>
    </xf>
    <xf numFmtId="49" fontId="44" fillId="11" borderId="14" xfId="0" applyNumberFormat="1" applyFont="1" applyFill="1" applyBorder="1" applyAlignment="1">
      <alignment horizontal="center" vertical="center" wrapText="1"/>
    </xf>
    <xf numFmtId="49" fontId="44" fillId="11" borderId="15" xfId="0" applyNumberFormat="1" applyFont="1" applyFill="1" applyBorder="1" applyAlignment="1">
      <alignment horizontal="center" vertical="center" wrapText="1"/>
    </xf>
    <xf numFmtId="49" fontId="44" fillId="11" borderId="16" xfId="0" applyNumberFormat="1" applyFont="1" applyFill="1" applyBorder="1" applyAlignment="1">
      <alignment horizontal="center" vertical="center" wrapText="1"/>
    </xf>
    <xf numFmtId="0" fontId="44" fillId="9" borderId="13" xfId="0" applyFont="1" applyFill="1" applyBorder="1" applyAlignment="1">
      <alignment horizontal="center" vertical="center" wrapText="1"/>
    </xf>
    <xf numFmtId="0" fontId="44" fillId="6" borderId="11" xfId="0" applyFont="1" applyFill="1" applyBorder="1" applyAlignment="1">
      <alignment horizontal="center" vertical="center" wrapText="1"/>
    </xf>
    <xf numFmtId="0" fontId="44" fillId="6" borderId="12" xfId="0" applyFont="1" applyFill="1" applyBorder="1" applyAlignment="1">
      <alignment horizontal="center" vertical="center" wrapText="1"/>
    </xf>
    <xf numFmtId="0" fontId="44" fillId="6" borderId="13" xfId="0" applyFont="1" applyFill="1" applyBorder="1" applyAlignment="1">
      <alignment horizontal="center" vertical="center" wrapText="1"/>
    </xf>
    <xf numFmtId="49" fontId="8" fillId="6" borderId="14" xfId="0" applyNumberFormat="1" applyFont="1" applyFill="1" applyBorder="1" applyAlignment="1">
      <alignment horizontal="center" vertical="center" wrapText="1"/>
    </xf>
    <xf numFmtId="49" fontId="8" fillId="6" borderId="15" xfId="0" applyNumberFormat="1" applyFont="1" applyFill="1" applyBorder="1" applyAlignment="1">
      <alignment horizontal="center" vertical="center" wrapText="1"/>
    </xf>
    <xf numFmtId="49" fontId="8" fillId="6" borderId="16" xfId="0" applyNumberFormat="1" applyFont="1" applyFill="1" applyBorder="1" applyAlignment="1">
      <alignment horizontal="center" vertical="center" wrapText="1"/>
    </xf>
    <xf numFmtId="49" fontId="8" fillId="10" borderId="14" xfId="0" applyNumberFormat="1" applyFont="1" applyFill="1" applyBorder="1" applyAlignment="1">
      <alignment horizontal="center" vertical="center" wrapText="1"/>
    </xf>
    <xf numFmtId="49" fontId="8" fillId="10" borderId="15" xfId="0" applyNumberFormat="1" applyFont="1" applyFill="1" applyBorder="1" applyAlignment="1">
      <alignment horizontal="center" vertical="center" wrapText="1"/>
    </xf>
    <xf numFmtId="49" fontId="8" fillId="10" borderId="16" xfId="0" applyNumberFormat="1" applyFont="1" applyFill="1" applyBorder="1" applyAlignment="1">
      <alignment horizontal="center" vertical="center" wrapText="1"/>
    </xf>
    <xf numFmtId="0" fontId="44" fillId="10" borderId="11" xfId="0" applyFont="1" applyFill="1" applyBorder="1" applyAlignment="1">
      <alignment horizontal="center" vertical="center" wrapText="1"/>
    </xf>
    <xf numFmtId="0" fontId="44" fillId="10" borderId="13" xfId="0" applyFont="1" applyFill="1" applyBorder="1" applyAlignment="1">
      <alignment horizontal="center" vertical="center" wrapText="1"/>
    </xf>
    <xf numFmtId="9" fontId="41" fillId="0" borderId="87" xfId="0" applyNumberFormat="1" applyFont="1" applyBorder="1" applyAlignment="1" applyProtection="1">
      <alignment horizontal="center" vertical="center"/>
      <protection hidden="1"/>
    </xf>
    <xf numFmtId="9" fontId="41" fillId="0" borderId="88" xfId="0" applyNumberFormat="1" applyFont="1" applyBorder="1" applyAlignment="1" applyProtection="1">
      <alignment horizontal="center" vertical="center"/>
      <protection hidden="1"/>
    </xf>
    <xf numFmtId="9" fontId="28" fillId="7" borderId="84" xfId="1" applyFont="1" applyFill="1" applyBorder="1" applyAlignment="1" applyProtection="1">
      <alignment horizontal="center" vertical="center"/>
      <protection hidden="1"/>
    </xf>
    <xf numFmtId="9" fontId="28" fillId="7" borderId="85" xfId="1" applyFont="1" applyFill="1" applyBorder="1" applyAlignment="1" applyProtection="1">
      <alignment horizontal="center" vertical="center"/>
      <protection hidden="1"/>
    </xf>
    <xf numFmtId="9" fontId="28" fillId="7" borderId="86" xfId="1" applyFont="1" applyFill="1" applyBorder="1" applyAlignment="1" applyProtection="1">
      <alignment horizontal="center" vertical="center"/>
      <protection hidden="1"/>
    </xf>
    <xf numFmtId="0" fontId="27" fillId="9" borderId="14" xfId="0" applyFont="1" applyFill="1" applyBorder="1" applyAlignment="1">
      <alignment horizontal="center" vertical="center" textRotation="90"/>
    </xf>
    <xf numFmtId="0" fontId="27" fillId="9" borderId="15" xfId="0" applyFont="1" applyFill="1" applyBorder="1" applyAlignment="1">
      <alignment horizontal="center" vertical="center" textRotation="90"/>
    </xf>
    <xf numFmtId="0" fontId="27" fillId="9" borderId="16" xfId="0" applyFont="1" applyFill="1" applyBorder="1" applyAlignment="1">
      <alignment horizontal="center" vertical="center" textRotation="90"/>
    </xf>
    <xf numFmtId="9" fontId="41" fillId="4" borderId="87" xfId="0" applyNumberFormat="1" applyFont="1" applyFill="1" applyBorder="1" applyAlignment="1" applyProtection="1">
      <alignment horizontal="center" vertical="center"/>
      <protection hidden="1"/>
    </xf>
    <xf numFmtId="9" fontId="41" fillId="4" borderId="88" xfId="0" applyNumberFormat="1" applyFont="1" applyFill="1" applyBorder="1" applyAlignment="1" applyProtection="1">
      <alignment horizontal="center" vertical="center"/>
      <protection hidden="1"/>
    </xf>
    <xf numFmtId="9" fontId="41" fillId="4" borderId="89" xfId="0" applyNumberFormat="1" applyFont="1" applyFill="1" applyBorder="1" applyAlignment="1" applyProtection="1">
      <alignment horizontal="center" vertical="center"/>
      <protection hidden="1"/>
    </xf>
    <xf numFmtId="0" fontId="27" fillId="11" borderId="15" xfId="0" applyFont="1" applyFill="1" applyBorder="1" applyAlignment="1">
      <alignment horizontal="center" vertical="center" textRotation="90"/>
    </xf>
    <xf numFmtId="0" fontId="27" fillId="2" borderId="14" xfId="0" applyFont="1" applyFill="1" applyBorder="1" applyAlignment="1">
      <alignment horizontal="center" vertical="center" textRotation="90"/>
    </xf>
    <xf numFmtId="0" fontId="27" fillId="2" borderId="15" xfId="0" applyFont="1" applyFill="1" applyBorder="1" applyAlignment="1">
      <alignment horizontal="center" vertical="center" textRotation="90"/>
    </xf>
    <xf numFmtId="0" fontId="27" fillId="2" borderId="16" xfId="0" applyFont="1" applyFill="1" applyBorder="1" applyAlignment="1">
      <alignment horizontal="center" vertical="center" textRotation="90"/>
    </xf>
    <xf numFmtId="9" fontId="41" fillId="0" borderId="89" xfId="0" applyNumberFormat="1" applyFont="1" applyBorder="1" applyAlignment="1" applyProtection="1">
      <alignment horizontal="center" vertical="center"/>
      <protection hidden="1"/>
    </xf>
    <xf numFmtId="0" fontId="27" fillId="10" borderId="14" xfId="0" applyFont="1" applyFill="1" applyBorder="1" applyAlignment="1">
      <alignment horizontal="center" vertical="center" textRotation="90"/>
    </xf>
    <xf numFmtId="0" fontId="27" fillId="10" borderId="15" xfId="0" applyFont="1" applyFill="1" applyBorder="1" applyAlignment="1">
      <alignment horizontal="center" vertical="center" textRotation="90"/>
    </xf>
    <xf numFmtId="0" fontId="19" fillId="3" borderId="32" xfId="2" applyFont="1" applyFill="1" applyBorder="1" applyAlignment="1">
      <alignment horizontal="center" vertical="center" wrapText="1"/>
    </xf>
    <xf numFmtId="0" fontId="19" fillId="3" borderId="33" xfId="2" applyFont="1" applyFill="1" applyBorder="1" applyAlignment="1">
      <alignment horizontal="center" vertical="center" wrapText="1"/>
    </xf>
    <xf numFmtId="0" fontId="23" fillId="6" borderId="14" xfId="0" applyFont="1" applyFill="1" applyBorder="1" applyAlignment="1">
      <alignment horizontal="center" vertical="center" textRotation="90" wrapText="1"/>
    </xf>
    <xf numFmtId="0" fontId="23" fillId="6" borderId="15" xfId="0" applyFont="1" applyFill="1" applyBorder="1" applyAlignment="1">
      <alignment horizontal="center" vertical="center" textRotation="90" wrapText="1"/>
    </xf>
    <xf numFmtId="0" fontId="23" fillId="6" borderId="16" xfId="0" applyFont="1" applyFill="1" applyBorder="1" applyAlignment="1">
      <alignment horizontal="center" vertical="center" textRotation="90" wrapText="1"/>
    </xf>
    <xf numFmtId="0" fontId="19" fillId="2" borderId="37" xfId="2" applyFont="1" applyFill="1" applyBorder="1" applyAlignment="1">
      <alignment horizontal="center" vertical="center" wrapText="1"/>
    </xf>
    <xf numFmtId="0" fontId="19" fillId="2" borderId="83" xfId="2" applyFont="1" applyFill="1" applyBorder="1" applyAlignment="1">
      <alignment horizontal="center" vertical="center" wrapText="1"/>
    </xf>
    <xf numFmtId="0" fontId="19" fillId="2" borderId="38" xfId="2" applyFont="1" applyFill="1" applyBorder="1" applyAlignment="1">
      <alignment horizontal="center" vertical="center" wrapText="1"/>
    </xf>
    <xf numFmtId="0" fontId="19" fillId="2" borderId="39" xfId="2" applyFont="1" applyFill="1" applyBorder="1" applyAlignment="1">
      <alignment horizontal="center" vertical="center" wrapText="1"/>
    </xf>
    <xf numFmtId="0" fontId="19" fillId="2" borderId="40" xfId="2" applyFont="1" applyFill="1" applyBorder="1" applyAlignment="1">
      <alignment horizontal="center" vertical="center" wrapText="1"/>
    </xf>
    <xf numFmtId="0" fontId="19" fillId="2" borderId="42" xfId="2" applyFont="1" applyFill="1" applyBorder="1" applyAlignment="1">
      <alignment horizontal="center" vertical="center" wrapText="1"/>
    </xf>
    <xf numFmtId="0" fontId="19" fillId="2" borderId="41" xfId="2" applyFont="1" applyFill="1" applyBorder="1" applyAlignment="1">
      <alignment horizontal="center" vertical="center" wrapText="1"/>
    </xf>
    <xf numFmtId="0" fontId="19" fillId="2" borderId="43" xfId="2" applyFont="1" applyFill="1" applyBorder="1" applyAlignment="1">
      <alignment horizontal="center" vertical="center" wrapText="1"/>
    </xf>
    <xf numFmtId="0" fontId="6" fillId="2" borderId="24"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5" xfId="0" applyFont="1" applyFill="1" applyBorder="1" applyAlignment="1">
      <alignment horizontal="center" vertical="center"/>
    </xf>
    <xf numFmtId="49" fontId="49" fillId="4" borderId="91" xfId="0" applyNumberFormat="1" applyFont="1" applyFill="1" applyBorder="1" applyAlignment="1">
      <alignment horizontal="left" vertical="center" wrapText="1"/>
    </xf>
    <xf numFmtId="49" fontId="49" fillId="4" borderId="3" xfId="0" applyNumberFormat="1" applyFont="1" applyFill="1" applyBorder="1" applyAlignment="1">
      <alignment horizontal="left" vertical="center" wrapText="1"/>
    </xf>
    <xf numFmtId="49" fontId="49" fillId="4" borderId="92" xfId="0" applyNumberFormat="1" applyFont="1" applyFill="1" applyBorder="1" applyAlignment="1">
      <alignment horizontal="left" vertical="center" wrapText="1"/>
    </xf>
    <xf numFmtId="49" fontId="49" fillId="4" borderId="4" xfId="0" applyNumberFormat="1" applyFont="1" applyFill="1" applyBorder="1" applyAlignment="1">
      <alignment horizontal="left" vertical="center" wrapText="1"/>
    </xf>
    <xf numFmtId="0" fontId="51" fillId="2" borderId="7" xfId="0" applyFont="1" applyFill="1" applyBorder="1" applyAlignment="1">
      <alignment horizontal="center" vertical="center" wrapText="1"/>
    </xf>
    <xf numFmtId="0" fontId="51" fillId="2" borderId="6" xfId="0" applyFont="1" applyFill="1" applyBorder="1" applyAlignment="1">
      <alignment horizontal="center" vertical="center" wrapText="1"/>
    </xf>
    <xf numFmtId="0" fontId="56" fillId="4" borderId="3" xfId="0" applyFont="1" applyFill="1" applyBorder="1" applyAlignment="1" applyProtection="1">
      <alignment horizontal="center" vertical="center"/>
      <protection locked="0"/>
    </xf>
    <xf numFmtId="164" fontId="56" fillId="4" borderId="22" xfId="0" applyNumberFormat="1" applyFont="1" applyFill="1" applyBorder="1" applyAlignment="1" applyProtection="1">
      <alignment horizontal="center" vertical="center"/>
      <protection locked="0"/>
    </xf>
    <xf numFmtId="164" fontId="56" fillId="4" borderId="23" xfId="0" applyNumberFormat="1" applyFont="1" applyFill="1" applyBorder="1" applyAlignment="1" applyProtection="1">
      <alignment horizontal="center" vertical="center"/>
      <protection locked="0"/>
    </xf>
    <xf numFmtId="164" fontId="56" fillId="4" borderId="9" xfId="0" applyNumberFormat="1" applyFont="1" applyFill="1" applyBorder="1" applyAlignment="1" applyProtection="1">
      <alignment horizontal="center" vertical="center"/>
      <protection locked="0"/>
    </xf>
    <xf numFmtId="0" fontId="52" fillId="2" borderId="24" xfId="0" applyFont="1" applyFill="1" applyBorder="1" applyAlignment="1">
      <alignment horizontal="center" vertical="center" wrapText="1"/>
    </xf>
    <xf numFmtId="0" fontId="52" fillId="2" borderId="1" xfId="0" applyFont="1" applyFill="1" applyBorder="1" applyAlignment="1">
      <alignment horizontal="center" vertical="center" wrapText="1"/>
    </xf>
    <xf numFmtId="0" fontId="52" fillId="2" borderId="25" xfId="0" applyFont="1" applyFill="1" applyBorder="1" applyAlignment="1">
      <alignment horizontal="center" vertical="center" wrapText="1"/>
    </xf>
    <xf numFmtId="0" fontId="9" fillId="2" borderId="27" xfId="0" applyFont="1" applyFill="1" applyBorder="1" applyAlignment="1">
      <alignment horizontal="center" vertical="center"/>
    </xf>
    <xf numFmtId="0" fontId="9" fillId="2" borderId="28" xfId="0" applyFont="1" applyFill="1" applyBorder="1" applyAlignment="1">
      <alignment horizontal="center" vertical="center"/>
    </xf>
    <xf numFmtId="0" fontId="9" fillId="2" borderId="29" xfId="0" applyFont="1" applyFill="1" applyBorder="1" applyAlignment="1">
      <alignment horizontal="center" vertical="center"/>
    </xf>
    <xf numFmtId="49" fontId="49" fillId="4" borderId="90" xfId="0" applyNumberFormat="1" applyFont="1" applyFill="1" applyBorder="1" applyAlignment="1">
      <alignment horizontal="left" vertical="center" wrapText="1"/>
    </xf>
    <xf numFmtId="49" fontId="49" fillId="4" borderId="2" xfId="0" applyNumberFormat="1" applyFont="1" applyFill="1" applyBorder="1" applyAlignment="1">
      <alignment horizontal="left" vertical="center" wrapText="1"/>
    </xf>
    <xf numFmtId="49" fontId="0" fillId="4" borderId="2" xfId="0" applyNumberFormat="1" applyFill="1" applyBorder="1" applyAlignment="1" applyProtection="1">
      <alignment horizontal="center" vertical="top" wrapText="1"/>
      <protection locked="0"/>
    </xf>
    <xf numFmtId="49" fontId="0" fillId="4" borderId="84" xfId="0" applyNumberFormat="1" applyFill="1" applyBorder="1" applyAlignment="1" applyProtection="1">
      <alignment horizontal="center" vertical="top" wrapText="1"/>
      <protection locked="0"/>
    </xf>
    <xf numFmtId="49" fontId="0" fillId="4" borderId="3" xfId="0" applyNumberFormat="1" applyFill="1" applyBorder="1" applyAlignment="1" applyProtection="1">
      <alignment horizontal="center" vertical="top" wrapText="1"/>
      <protection locked="0"/>
    </xf>
    <xf numFmtId="49" fontId="0" fillId="4" borderId="85" xfId="0" applyNumberFormat="1" applyFill="1" applyBorder="1" applyAlignment="1" applyProtection="1">
      <alignment horizontal="center" vertical="top" wrapText="1"/>
      <protection locked="0"/>
    </xf>
    <xf numFmtId="49" fontId="0" fillId="4" borderId="4" xfId="0" applyNumberFormat="1" applyFill="1" applyBorder="1" applyAlignment="1" applyProtection="1">
      <alignment horizontal="center" vertical="top" wrapText="1"/>
      <protection locked="0"/>
    </xf>
    <xf numFmtId="49" fontId="0" fillId="4" borderId="86" xfId="0" applyNumberFormat="1" applyFill="1" applyBorder="1" applyAlignment="1" applyProtection="1">
      <alignment horizontal="center" vertical="top" wrapText="1"/>
      <protection locked="0"/>
    </xf>
    <xf numFmtId="0" fontId="0" fillId="0" borderId="24" xfId="0" applyBorder="1" applyAlignment="1" applyProtection="1">
      <alignment horizontal="center"/>
      <protection locked="0"/>
    </xf>
    <xf numFmtId="0" fontId="0" fillId="0" borderId="1" xfId="0" applyBorder="1" applyAlignment="1" applyProtection="1">
      <alignment horizontal="center"/>
      <protection locked="0"/>
    </xf>
    <xf numFmtId="0" fontId="0" fillId="0" borderId="25" xfId="0" applyBorder="1" applyAlignment="1" applyProtection="1">
      <alignment horizontal="center"/>
      <protection locked="0"/>
    </xf>
    <xf numFmtId="0" fontId="52" fillId="12" borderId="0" xfId="0" applyFont="1" applyFill="1" applyAlignment="1">
      <alignment horizontal="center" vertical="center" wrapText="1"/>
    </xf>
    <xf numFmtId="0" fontId="57" fillId="0" borderId="24" xfId="0" applyFont="1" applyBorder="1" applyAlignment="1" applyProtection="1">
      <alignment horizontal="center" vertical="center"/>
      <protection locked="0"/>
    </xf>
    <xf numFmtId="0" fontId="57" fillId="0" borderId="1" xfId="0" applyFont="1" applyBorder="1" applyAlignment="1" applyProtection="1">
      <alignment horizontal="center" vertical="center"/>
      <protection locked="0"/>
    </xf>
    <xf numFmtId="0" fontId="57" fillId="0" borderId="25" xfId="0" applyFont="1" applyBorder="1" applyAlignment="1" applyProtection="1">
      <alignment horizontal="center" vertical="center"/>
      <protection locked="0"/>
    </xf>
    <xf numFmtId="0" fontId="0" fillId="0" borderId="73" xfId="0" applyBorder="1" applyAlignment="1">
      <alignment horizontal="center"/>
    </xf>
    <xf numFmtId="0" fontId="0" fillId="0" borderId="1" xfId="0" applyBorder="1" applyAlignment="1">
      <alignment horizontal="center"/>
    </xf>
  </cellXfs>
  <cellStyles count="7">
    <cellStyle name="Millares [0] 2" xfId="6"/>
    <cellStyle name="Millares [0] 3" xfId="5"/>
    <cellStyle name="Normal" xfId="0" builtinId="0"/>
    <cellStyle name="Normal - Style1 2" xfId="3"/>
    <cellStyle name="Normal 2" xfId="2"/>
    <cellStyle name="Normal 2 2" xfId="4"/>
    <cellStyle name="Porcentaje" xfId="1" builtinId="5"/>
  </cellStyles>
  <dxfs count="20">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1050132</xdr:colOff>
      <xdr:row>0</xdr:row>
      <xdr:rowOff>66818</xdr:rowOff>
    </xdr:from>
    <xdr:to>
      <xdr:col>7</xdr:col>
      <xdr:colOff>726282</xdr:colOff>
      <xdr:row>11</xdr:row>
      <xdr:rowOff>47624</xdr:rowOff>
    </xdr:to>
    <xdr:pic>
      <xdr:nvPicPr>
        <xdr:cNvPr id="2" name="Imagen 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7169945" y="66818"/>
          <a:ext cx="3676650" cy="23382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281667</xdr:colOff>
      <xdr:row>7</xdr:row>
      <xdr:rowOff>102768</xdr:rowOff>
    </xdr:from>
    <xdr:to>
      <xdr:col>6</xdr:col>
      <xdr:colOff>595313</xdr:colOff>
      <xdr:row>14</xdr:row>
      <xdr:rowOff>55289</xdr:rowOff>
    </xdr:to>
    <xdr:pic>
      <xdr:nvPicPr>
        <xdr:cNvPr id="4" name="Imagen 3">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4567917" y="2037534"/>
          <a:ext cx="3959935" cy="23486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esktop/cesar/HISTORICOS/2020-04-22_Formato_informe_sci_parametrizado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Definiciones"/>
      <sheetName val="Ambiente de Control"/>
      <sheetName val="Evaluación de riesgos"/>
      <sheetName val="Actividades de control"/>
      <sheetName val="Info y Comunicación"/>
      <sheetName val="Actividades de Monitoreo"/>
      <sheetName val="Analisis de Resultados"/>
      <sheetName val="Conclusiones"/>
      <sheetName val="Hoja1"/>
      <sheetName val="Hoja4"/>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topLeftCell="A3" zoomScale="90" zoomScaleNormal="90" workbookViewId="0">
      <selection activeCell="B6" sqref="B6:H7"/>
    </sheetView>
  </sheetViews>
  <sheetFormatPr baseColWidth="10" defaultColWidth="0" defaultRowHeight="12.75" zeroHeight="1" x14ac:dyDescent="0.2"/>
  <cols>
    <col min="1" max="1" width="3.85546875" style="42" customWidth="1"/>
    <col min="2" max="2" width="15.28515625" style="42" customWidth="1"/>
    <col min="3" max="3" width="17.28515625" style="42" customWidth="1"/>
    <col min="4" max="4" width="28.5703125" style="42" customWidth="1"/>
    <col min="5" max="5" width="12.85546875" style="42" customWidth="1"/>
    <col min="6" max="6" width="47.140625" style="42" customWidth="1"/>
    <col min="7" max="7" width="21.42578125" style="42" customWidth="1"/>
    <col min="8" max="8" width="6.5703125" style="42" customWidth="1"/>
    <col min="9" max="9" width="2.5703125" style="42" customWidth="1"/>
    <col min="10" max="16384" width="11.42578125" style="42" hidden="1"/>
  </cols>
  <sheetData>
    <row r="1" spans="2:8" ht="13.5" thickBot="1" x14ac:dyDescent="0.25"/>
    <row r="2" spans="2:8" ht="73.5" customHeight="1" x14ac:dyDescent="0.2">
      <c r="B2" s="157" t="s">
        <v>0</v>
      </c>
      <c r="C2" s="158"/>
      <c r="D2" s="158"/>
      <c r="E2" s="158"/>
      <c r="F2" s="158"/>
      <c r="G2" s="158"/>
      <c r="H2" s="159"/>
    </row>
    <row r="3" spans="2:8" ht="65.25" customHeight="1" x14ac:dyDescent="0.2">
      <c r="B3" s="160" t="s">
        <v>1</v>
      </c>
      <c r="C3" s="161"/>
      <c r="D3" s="161"/>
      <c r="E3" s="161"/>
      <c r="F3" s="161"/>
      <c r="G3" s="161"/>
      <c r="H3" s="162"/>
    </row>
    <row r="4" spans="2:8" ht="82.5" customHeight="1" x14ac:dyDescent="0.2">
      <c r="B4" s="160"/>
      <c r="C4" s="161"/>
      <c r="D4" s="161"/>
      <c r="E4" s="161"/>
      <c r="F4" s="161"/>
      <c r="G4" s="161"/>
      <c r="H4" s="162"/>
    </row>
    <row r="5" spans="2:8" ht="21.75" customHeight="1" x14ac:dyDescent="0.2">
      <c r="B5" s="163" t="s">
        <v>2</v>
      </c>
      <c r="C5" s="164"/>
      <c r="D5" s="164"/>
      <c r="E5" s="164"/>
      <c r="F5" s="164"/>
      <c r="G5" s="164"/>
      <c r="H5" s="165"/>
    </row>
    <row r="6" spans="2:8" ht="42" customHeight="1" x14ac:dyDescent="0.2">
      <c r="B6" s="166" t="s">
        <v>3</v>
      </c>
      <c r="C6" s="167"/>
      <c r="D6" s="167"/>
      <c r="E6" s="167"/>
      <c r="F6" s="167"/>
      <c r="G6" s="167"/>
      <c r="H6" s="168"/>
    </row>
    <row r="7" spans="2:8" ht="14.25" customHeight="1" x14ac:dyDescent="0.2">
      <c r="B7" s="166"/>
      <c r="C7" s="167"/>
      <c r="D7" s="167"/>
      <c r="E7" s="167"/>
      <c r="F7" s="167"/>
      <c r="G7" s="167"/>
      <c r="H7" s="168"/>
    </row>
    <row r="8" spans="2:8" ht="12.75" customHeight="1" thickBot="1" x14ac:dyDescent="0.25">
      <c r="B8" s="54"/>
      <c r="C8" s="48"/>
      <c r="D8" s="63"/>
      <c r="E8" s="64"/>
      <c r="F8" s="64"/>
      <c r="G8" s="62"/>
      <c r="H8" s="56"/>
    </row>
    <row r="9" spans="2:8" ht="21" customHeight="1" thickTop="1" x14ac:dyDescent="0.2">
      <c r="B9" s="54"/>
      <c r="C9" s="169" t="s">
        <v>4</v>
      </c>
      <c r="D9" s="170"/>
      <c r="E9" s="171" t="s">
        <v>5</v>
      </c>
      <c r="F9" s="172"/>
      <c r="G9" s="48"/>
      <c r="H9" s="56"/>
    </row>
    <row r="10" spans="2:8" ht="37.5" customHeight="1" x14ac:dyDescent="0.2">
      <c r="B10" s="54"/>
      <c r="C10" s="173" t="s">
        <v>6</v>
      </c>
      <c r="D10" s="174"/>
      <c r="E10" s="175" t="s">
        <v>7</v>
      </c>
      <c r="F10" s="176"/>
      <c r="G10" s="48"/>
      <c r="H10" s="56"/>
    </row>
    <row r="11" spans="2:8" ht="39.75" customHeight="1" x14ac:dyDescent="0.2">
      <c r="B11" s="54"/>
      <c r="C11" s="177" t="s">
        <v>8</v>
      </c>
      <c r="D11" s="178"/>
      <c r="E11" s="179" t="s">
        <v>9</v>
      </c>
      <c r="F11" s="180"/>
      <c r="G11" s="48"/>
      <c r="H11" s="56"/>
    </row>
    <row r="12" spans="2:8" ht="59.25" customHeight="1" x14ac:dyDescent="0.2">
      <c r="B12" s="54"/>
      <c r="C12" s="177" t="s">
        <v>10</v>
      </c>
      <c r="D12" s="178"/>
      <c r="E12" s="181" t="s">
        <v>11</v>
      </c>
      <c r="F12" s="182"/>
      <c r="G12" s="48"/>
      <c r="H12" s="56"/>
    </row>
    <row r="13" spans="2:8" ht="33.75" customHeight="1" x14ac:dyDescent="0.2">
      <c r="B13" s="54"/>
      <c r="C13" s="187" t="s">
        <v>12</v>
      </c>
      <c r="D13" s="188"/>
      <c r="E13" s="179" t="s">
        <v>13</v>
      </c>
      <c r="F13" s="180"/>
      <c r="G13" s="48"/>
      <c r="H13" s="56"/>
    </row>
    <row r="14" spans="2:8" ht="19.5" customHeight="1" x14ac:dyDescent="0.2">
      <c r="B14" s="54"/>
      <c r="C14" s="60"/>
      <c r="D14" s="60"/>
      <c r="E14" s="61"/>
      <c r="F14" s="61"/>
      <c r="G14" s="48"/>
      <c r="H14" s="56"/>
    </row>
    <row r="15" spans="2:8" ht="37.5" customHeight="1" thickBot="1" x14ac:dyDescent="0.25">
      <c r="B15" s="183" t="s">
        <v>14</v>
      </c>
      <c r="C15" s="184"/>
      <c r="D15" s="184"/>
      <c r="E15" s="184"/>
      <c r="F15" s="184"/>
      <c r="G15" s="184"/>
      <c r="H15" s="185"/>
    </row>
    <row r="16" spans="2:8" ht="27.75" customHeight="1" thickBot="1" x14ac:dyDescent="0.25">
      <c r="B16" s="54"/>
      <c r="C16" s="189" t="s">
        <v>15</v>
      </c>
      <c r="D16" s="190"/>
      <c r="E16" s="190" t="s">
        <v>16</v>
      </c>
      <c r="F16" s="201"/>
      <c r="G16" s="48"/>
      <c r="H16" s="56"/>
    </row>
    <row r="17" spans="2:8" ht="27.75" customHeight="1" x14ac:dyDescent="0.2">
      <c r="B17" s="54"/>
      <c r="C17" s="202" t="s">
        <v>17</v>
      </c>
      <c r="D17" s="203"/>
      <c r="E17" s="204" t="s">
        <v>18</v>
      </c>
      <c r="F17" s="205"/>
      <c r="G17" s="93"/>
      <c r="H17" s="56"/>
    </row>
    <row r="18" spans="2:8" ht="41.25" customHeight="1" x14ac:dyDescent="0.2">
      <c r="B18" s="54"/>
      <c r="C18" s="191" t="s">
        <v>19</v>
      </c>
      <c r="D18" s="192"/>
      <c r="E18" s="193" t="s">
        <v>20</v>
      </c>
      <c r="F18" s="194"/>
      <c r="G18" s="94"/>
      <c r="H18" s="56"/>
    </row>
    <row r="19" spans="2:8" ht="37.5" customHeight="1" thickBot="1" x14ac:dyDescent="0.25">
      <c r="B19" s="54"/>
      <c r="C19" s="195" t="s">
        <v>21</v>
      </c>
      <c r="D19" s="196"/>
      <c r="E19" s="197" t="s">
        <v>22</v>
      </c>
      <c r="F19" s="198"/>
      <c r="G19" s="94"/>
      <c r="H19" s="56"/>
    </row>
    <row r="20" spans="2:8" ht="11.25" customHeight="1" x14ac:dyDescent="0.2">
      <c r="B20" s="49"/>
      <c r="C20" s="50"/>
      <c r="D20" s="50"/>
      <c r="E20" s="50"/>
      <c r="F20" s="50"/>
      <c r="G20" s="50"/>
      <c r="H20" s="51"/>
    </row>
    <row r="21" spans="2:8" ht="14.25" customHeight="1" x14ac:dyDescent="0.2">
      <c r="B21" s="52"/>
      <c r="C21" s="199"/>
      <c r="D21" s="199"/>
      <c r="E21" s="200"/>
      <c r="F21" s="200"/>
      <c r="G21" s="200"/>
      <c r="H21" s="53"/>
    </row>
    <row r="22" spans="2:8" ht="36" customHeight="1" x14ac:dyDescent="0.2">
      <c r="B22" s="183" t="s">
        <v>23</v>
      </c>
      <c r="C22" s="184"/>
      <c r="D22" s="184"/>
      <c r="E22" s="184"/>
      <c r="F22" s="184"/>
      <c r="G22" s="184"/>
      <c r="H22" s="185"/>
    </row>
    <row r="23" spans="2:8" ht="13.5" x14ac:dyDescent="0.2">
      <c r="B23" s="54"/>
      <c r="C23" s="55"/>
      <c r="D23" s="55"/>
      <c r="E23" s="186"/>
      <c r="F23" s="186"/>
      <c r="G23" s="48"/>
      <c r="H23" s="56"/>
    </row>
    <row r="24" spans="2:8" ht="13.5" thickBot="1" x14ac:dyDescent="0.25">
      <c r="B24" s="57"/>
      <c r="C24" s="58"/>
      <c r="D24" s="58"/>
      <c r="E24" s="58"/>
      <c r="F24" s="58"/>
      <c r="G24" s="58"/>
      <c r="H24" s="59"/>
    </row>
    <row r="25" spans="2:8" x14ac:dyDescent="0.2"/>
    <row r="26" spans="2:8" ht="29.25" customHeight="1" x14ac:dyDescent="0.2"/>
    <row r="27" spans="2:8" ht="26.25" customHeight="1" x14ac:dyDescent="0.2"/>
    <row r="28" spans="2:8" ht="43.5" customHeight="1" x14ac:dyDescent="0.2"/>
    <row r="29" spans="2:8" ht="53.25" customHeight="1" x14ac:dyDescent="0.2"/>
    <row r="30" spans="2:8" x14ac:dyDescent="0.2"/>
    <row r="31" spans="2:8" x14ac:dyDescent="0.2"/>
    <row r="32" spans="2:8" x14ac:dyDescent="0.2"/>
    <row r="33" x14ac:dyDescent="0.2"/>
    <row r="34" x14ac:dyDescent="0.2"/>
    <row r="35"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x14ac:dyDescent="0.2"/>
    <row r="52" x14ac:dyDescent="0.2"/>
    <row r="54" x14ac:dyDescent="0.2"/>
  </sheetData>
  <sheetProtection algorithmName="SHA-512" hashValue="t7sIeOvFa2bhukBsHVcHmO5gG9cifT20ZR8W/o5PL1FLs7w8K+KkEm6wLVbMVfYFM8W9luBRuNKu+qdhAWPM7w==" saltValue="H/shNuEdnFDauevCofk8Sw==" spinCount="100000" sheet="1" objects="1" scenarios="1"/>
  <mergeCells count="27">
    <mergeCell ref="B22:H22"/>
    <mergeCell ref="E23:F23"/>
    <mergeCell ref="C13:D13"/>
    <mergeCell ref="E13:F13"/>
    <mergeCell ref="C16:D16"/>
    <mergeCell ref="C18:D18"/>
    <mergeCell ref="E18:F18"/>
    <mergeCell ref="C19:D19"/>
    <mergeCell ref="E19:F19"/>
    <mergeCell ref="C21:D21"/>
    <mergeCell ref="E21:G21"/>
    <mergeCell ref="B15:H15"/>
    <mergeCell ref="E16:F16"/>
    <mergeCell ref="C17:D17"/>
    <mergeCell ref="E17:F17"/>
    <mergeCell ref="C10:D10"/>
    <mergeCell ref="E10:F10"/>
    <mergeCell ref="C11:D11"/>
    <mergeCell ref="E11:F11"/>
    <mergeCell ref="C12:D12"/>
    <mergeCell ref="E12:F12"/>
    <mergeCell ref="B2:H2"/>
    <mergeCell ref="B3:H4"/>
    <mergeCell ref="B5:H5"/>
    <mergeCell ref="B6:H7"/>
    <mergeCell ref="C9:D9"/>
    <mergeCell ref="E9:F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9"/>
  <sheetViews>
    <sheetView showGridLines="0" tabSelected="1" topLeftCell="B1" zoomScale="80" zoomScaleNormal="80" workbookViewId="0">
      <selection activeCell="D15" sqref="D15"/>
    </sheetView>
  </sheetViews>
  <sheetFormatPr baseColWidth="10" defaultColWidth="11.42578125" defaultRowHeight="16.5" x14ac:dyDescent="0.3"/>
  <cols>
    <col min="1" max="1" width="3" style="44" hidden="1" customWidth="1"/>
    <col min="2" max="2" width="9.42578125" style="44" customWidth="1"/>
    <col min="3" max="3" width="25.5703125" style="44" customWidth="1"/>
    <col min="4" max="4" width="46.5703125" style="44" customWidth="1"/>
    <col min="5" max="5" width="10.140625" style="66" customWidth="1"/>
    <col min="6" max="6" width="44.5703125" style="66" customWidth="1"/>
    <col min="7" max="7" width="15.42578125" style="44" customWidth="1"/>
    <col min="8" max="9" width="43" style="44" customWidth="1"/>
    <col min="10" max="12" width="11.42578125" style="69" customWidth="1"/>
    <col min="13" max="24" width="11.42578125" style="44" customWidth="1"/>
    <col min="25" max="16384" width="11.42578125" style="44"/>
  </cols>
  <sheetData>
    <row r="1" spans="1:32" x14ac:dyDescent="0.3">
      <c r="B1" s="43"/>
      <c r="C1" s="43"/>
      <c r="D1" s="43"/>
      <c r="E1" s="65"/>
      <c r="F1" s="65"/>
      <c r="G1" s="43"/>
      <c r="H1" s="43"/>
      <c r="I1" s="43"/>
      <c r="J1" s="67"/>
      <c r="K1" s="67"/>
      <c r="L1" s="67"/>
      <c r="M1" s="43"/>
      <c r="N1" s="43"/>
      <c r="O1" s="43"/>
      <c r="P1" s="43"/>
      <c r="Q1" s="43"/>
      <c r="R1" s="43"/>
      <c r="S1" s="43"/>
      <c r="T1" s="43"/>
      <c r="U1" s="43"/>
      <c r="V1" s="43"/>
      <c r="W1" s="43"/>
      <c r="X1" s="43"/>
    </row>
    <row r="2" spans="1:32" x14ac:dyDescent="0.3">
      <c r="B2" s="43"/>
      <c r="C2" s="43"/>
      <c r="D2" s="43"/>
      <c r="E2" s="65"/>
      <c r="F2" s="65"/>
      <c r="G2" s="43"/>
      <c r="H2" s="43"/>
      <c r="I2" s="43"/>
      <c r="J2" s="67"/>
      <c r="K2" s="67"/>
      <c r="L2" s="67"/>
      <c r="M2" s="43"/>
      <c r="N2" s="43"/>
      <c r="O2" s="43"/>
      <c r="P2" s="43"/>
      <c r="Q2" s="43"/>
      <c r="R2" s="43"/>
      <c r="S2" s="43"/>
      <c r="T2" s="43"/>
      <c r="U2" s="43"/>
      <c r="V2" s="43"/>
      <c r="W2" s="43"/>
      <c r="X2" s="43"/>
    </row>
    <row r="3" spans="1:32" x14ac:dyDescent="0.3">
      <c r="B3" s="43"/>
      <c r="C3" s="43"/>
      <c r="D3" s="43"/>
      <c r="E3" s="65"/>
      <c r="F3" s="65"/>
      <c r="G3" s="43"/>
      <c r="H3" s="43"/>
      <c r="I3" s="43"/>
      <c r="J3" s="67"/>
      <c r="K3" s="67"/>
      <c r="L3" s="67"/>
      <c r="M3" s="43"/>
      <c r="N3" s="43"/>
      <c r="O3" s="43"/>
      <c r="P3" s="43"/>
      <c r="Q3" s="43"/>
      <c r="R3" s="43"/>
      <c r="S3" s="43"/>
      <c r="T3" s="43"/>
      <c r="U3" s="43"/>
      <c r="V3" s="43"/>
      <c r="W3" s="43"/>
      <c r="X3" s="43"/>
    </row>
    <row r="4" spans="1:32" x14ac:dyDescent="0.3">
      <c r="B4" s="43"/>
      <c r="C4" s="43"/>
      <c r="D4" s="43"/>
      <c r="E4" s="65"/>
      <c r="F4" s="65"/>
      <c r="G4" s="43"/>
      <c r="H4" s="43"/>
      <c r="I4" s="43"/>
      <c r="J4" s="67"/>
      <c r="K4" s="67"/>
      <c r="L4" s="67"/>
      <c r="M4" s="43"/>
      <c r="N4" s="43"/>
      <c r="O4" s="43"/>
      <c r="P4" s="43"/>
      <c r="Q4" s="43"/>
      <c r="R4" s="43"/>
      <c r="S4" s="43"/>
      <c r="T4" s="43"/>
      <c r="U4" s="43"/>
      <c r="V4" s="43"/>
      <c r="W4" s="43"/>
      <c r="X4" s="43"/>
    </row>
    <row r="5" spans="1:32" x14ac:dyDescent="0.3">
      <c r="B5" s="43"/>
      <c r="C5" s="43"/>
      <c r="D5" s="43"/>
      <c r="E5" s="65"/>
      <c r="F5" s="65"/>
      <c r="G5" s="43"/>
      <c r="H5" s="43"/>
      <c r="I5" s="43"/>
      <c r="J5" s="67"/>
      <c r="K5" s="67"/>
      <c r="L5" s="67"/>
      <c r="M5" s="43"/>
      <c r="N5" s="43"/>
      <c r="O5" s="43"/>
      <c r="P5" s="43"/>
      <c r="Q5" s="43"/>
      <c r="R5" s="43"/>
      <c r="S5" s="43"/>
      <c r="T5" s="43"/>
      <c r="U5" s="43"/>
      <c r="V5" s="43"/>
      <c r="W5" s="43"/>
      <c r="X5" s="43"/>
    </row>
    <row r="6" spans="1:32" x14ac:dyDescent="0.3">
      <c r="B6" s="43"/>
      <c r="C6" s="43"/>
      <c r="D6" s="43"/>
      <c r="E6" s="65"/>
      <c r="F6" s="65"/>
      <c r="G6" s="43"/>
      <c r="H6" s="43"/>
      <c r="I6" s="43"/>
      <c r="J6" s="67"/>
      <c r="K6" s="67"/>
      <c r="L6" s="67"/>
      <c r="M6" s="43"/>
      <c r="N6" s="43"/>
      <c r="O6" s="43"/>
      <c r="P6" s="43"/>
      <c r="Q6" s="43"/>
      <c r="R6" s="43"/>
      <c r="S6" s="43"/>
      <c r="T6" s="43"/>
      <c r="U6" s="43"/>
      <c r="V6" s="43"/>
      <c r="W6" s="43"/>
      <c r="X6" s="43"/>
    </row>
    <row r="7" spans="1:32" x14ac:dyDescent="0.3">
      <c r="B7" s="43"/>
      <c r="C7" s="43"/>
      <c r="D7" s="43"/>
      <c r="E7" s="65"/>
      <c r="F7" s="65"/>
      <c r="G7" s="43"/>
      <c r="H7" s="43"/>
      <c r="I7" s="43"/>
      <c r="J7" s="67"/>
      <c r="K7" s="67"/>
      <c r="L7" s="67"/>
      <c r="M7" s="43"/>
      <c r="N7" s="43"/>
      <c r="O7" s="43"/>
      <c r="P7" s="43"/>
      <c r="Q7" s="43"/>
      <c r="R7" s="43"/>
      <c r="S7" s="43"/>
      <c r="T7" s="43"/>
      <c r="U7" s="43"/>
      <c r="V7" s="43"/>
      <c r="W7" s="43"/>
      <c r="X7" s="43"/>
    </row>
    <row r="8" spans="1:32" x14ac:dyDescent="0.3">
      <c r="B8" s="43"/>
      <c r="C8" s="43"/>
      <c r="D8" s="43"/>
      <c r="E8" s="65"/>
      <c r="F8" s="65"/>
      <c r="G8" s="43"/>
      <c r="H8" s="43"/>
      <c r="I8" s="43"/>
      <c r="J8" s="67"/>
      <c r="K8" s="67"/>
      <c r="L8" s="67"/>
      <c r="M8" s="43"/>
      <c r="N8" s="43"/>
      <c r="O8" s="43"/>
      <c r="P8" s="43"/>
      <c r="Q8" s="43"/>
      <c r="R8" s="43"/>
      <c r="S8" s="43"/>
      <c r="T8" s="43"/>
      <c r="U8" s="43"/>
      <c r="V8" s="43"/>
      <c r="W8" s="43"/>
      <c r="X8" s="43"/>
    </row>
    <row r="9" spans="1:32" x14ac:dyDescent="0.3">
      <c r="B9" s="43"/>
      <c r="C9" s="43"/>
      <c r="D9" s="43"/>
      <c r="E9" s="65"/>
      <c r="F9" s="65"/>
      <c r="G9" s="43"/>
      <c r="H9" s="43"/>
      <c r="I9" s="43"/>
      <c r="J9" s="67"/>
      <c r="K9" s="67"/>
      <c r="L9" s="67"/>
      <c r="M9" s="43"/>
      <c r="N9" s="43"/>
      <c r="O9" s="43"/>
      <c r="P9" s="43"/>
      <c r="Q9" s="43"/>
      <c r="R9" s="43"/>
      <c r="S9" s="43"/>
      <c r="T9" s="43"/>
      <c r="U9" s="43"/>
      <c r="V9" s="43"/>
      <c r="W9" s="43"/>
      <c r="X9" s="43"/>
    </row>
    <row r="10" spans="1:32" x14ac:dyDescent="0.3">
      <c r="B10" s="43"/>
      <c r="C10" s="43"/>
      <c r="D10" s="43"/>
      <c r="E10" s="65"/>
      <c r="F10" s="65"/>
      <c r="G10" s="43"/>
      <c r="H10" s="43"/>
      <c r="I10" s="43"/>
      <c r="J10" s="67"/>
      <c r="K10" s="67"/>
      <c r="L10" s="67"/>
      <c r="M10" s="43"/>
      <c r="N10" s="43"/>
      <c r="O10" s="43"/>
      <c r="P10" s="43"/>
      <c r="Q10" s="43"/>
      <c r="R10" s="43"/>
      <c r="S10" s="43"/>
      <c r="T10" s="43"/>
      <c r="U10" s="43"/>
      <c r="V10" s="43"/>
      <c r="W10" s="43"/>
      <c r="X10" s="43"/>
    </row>
    <row r="11" spans="1:32" x14ac:dyDescent="0.3">
      <c r="B11" s="43"/>
      <c r="C11" s="43"/>
      <c r="D11" s="43"/>
      <c r="E11" s="65"/>
      <c r="F11" s="65"/>
      <c r="G11" s="43"/>
      <c r="H11" s="43"/>
      <c r="I11" s="43"/>
      <c r="J11" s="67"/>
      <c r="K11" s="67"/>
      <c r="L11" s="67"/>
      <c r="M11" s="43"/>
      <c r="N11" s="43"/>
      <c r="O11" s="43"/>
      <c r="P11" s="43"/>
      <c r="Q11" s="43"/>
      <c r="R11" s="43"/>
      <c r="S11" s="43"/>
      <c r="T11" s="43"/>
      <c r="U11" s="43"/>
      <c r="V11" s="43"/>
      <c r="W11" s="43"/>
      <c r="X11" s="43"/>
    </row>
    <row r="12" spans="1:32" x14ac:dyDescent="0.3">
      <c r="B12" s="43"/>
      <c r="C12" s="43"/>
      <c r="D12" s="43"/>
      <c r="E12" s="65"/>
      <c r="F12" s="65"/>
      <c r="G12" s="43"/>
      <c r="H12" s="43"/>
      <c r="I12" s="43"/>
      <c r="J12" s="67"/>
      <c r="K12" s="67"/>
      <c r="L12" s="67"/>
      <c r="M12" s="43"/>
      <c r="N12" s="43"/>
      <c r="O12" s="43"/>
      <c r="P12" s="43"/>
      <c r="Q12" s="43"/>
      <c r="R12" s="43"/>
      <c r="S12" s="43"/>
      <c r="T12" s="43"/>
      <c r="U12" s="43"/>
      <c r="V12" s="43"/>
      <c r="W12" s="43"/>
      <c r="X12" s="43"/>
    </row>
    <row r="13" spans="1:32" x14ac:dyDescent="0.3">
      <c r="B13" s="43"/>
      <c r="C13" s="43"/>
      <c r="D13" s="43"/>
      <c r="E13" s="65"/>
      <c r="F13" s="65"/>
      <c r="G13" s="43"/>
      <c r="H13" s="43"/>
      <c r="I13" s="43"/>
      <c r="J13" s="67"/>
      <c r="K13" s="67"/>
      <c r="L13" s="67"/>
      <c r="M13" s="43"/>
      <c r="N13" s="43"/>
      <c r="O13" s="43"/>
      <c r="P13" s="43"/>
      <c r="Q13" s="43"/>
      <c r="R13" s="43"/>
      <c r="S13" s="43"/>
      <c r="T13" s="43"/>
      <c r="U13" s="43"/>
      <c r="V13" s="43"/>
      <c r="W13" s="43"/>
      <c r="X13" s="43"/>
    </row>
    <row r="14" spans="1:32" s="46" customFormat="1" ht="49.5" customHeight="1" x14ac:dyDescent="0.25">
      <c r="B14" s="237" t="s">
        <v>24</v>
      </c>
      <c r="C14" s="237"/>
      <c r="D14" s="237"/>
      <c r="E14" s="237"/>
      <c r="F14" s="237"/>
      <c r="G14" s="237"/>
      <c r="H14" s="237"/>
      <c r="I14" s="237"/>
      <c r="J14" s="68"/>
      <c r="K14" s="68"/>
      <c r="L14" s="68"/>
      <c r="M14" s="45"/>
      <c r="N14" s="45"/>
      <c r="O14" s="45"/>
      <c r="P14" s="45"/>
      <c r="Q14" s="45"/>
      <c r="R14" s="45"/>
      <c r="S14" s="45"/>
      <c r="T14" s="45"/>
      <c r="U14" s="45"/>
      <c r="V14" s="45"/>
      <c r="W14" s="45"/>
      <c r="X14" s="45"/>
      <c r="Y14" s="45"/>
      <c r="Z14" s="45"/>
      <c r="AA14" s="45"/>
      <c r="AB14" s="45"/>
      <c r="AC14" s="45"/>
      <c r="AD14" s="45"/>
      <c r="AE14" s="45"/>
      <c r="AF14" s="45"/>
    </row>
    <row r="15" spans="1:32" s="46" customFormat="1" ht="123.75" customHeight="1" thickBot="1" x14ac:dyDescent="0.3">
      <c r="B15" s="71" t="s">
        <v>25</v>
      </c>
      <c r="C15" s="71" t="s">
        <v>6</v>
      </c>
      <c r="D15" s="72" t="s">
        <v>8</v>
      </c>
      <c r="E15" s="73" t="s">
        <v>26</v>
      </c>
      <c r="F15" s="73" t="s">
        <v>27</v>
      </c>
      <c r="G15" s="73" t="s">
        <v>28</v>
      </c>
      <c r="H15" s="74" t="s">
        <v>29</v>
      </c>
      <c r="I15" s="73" t="s">
        <v>30</v>
      </c>
      <c r="J15" s="68"/>
      <c r="K15" s="68"/>
      <c r="L15" s="68"/>
      <c r="M15" s="45"/>
      <c r="N15" s="45"/>
      <c r="O15" s="45"/>
      <c r="P15" s="45"/>
      <c r="Q15" s="45"/>
      <c r="R15" s="45"/>
      <c r="S15" s="45"/>
      <c r="T15" s="45"/>
      <c r="U15" s="45"/>
      <c r="V15" s="45"/>
      <c r="W15" s="45"/>
      <c r="X15" s="45"/>
      <c r="Y15" s="45"/>
      <c r="Z15" s="45"/>
      <c r="AA15" s="45"/>
      <c r="AB15" s="45"/>
      <c r="AC15" s="45"/>
      <c r="AD15" s="45"/>
      <c r="AE15" s="45"/>
      <c r="AF15" s="45"/>
    </row>
    <row r="16" spans="1:32" s="46" customFormat="1" ht="71.25" customHeight="1" x14ac:dyDescent="0.25">
      <c r="A16" s="95" t="str">
        <f>1&amp;E16</f>
        <v>1a</v>
      </c>
      <c r="B16" s="248" t="s">
        <v>31</v>
      </c>
      <c r="C16" s="212" t="s">
        <v>32</v>
      </c>
      <c r="D16" s="245" t="s">
        <v>33</v>
      </c>
      <c r="E16" s="75" t="s">
        <v>34</v>
      </c>
      <c r="F16" s="76" t="s">
        <v>35</v>
      </c>
      <c r="G16" s="103" t="s">
        <v>38</v>
      </c>
      <c r="H16" s="152" t="s">
        <v>190</v>
      </c>
      <c r="I16" s="96" t="str">
        <f>+IF(G16="Si","Mantenimiento del control",IF(G16="En proceso","Oportunidad de mejora","Deficiencia de control"))</f>
        <v>Mantenimiento del control</v>
      </c>
      <c r="J16" s="97">
        <f t="shared" ref="J16:J27" si="0">+IF(G16="Si",20,IF(G16="En proceso",10,0))</f>
        <v>20</v>
      </c>
      <c r="K16" s="97">
        <v>0.123</v>
      </c>
      <c r="L16" s="97">
        <f>+J16+K16</f>
        <v>20.123000000000001</v>
      </c>
    </row>
    <row r="17" spans="1:32" s="46" customFormat="1" ht="140.25" x14ac:dyDescent="0.25">
      <c r="A17" s="95" t="str">
        <f t="shared" ref="A17:A27" si="1">1&amp;E17</f>
        <v>1b</v>
      </c>
      <c r="B17" s="249"/>
      <c r="C17" s="213"/>
      <c r="D17" s="246"/>
      <c r="E17" s="77" t="s">
        <v>36</v>
      </c>
      <c r="F17" s="78" t="s">
        <v>37</v>
      </c>
      <c r="G17" s="105" t="s">
        <v>38</v>
      </c>
      <c r="H17" s="150" t="s">
        <v>189</v>
      </c>
      <c r="I17" s="98" t="str">
        <f t="shared" ref="I17:I59" si="2">+IF(G17="Si","Mantenimiento del control",IF(G17="En proceso","Oportunidad de mejora","Deficiencia de control"))</f>
        <v>Mantenimiento del control</v>
      </c>
      <c r="J17" s="99">
        <f t="shared" si="0"/>
        <v>20</v>
      </c>
      <c r="K17" s="97">
        <v>0.1234</v>
      </c>
      <c r="L17" s="97">
        <f t="shared" ref="L17:L59" si="3">+J17+K17</f>
        <v>20.1234</v>
      </c>
    </row>
    <row r="18" spans="1:32" s="46" customFormat="1" ht="64.5" customHeight="1" x14ac:dyDescent="0.25">
      <c r="A18" s="95" t="str">
        <f t="shared" si="1"/>
        <v>1c</v>
      </c>
      <c r="B18" s="249"/>
      <c r="C18" s="213"/>
      <c r="D18" s="246"/>
      <c r="E18" s="77" t="s">
        <v>39</v>
      </c>
      <c r="F18" s="79" t="s">
        <v>40</v>
      </c>
      <c r="G18" s="105" t="s">
        <v>38</v>
      </c>
      <c r="H18" s="106" t="s">
        <v>191</v>
      </c>
      <c r="I18" s="100" t="str">
        <f t="shared" si="2"/>
        <v>Mantenimiento del control</v>
      </c>
      <c r="J18" s="99">
        <f t="shared" si="0"/>
        <v>20</v>
      </c>
      <c r="K18" s="97">
        <v>0.12345</v>
      </c>
      <c r="L18" s="97">
        <f t="shared" si="3"/>
        <v>20.123449999999998</v>
      </c>
    </row>
    <row r="19" spans="1:32" s="46" customFormat="1" ht="37.5" customHeight="1" x14ac:dyDescent="0.25">
      <c r="A19" s="95" t="str">
        <f t="shared" si="1"/>
        <v>1d</v>
      </c>
      <c r="B19" s="249"/>
      <c r="C19" s="213"/>
      <c r="D19" s="246"/>
      <c r="E19" s="77" t="s">
        <v>41</v>
      </c>
      <c r="F19" s="79" t="s">
        <v>42</v>
      </c>
      <c r="G19" s="105" t="s">
        <v>38</v>
      </c>
      <c r="H19" s="106" t="s">
        <v>192</v>
      </c>
      <c r="I19" s="100" t="str">
        <f t="shared" si="2"/>
        <v>Mantenimiento del control</v>
      </c>
      <c r="J19" s="99">
        <f t="shared" si="0"/>
        <v>20</v>
      </c>
      <c r="K19" s="97">
        <v>0.123456</v>
      </c>
      <c r="L19" s="97">
        <f t="shared" si="3"/>
        <v>20.123456000000001</v>
      </c>
    </row>
    <row r="20" spans="1:32" s="46" customFormat="1" ht="37.5" customHeight="1" x14ac:dyDescent="0.25">
      <c r="A20" s="95" t="str">
        <f t="shared" si="1"/>
        <v>1e</v>
      </c>
      <c r="B20" s="249"/>
      <c r="C20" s="213"/>
      <c r="D20" s="246"/>
      <c r="E20" s="77" t="s">
        <v>43</v>
      </c>
      <c r="F20" s="79" t="s">
        <v>44</v>
      </c>
      <c r="G20" s="105" t="s">
        <v>38</v>
      </c>
      <c r="H20" s="106" t="s">
        <v>193</v>
      </c>
      <c r="I20" s="100" t="str">
        <f t="shared" si="2"/>
        <v>Mantenimiento del control</v>
      </c>
      <c r="J20" s="99">
        <f t="shared" si="0"/>
        <v>20</v>
      </c>
      <c r="K20" s="97">
        <v>0.12345678</v>
      </c>
      <c r="L20" s="97">
        <f t="shared" si="3"/>
        <v>20.123456780000001</v>
      </c>
    </row>
    <row r="21" spans="1:32" s="46" customFormat="1" ht="63.75" customHeight="1" x14ac:dyDescent="0.25">
      <c r="A21" s="95" t="str">
        <f t="shared" si="1"/>
        <v>1f</v>
      </c>
      <c r="B21" s="249"/>
      <c r="C21" s="213"/>
      <c r="D21" s="246"/>
      <c r="E21" s="77" t="s">
        <v>45</v>
      </c>
      <c r="F21" s="79" t="s">
        <v>46</v>
      </c>
      <c r="G21" s="105" t="s">
        <v>38</v>
      </c>
      <c r="H21" s="151" t="s">
        <v>194</v>
      </c>
      <c r="I21" s="100" t="str">
        <f t="shared" si="2"/>
        <v>Mantenimiento del control</v>
      </c>
      <c r="J21" s="99">
        <f t="shared" si="0"/>
        <v>20</v>
      </c>
      <c r="K21" s="97">
        <v>0.123456789</v>
      </c>
      <c r="L21" s="97">
        <f t="shared" si="3"/>
        <v>20.123456788999999</v>
      </c>
    </row>
    <row r="22" spans="1:32" s="46" customFormat="1" ht="65.25" customHeight="1" x14ac:dyDescent="0.25">
      <c r="A22" s="95" t="str">
        <f t="shared" si="1"/>
        <v>1g</v>
      </c>
      <c r="B22" s="249"/>
      <c r="C22" s="213"/>
      <c r="D22" s="246"/>
      <c r="E22" s="77" t="s">
        <v>47</v>
      </c>
      <c r="F22" s="79" t="s">
        <v>48</v>
      </c>
      <c r="G22" s="105" t="s">
        <v>38</v>
      </c>
      <c r="H22" s="106" t="s">
        <v>205</v>
      </c>
      <c r="I22" s="100" t="str">
        <f t="shared" si="2"/>
        <v>Mantenimiento del control</v>
      </c>
      <c r="J22" s="99">
        <f t="shared" si="0"/>
        <v>20</v>
      </c>
      <c r="K22" s="97">
        <v>0.12345678910000001</v>
      </c>
      <c r="L22" s="97">
        <f t="shared" si="3"/>
        <v>20.1234567891</v>
      </c>
    </row>
    <row r="23" spans="1:32" s="46" customFormat="1" ht="62.25" customHeight="1" x14ac:dyDescent="0.25">
      <c r="A23" s="95" t="str">
        <f t="shared" si="1"/>
        <v>1h</v>
      </c>
      <c r="B23" s="249"/>
      <c r="C23" s="213"/>
      <c r="D23" s="246"/>
      <c r="E23" s="77" t="s">
        <v>49</v>
      </c>
      <c r="F23" s="79" t="s">
        <v>50</v>
      </c>
      <c r="G23" s="105" t="s">
        <v>38</v>
      </c>
      <c r="H23" s="106" t="s">
        <v>195</v>
      </c>
      <c r="I23" s="100" t="str">
        <f t="shared" si="2"/>
        <v>Mantenimiento del control</v>
      </c>
      <c r="J23" s="99">
        <f t="shared" si="0"/>
        <v>20</v>
      </c>
      <c r="K23" s="97">
        <v>0.12345678911999999</v>
      </c>
      <c r="L23" s="97">
        <f t="shared" si="3"/>
        <v>20.123456789119999</v>
      </c>
    </row>
    <row r="24" spans="1:32" s="46" customFormat="1" ht="57.75" customHeight="1" x14ac:dyDescent="0.25">
      <c r="A24" s="95" t="str">
        <f t="shared" si="1"/>
        <v>1i</v>
      </c>
      <c r="B24" s="249"/>
      <c r="C24" s="213"/>
      <c r="D24" s="246"/>
      <c r="E24" s="77" t="s">
        <v>51</v>
      </c>
      <c r="F24" s="79" t="s">
        <v>52</v>
      </c>
      <c r="G24" s="105" t="s">
        <v>38</v>
      </c>
      <c r="H24" s="106" t="s">
        <v>196</v>
      </c>
      <c r="I24" s="100" t="str">
        <f t="shared" si="2"/>
        <v>Mantenimiento del control</v>
      </c>
      <c r="J24" s="99">
        <f t="shared" si="0"/>
        <v>20</v>
      </c>
      <c r="K24" s="97">
        <v>0.123456789123</v>
      </c>
      <c r="L24" s="97">
        <f t="shared" si="3"/>
        <v>20.123456789123001</v>
      </c>
    </row>
    <row r="25" spans="1:32" s="46" customFormat="1" ht="52.5" customHeight="1" x14ac:dyDescent="0.25">
      <c r="A25" s="95" t="str">
        <f t="shared" si="1"/>
        <v>1j</v>
      </c>
      <c r="B25" s="249"/>
      <c r="C25" s="213"/>
      <c r="D25" s="246"/>
      <c r="E25" s="77" t="s">
        <v>53</v>
      </c>
      <c r="F25" s="79" t="s">
        <v>54</v>
      </c>
      <c r="G25" s="105" t="s">
        <v>38</v>
      </c>
      <c r="H25" s="106" t="s">
        <v>197</v>
      </c>
      <c r="I25" s="100" t="str">
        <f t="shared" si="2"/>
        <v>Mantenimiento del control</v>
      </c>
      <c r="J25" s="99">
        <f t="shared" si="0"/>
        <v>20</v>
      </c>
      <c r="K25" s="97">
        <v>0.1234567891234</v>
      </c>
      <c r="L25" s="97">
        <f t="shared" si="3"/>
        <v>20.123456789123399</v>
      </c>
    </row>
    <row r="26" spans="1:32" s="46" customFormat="1" ht="42" customHeight="1" x14ac:dyDescent="0.25">
      <c r="A26" s="95" t="str">
        <f t="shared" si="1"/>
        <v>1k</v>
      </c>
      <c r="B26" s="249"/>
      <c r="C26" s="213"/>
      <c r="D26" s="246"/>
      <c r="E26" s="77" t="s">
        <v>55</v>
      </c>
      <c r="F26" s="79" t="s">
        <v>56</v>
      </c>
      <c r="G26" s="105" t="s">
        <v>38</v>
      </c>
      <c r="H26" s="106" t="s">
        <v>212</v>
      </c>
      <c r="I26" s="100" t="str">
        <f t="shared" si="2"/>
        <v>Mantenimiento del control</v>
      </c>
      <c r="J26" s="99">
        <f t="shared" si="0"/>
        <v>20</v>
      </c>
      <c r="K26" s="97">
        <v>0.12345678912345</v>
      </c>
      <c r="L26" s="97">
        <f t="shared" si="3"/>
        <v>20.123456789123448</v>
      </c>
    </row>
    <row r="27" spans="1:32" s="46" customFormat="1" ht="99.75" thickBot="1" x14ac:dyDescent="0.3">
      <c r="A27" s="95" t="str">
        <f t="shared" si="1"/>
        <v>1l</v>
      </c>
      <c r="B27" s="250"/>
      <c r="C27" s="214"/>
      <c r="D27" s="247"/>
      <c r="E27" s="80" t="s">
        <v>57</v>
      </c>
      <c r="F27" s="81" t="s">
        <v>58</v>
      </c>
      <c r="G27" s="107" t="s">
        <v>38</v>
      </c>
      <c r="H27" s="108" t="s">
        <v>235</v>
      </c>
      <c r="I27" s="101" t="str">
        <f t="shared" si="2"/>
        <v>Mantenimiento del control</v>
      </c>
      <c r="J27" s="99">
        <f t="shared" si="0"/>
        <v>20</v>
      </c>
      <c r="K27" s="97">
        <v>0.12345678912345601</v>
      </c>
      <c r="L27" s="97">
        <f t="shared" si="3"/>
        <v>20.123456789123455</v>
      </c>
    </row>
    <row r="28" spans="1:32" s="46" customFormat="1" ht="44.25" customHeight="1" x14ac:dyDescent="0.25">
      <c r="A28" s="95" t="str">
        <f>2&amp;E28</f>
        <v>2a</v>
      </c>
      <c r="B28" s="251" t="s">
        <v>59</v>
      </c>
      <c r="C28" s="215" t="s">
        <v>60</v>
      </c>
      <c r="D28" s="254" t="s">
        <v>61</v>
      </c>
      <c r="E28" s="75" t="s">
        <v>34</v>
      </c>
      <c r="F28" s="76" t="s">
        <v>62</v>
      </c>
      <c r="G28" s="103" t="s">
        <v>38</v>
      </c>
      <c r="H28" s="104" t="s">
        <v>198</v>
      </c>
      <c r="I28" s="96" t="str">
        <f t="shared" si="2"/>
        <v>Mantenimiento del control</v>
      </c>
      <c r="J28" s="97">
        <f>+IF(G28="Si",40,IF(G28="En proceso",30,20))</f>
        <v>40</v>
      </c>
      <c r="K28" s="97">
        <v>0.23</v>
      </c>
      <c r="L28" s="97">
        <f t="shared" si="3"/>
        <v>40.229999999999997</v>
      </c>
    </row>
    <row r="29" spans="1:32" s="46" customFormat="1" ht="115.5" x14ac:dyDescent="0.25">
      <c r="A29" s="95" t="str">
        <f t="shared" ref="A29:A31" si="4">2&amp;E29</f>
        <v>2b</v>
      </c>
      <c r="B29" s="252"/>
      <c r="C29" s="216"/>
      <c r="D29" s="230"/>
      <c r="E29" s="77" t="s">
        <v>36</v>
      </c>
      <c r="F29" s="79" t="s">
        <v>63</v>
      </c>
      <c r="G29" s="105" t="s">
        <v>38</v>
      </c>
      <c r="H29" s="106" t="s">
        <v>199</v>
      </c>
      <c r="I29" s="100" t="str">
        <f t="shared" si="2"/>
        <v>Mantenimiento del control</v>
      </c>
      <c r="J29" s="97">
        <f>+IF(G29="Si",40,IF(G29="En proceso",30,20))</f>
        <v>40</v>
      </c>
      <c r="K29" s="97">
        <v>0.23400000000000001</v>
      </c>
      <c r="L29" s="97">
        <f t="shared" si="3"/>
        <v>40.234000000000002</v>
      </c>
    </row>
    <row r="30" spans="1:32" s="46" customFormat="1" ht="66" x14ac:dyDescent="0.25">
      <c r="A30" s="95" t="str">
        <f t="shared" si="4"/>
        <v>2c</v>
      </c>
      <c r="B30" s="252"/>
      <c r="C30" s="216"/>
      <c r="D30" s="230"/>
      <c r="E30" s="77" t="s">
        <v>39</v>
      </c>
      <c r="F30" s="79" t="s">
        <v>64</v>
      </c>
      <c r="G30" s="153" t="s">
        <v>38</v>
      </c>
      <c r="H30" s="106" t="s">
        <v>200</v>
      </c>
      <c r="I30" s="100" t="str">
        <f t="shared" si="2"/>
        <v>Mantenimiento del control</v>
      </c>
      <c r="J30" s="97">
        <f>+IF(G30="Si",40,IF(G30="En proceso",30,20))</f>
        <v>40</v>
      </c>
      <c r="K30" s="97">
        <v>0.23449999999999999</v>
      </c>
      <c r="L30" s="97">
        <f t="shared" si="3"/>
        <v>40.234499999999997</v>
      </c>
    </row>
    <row r="31" spans="1:32" s="46" customFormat="1" ht="99.75" thickBot="1" x14ac:dyDescent="0.3">
      <c r="A31" s="95" t="str">
        <f t="shared" si="4"/>
        <v>2d</v>
      </c>
      <c r="B31" s="253"/>
      <c r="C31" s="217"/>
      <c r="D31" s="255"/>
      <c r="E31" s="80" t="s">
        <v>41</v>
      </c>
      <c r="F31" s="81" t="s">
        <v>65</v>
      </c>
      <c r="G31" s="107" t="s">
        <v>38</v>
      </c>
      <c r="H31" s="108" t="s">
        <v>201</v>
      </c>
      <c r="I31" s="101" t="str">
        <f t="shared" si="2"/>
        <v>Mantenimiento del control</v>
      </c>
      <c r="J31" s="97">
        <f>+IF(G31="Si",40,IF(G31="En proceso",30,20))</f>
        <v>40</v>
      </c>
      <c r="K31" s="97">
        <v>0.23455999999999999</v>
      </c>
      <c r="L31" s="97">
        <f t="shared" si="3"/>
        <v>40.234560000000002</v>
      </c>
    </row>
    <row r="32" spans="1:32" s="46" customFormat="1" ht="49.5" customHeight="1" x14ac:dyDescent="0.25">
      <c r="A32" s="95" t="str">
        <f>3&amp;E32</f>
        <v>3a</v>
      </c>
      <c r="B32" s="227" t="s">
        <v>66</v>
      </c>
      <c r="C32" s="227" t="s">
        <v>60</v>
      </c>
      <c r="D32" s="228" t="s">
        <v>67</v>
      </c>
      <c r="E32" s="77" t="s">
        <v>34</v>
      </c>
      <c r="F32" s="79" t="s">
        <v>68</v>
      </c>
      <c r="G32" s="105" t="s">
        <v>38</v>
      </c>
      <c r="H32" s="106" t="s">
        <v>203</v>
      </c>
      <c r="I32" s="100" t="str">
        <f t="shared" si="2"/>
        <v>Mantenimiento del control</v>
      </c>
      <c r="J32" s="97">
        <f t="shared" ref="J32:J37" si="5">+IF(G32="Si",40,IF(G32="En proceso",30,20))</f>
        <v>40</v>
      </c>
      <c r="K32" s="102">
        <v>0.234567</v>
      </c>
      <c r="L32" s="97">
        <f t="shared" ref="L32:L37" si="6">+J32+K32</f>
        <v>40.234566999999998</v>
      </c>
      <c r="M32" s="45"/>
      <c r="N32" s="45"/>
      <c r="O32" s="45"/>
      <c r="P32" s="45"/>
      <c r="Q32" s="45"/>
      <c r="R32" s="45"/>
      <c r="S32" s="45"/>
      <c r="T32" s="45"/>
      <c r="U32" s="45"/>
      <c r="V32" s="45"/>
      <c r="W32" s="45"/>
      <c r="X32" s="45"/>
      <c r="Y32" s="45"/>
      <c r="Z32" s="45"/>
      <c r="AA32" s="45"/>
      <c r="AB32" s="45"/>
      <c r="AC32" s="45"/>
      <c r="AD32" s="45"/>
      <c r="AE32" s="45"/>
      <c r="AF32" s="45"/>
    </row>
    <row r="33" spans="1:32" s="46" customFormat="1" ht="49.5" customHeight="1" x14ac:dyDescent="0.25">
      <c r="A33" s="95" t="str">
        <f t="shared" ref="A33:A34" si="7">3&amp;E33</f>
        <v>3b</v>
      </c>
      <c r="B33" s="227"/>
      <c r="C33" s="227"/>
      <c r="D33" s="228"/>
      <c r="E33" s="77" t="s">
        <v>36</v>
      </c>
      <c r="F33" s="79" t="s">
        <v>69</v>
      </c>
      <c r="G33" s="105" t="s">
        <v>38</v>
      </c>
      <c r="H33" s="106" t="s">
        <v>202</v>
      </c>
      <c r="I33" s="100" t="str">
        <f t="shared" si="2"/>
        <v>Mantenimiento del control</v>
      </c>
      <c r="J33" s="97">
        <f t="shared" si="5"/>
        <v>40</v>
      </c>
      <c r="K33" s="102">
        <v>0.23456779999999999</v>
      </c>
      <c r="L33" s="97">
        <f t="shared" si="6"/>
        <v>40.234567800000001</v>
      </c>
      <c r="M33" s="45"/>
      <c r="N33" s="45"/>
      <c r="O33" s="45"/>
      <c r="P33" s="45"/>
      <c r="Q33" s="45"/>
      <c r="R33" s="45"/>
      <c r="S33" s="45"/>
      <c r="T33" s="45"/>
      <c r="U33" s="45"/>
      <c r="V33" s="45"/>
      <c r="W33" s="45"/>
      <c r="X33" s="45"/>
      <c r="Y33" s="45"/>
      <c r="Z33" s="45"/>
      <c r="AA33" s="45"/>
      <c r="AB33" s="45"/>
      <c r="AC33" s="45"/>
      <c r="AD33" s="45"/>
      <c r="AE33" s="45"/>
      <c r="AF33" s="45"/>
    </row>
    <row r="34" spans="1:32" s="46" customFormat="1" ht="66" customHeight="1" thickBot="1" x14ac:dyDescent="0.3">
      <c r="A34" s="95" t="str">
        <f t="shared" si="7"/>
        <v>3c</v>
      </c>
      <c r="B34" s="227"/>
      <c r="C34" s="227"/>
      <c r="D34" s="228"/>
      <c r="E34" s="77" t="s">
        <v>39</v>
      </c>
      <c r="F34" s="79" t="s">
        <v>70</v>
      </c>
      <c r="G34" s="153" t="s">
        <v>38</v>
      </c>
      <c r="H34" s="106" t="s">
        <v>204</v>
      </c>
      <c r="I34" s="100" t="str">
        <f t="shared" si="2"/>
        <v>Mantenimiento del control</v>
      </c>
      <c r="J34" s="97">
        <f t="shared" si="5"/>
        <v>40</v>
      </c>
      <c r="K34" s="102">
        <v>0.23456789</v>
      </c>
      <c r="L34" s="97">
        <f t="shared" si="6"/>
        <v>40.234567890000001</v>
      </c>
      <c r="M34" s="45"/>
      <c r="N34" s="45"/>
      <c r="O34" s="45"/>
      <c r="P34" s="45"/>
      <c r="Q34" s="45"/>
      <c r="R34" s="45"/>
      <c r="S34" s="45"/>
      <c r="T34" s="45"/>
      <c r="U34" s="45"/>
      <c r="V34" s="45"/>
      <c r="W34" s="45"/>
      <c r="X34" s="45"/>
      <c r="Y34" s="45"/>
      <c r="Z34" s="45"/>
      <c r="AA34" s="45"/>
      <c r="AB34" s="45"/>
      <c r="AC34" s="45"/>
      <c r="AD34" s="45"/>
      <c r="AE34" s="45"/>
      <c r="AF34" s="45"/>
    </row>
    <row r="35" spans="1:32" s="46" customFormat="1" ht="60.75" customHeight="1" x14ac:dyDescent="0.25">
      <c r="A35" s="95" t="str">
        <f>4&amp;E35</f>
        <v>4a</v>
      </c>
      <c r="B35" s="229" t="s">
        <v>71</v>
      </c>
      <c r="C35" s="216" t="s">
        <v>60</v>
      </c>
      <c r="D35" s="230" t="s">
        <v>72</v>
      </c>
      <c r="E35" s="75" t="s">
        <v>34</v>
      </c>
      <c r="F35" s="76" t="s">
        <v>73</v>
      </c>
      <c r="G35" s="103" t="s">
        <v>38</v>
      </c>
      <c r="H35" s="104" t="s">
        <v>206</v>
      </c>
      <c r="I35" s="96" t="str">
        <f t="shared" si="2"/>
        <v>Mantenimiento del control</v>
      </c>
      <c r="J35" s="97">
        <f t="shared" si="5"/>
        <v>40</v>
      </c>
      <c r="K35" s="102">
        <v>0.23456789119999999</v>
      </c>
      <c r="L35" s="97">
        <f t="shared" si="6"/>
        <v>40.234567891200001</v>
      </c>
      <c r="M35" s="45"/>
      <c r="N35" s="45"/>
      <c r="O35" s="45"/>
      <c r="P35" s="45"/>
      <c r="Q35" s="45"/>
    </row>
    <row r="36" spans="1:32" s="46" customFormat="1" ht="57.75" customHeight="1" x14ac:dyDescent="0.25">
      <c r="A36" s="95" t="str">
        <f t="shared" ref="A36:A37" si="8">4&amp;E36</f>
        <v>4b</v>
      </c>
      <c r="B36" s="229"/>
      <c r="C36" s="216"/>
      <c r="D36" s="230"/>
      <c r="E36" s="77" t="s">
        <v>36</v>
      </c>
      <c r="F36" s="79" t="s">
        <v>74</v>
      </c>
      <c r="G36" s="153" t="s">
        <v>38</v>
      </c>
      <c r="H36" s="106" t="s">
        <v>207</v>
      </c>
      <c r="I36" s="100" t="str">
        <f t="shared" si="2"/>
        <v>Mantenimiento del control</v>
      </c>
      <c r="J36" s="97">
        <f t="shared" si="5"/>
        <v>40</v>
      </c>
      <c r="K36" s="102">
        <v>0.23456789122999999</v>
      </c>
      <c r="L36" s="97">
        <f t="shared" si="6"/>
        <v>40.23456789123</v>
      </c>
      <c r="M36" s="45"/>
      <c r="N36" s="45"/>
      <c r="O36" s="45"/>
      <c r="P36" s="45"/>
      <c r="Q36" s="45"/>
    </row>
    <row r="37" spans="1:32" s="46" customFormat="1" ht="49.5" customHeight="1" thickBot="1" x14ac:dyDescent="0.3">
      <c r="A37" s="95" t="str">
        <f t="shared" si="8"/>
        <v>4c</v>
      </c>
      <c r="B37" s="229"/>
      <c r="C37" s="216"/>
      <c r="D37" s="230"/>
      <c r="E37" s="77" t="s">
        <v>39</v>
      </c>
      <c r="F37" s="79" t="s">
        <v>75</v>
      </c>
      <c r="G37" s="105" t="s">
        <v>38</v>
      </c>
      <c r="H37" s="106" t="s">
        <v>208</v>
      </c>
      <c r="I37" s="100" t="str">
        <f t="shared" si="2"/>
        <v>Mantenimiento del control</v>
      </c>
      <c r="J37" s="97">
        <f t="shared" si="5"/>
        <v>40</v>
      </c>
      <c r="K37" s="102">
        <v>0.23456789123399999</v>
      </c>
      <c r="L37" s="97">
        <f t="shared" si="6"/>
        <v>40.234567891234001</v>
      </c>
      <c r="M37" s="45"/>
      <c r="N37" s="45"/>
      <c r="O37" s="45"/>
      <c r="P37" s="45"/>
      <c r="Q37" s="45"/>
    </row>
    <row r="38" spans="1:32" s="46" customFormat="1" ht="85.5" customHeight="1" x14ac:dyDescent="0.25">
      <c r="A38" s="95" t="str">
        <f>5&amp;E38</f>
        <v>5a</v>
      </c>
      <c r="B38" s="231" t="s">
        <v>76</v>
      </c>
      <c r="C38" s="218" t="s">
        <v>77</v>
      </c>
      <c r="D38" s="234" t="s">
        <v>78</v>
      </c>
      <c r="E38" s="75" t="s">
        <v>34</v>
      </c>
      <c r="F38" s="76" t="s">
        <v>79</v>
      </c>
      <c r="G38" s="154" t="s">
        <v>38</v>
      </c>
      <c r="H38" s="104" t="s">
        <v>209</v>
      </c>
      <c r="I38" s="96" t="str">
        <f t="shared" si="2"/>
        <v>Mantenimiento del control</v>
      </c>
      <c r="J38" s="97">
        <f>+IF(G38="Si",60,IF(G38="En proceso",50,40))</f>
        <v>60</v>
      </c>
      <c r="K38" s="97">
        <v>0.31</v>
      </c>
      <c r="L38" s="97">
        <f t="shared" si="3"/>
        <v>60.31</v>
      </c>
    </row>
    <row r="39" spans="1:32" s="46" customFormat="1" ht="82.5" x14ac:dyDescent="0.25">
      <c r="A39" s="95" t="str">
        <f t="shared" ref="A39:A42" si="9">5&amp;E39</f>
        <v>5b</v>
      </c>
      <c r="B39" s="232"/>
      <c r="C39" s="219"/>
      <c r="D39" s="235"/>
      <c r="E39" s="77" t="s">
        <v>36</v>
      </c>
      <c r="F39" s="79" t="s">
        <v>80</v>
      </c>
      <c r="G39" s="153" t="s">
        <v>38</v>
      </c>
      <c r="H39" s="106" t="s">
        <v>210</v>
      </c>
      <c r="I39" s="100" t="str">
        <f t="shared" si="2"/>
        <v>Mantenimiento del control</v>
      </c>
      <c r="J39" s="97">
        <f>+IF(G39="Si",60,IF(G39="En proceso",50,40))</f>
        <v>60</v>
      </c>
      <c r="K39" s="97">
        <v>0.32300000000000001</v>
      </c>
      <c r="L39" s="97">
        <f t="shared" si="3"/>
        <v>60.323</v>
      </c>
    </row>
    <row r="40" spans="1:32" s="46" customFormat="1" ht="49.5" x14ac:dyDescent="0.25">
      <c r="A40" s="95" t="str">
        <f t="shared" si="9"/>
        <v>5c</v>
      </c>
      <c r="B40" s="232"/>
      <c r="C40" s="219"/>
      <c r="D40" s="235"/>
      <c r="E40" s="77" t="s">
        <v>39</v>
      </c>
      <c r="F40" s="79" t="s">
        <v>81</v>
      </c>
      <c r="G40" s="153" t="s">
        <v>38</v>
      </c>
      <c r="H40" s="106" t="s">
        <v>211</v>
      </c>
      <c r="I40" s="100" t="str">
        <f t="shared" si="2"/>
        <v>Mantenimiento del control</v>
      </c>
      <c r="J40" s="97">
        <f>+IF(G40="Si",60,IF(G40="En proceso",50,40))</f>
        <v>60</v>
      </c>
      <c r="K40" s="97">
        <v>0.32400000000000001</v>
      </c>
      <c r="L40" s="97">
        <f t="shared" si="3"/>
        <v>60.323999999999998</v>
      </c>
    </row>
    <row r="41" spans="1:32" s="46" customFormat="1" ht="94.5" x14ac:dyDescent="0.25">
      <c r="A41" s="95" t="str">
        <f t="shared" si="9"/>
        <v>5d</v>
      </c>
      <c r="B41" s="232"/>
      <c r="C41" s="219"/>
      <c r="D41" s="235"/>
      <c r="E41" s="77" t="s">
        <v>41</v>
      </c>
      <c r="F41" s="79" t="s">
        <v>82</v>
      </c>
      <c r="G41" s="153" t="s">
        <v>38</v>
      </c>
      <c r="H41" s="106" t="s">
        <v>213</v>
      </c>
      <c r="I41" s="100" t="str">
        <f t="shared" si="2"/>
        <v>Mantenimiento del control</v>
      </c>
      <c r="J41" s="97">
        <f>+IF(G41="Si",60,IF(G41="En proceso",50,40))</f>
        <v>60</v>
      </c>
      <c r="K41" s="97">
        <v>0.32500000000000001</v>
      </c>
      <c r="L41" s="97">
        <f t="shared" si="3"/>
        <v>60.325000000000003</v>
      </c>
    </row>
    <row r="42" spans="1:32" s="46" customFormat="1" ht="132.75" thickBot="1" x14ac:dyDescent="0.3">
      <c r="A42" s="95" t="str">
        <f t="shared" si="9"/>
        <v>5e</v>
      </c>
      <c r="B42" s="233"/>
      <c r="C42" s="220"/>
      <c r="D42" s="236"/>
      <c r="E42" s="80" t="s">
        <v>43</v>
      </c>
      <c r="F42" s="81" t="s">
        <v>83</v>
      </c>
      <c r="G42" s="107" t="s">
        <v>38</v>
      </c>
      <c r="H42" s="108" t="s">
        <v>214</v>
      </c>
      <c r="I42" s="101" t="str">
        <f t="shared" si="2"/>
        <v>Mantenimiento del control</v>
      </c>
      <c r="J42" s="97">
        <f>+IF(G42="Si",60,IF(G42="En proceso",50,40))</f>
        <v>60</v>
      </c>
      <c r="K42" s="97">
        <v>0.32600000000000001</v>
      </c>
      <c r="L42" s="97">
        <f t="shared" si="3"/>
        <v>60.326000000000001</v>
      </c>
    </row>
    <row r="43" spans="1:32" s="46" customFormat="1" ht="40.5" customHeight="1" x14ac:dyDescent="0.25">
      <c r="A43" s="95" t="str">
        <f>6&amp;E43</f>
        <v>6a</v>
      </c>
      <c r="B43" s="241" t="s">
        <v>84</v>
      </c>
      <c r="C43" s="221" t="s">
        <v>85</v>
      </c>
      <c r="D43" s="238" t="s">
        <v>86</v>
      </c>
      <c r="E43" s="75" t="s">
        <v>34</v>
      </c>
      <c r="F43" s="76" t="s">
        <v>87</v>
      </c>
      <c r="G43" s="154" t="s">
        <v>38</v>
      </c>
      <c r="H43" s="104" t="s">
        <v>215</v>
      </c>
      <c r="I43" s="96" t="str">
        <f t="shared" si="2"/>
        <v>Mantenimiento del control</v>
      </c>
      <c r="J43" s="97">
        <f t="shared" ref="J43:J49" si="10">+IF(G43="Si",80,IF(G43="En proceso",70,60))</f>
        <v>80</v>
      </c>
      <c r="K43" s="97">
        <v>0.41199999999999998</v>
      </c>
      <c r="L43" s="97">
        <f t="shared" si="3"/>
        <v>80.412000000000006</v>
      </c>
    </row>
    <row r="44" spans="1:32" s="46" customFormat="1" ht="33" customHeight="1" x14ac:dyDescent="0.25">
      <c r="A44" s="95" t="str">
        <f t="shared" ref="A44:A49" si="11">6&amp;E44</f>
        <v>6b</v>
      </c>
      <c r="B44" s="242"/>
      <c r="C44" s="222"/>
      <c r="D44" s="239"/>
      <c r="E44" s="77" t="s">
        <v>36</v>
      </c>
      <c r="F44" s="79" t="s">
        <v>88</v>
      </c>
      <c r="G44" s="105"/>
      <c r="H44" s="106" t="s">
        <v>216</v>
      </c>
      <c r="I44" s="100" t="str">
        <f t="shared" si="2"/>
        <v>Deficiencia de control</v>
      </c>
      <c r="J44" s="97">
        <f t="shared" si="10"/>
        <v>60</v>
      </c>
      <c r="K44" s="97">
        <v>0.4123</v>
      </c>
      <c r="L44" s="97">
        <f t="shared" si="3"/>
        <v>60.412300000000002</v>
      </c>
    </row>
    <row r="45" spans="1:32" s="46" customFormat="1" ht="66" x14ac:dyDescent="0.25">
      <c r="A45" s="95" t="str">
        <f t="shared" si="11"/>
        <v>6c</v>
      </c>
      <c r="B45" s="242"/>
      <c r="C45" s="222"/>
      <c r="D45" s="239"/>
      <c r="E45" s="77" t="s">
        <v>39</v>
      </c>
      <c r="F45" s="79" t="s">
        <v>89</v>
      </c>
      <c r="G45" s="105" t="s">
        <v>38</v>
      </c>
      <c r="H45" s="106" t="s">
        <v>217</v>
      </c>
      <c r="I45" s="100" t="str">
        <f t="shared" si="2"/>
        <v>Mantenimiento del control</v>
      </c>
      <c r="J45" s="97">
        <f t="shared" si="10"/>
        <v>80</v>
      </c>
      <c r="K45" s="97">
        <v>0.41233999999999998</v>
      </c>
      <c r="L45" s="97">
        <f t="shared" si="3"/>
        <v>80.41234</v>
      </c>
    </row>
    <row r="46" spans="1:32" s="46" customFormat="1" ht="33" x14ac:dyDescent="0.25">
      <c r="A46" s="95" t="str">
        <f t="shared" si="11"/>
        <v>6d</v>
      </c>
      <c r="B46" s="242"/>
      <c r="C46" s="222"/>
      <c r="D46" s="239"/>
      <c r="E46" s="77" t="s">
        <v>41</v>
      </c>
      <c r="F46" s="79" t="s">
        <v>90</v>
      </c>
      <c r="G46" s="105" t="s">
        <v>38</v>
      </c>
      <c r="H46" s="106" t="s">
        <v>218</v>
      </c>
      <c r="I46" s="100" t="str">
        <f t="shared" si="2"/>
        <v>Mantenimiento del control</v>
      </c>
      <c r="J46" s="97">
        <f t="shared" si="10"/>
        <v>80</v>
      </c>
      <c r="K46" s="97">
        <v>0.41234500000000002</v>
      </c>
      <c r="L46" s="97">
        <f t="shared" si="3"/>
        <v>80.412345000000002</v>
      </c>
    </row>
    <row r="47" spans="1:32" s="46" customFormat="1" ht="66" x14ac:dyDescent="0.25">
      <c r="A47" s="95" t="str">
        <f t="shared" si="11"/>
        <v>6e</v>
      </c>
      <c r="B47" s="242"/>
      <c r="C47" s="222"/>
      <c r="D47" s="239"/>
      <c r="E47" s="77" t="s">
        <v>43</v>
      </c>
      <c r="F47" s="79" t="s">
        <v>91</v>
      </c>
      <c r="G47" s="153" t="s">
        <v>38</v>
      </c>
      <c r="H47" s="106" t="s">
        <v>219</v>
      </c>
      <c r="I47" s="100" t="str">
        <f t="shared" si="2"/>
        <v>Mantenimiento del control</v>
      </c>
      <c r="J47" s="97">
        <f t="shared" si="10"/>
        <v>80</v>
      </c>
      <c r="K47" s="97">
        <v>0.41234559999999998</v>
      </c>
      <c r="L47" s="97">
        <f t="shared" si="3"/>
        <v>80.412345599999995</v>
      </c>
    </row>
    <row r="48" spans="1:32" s="46" customFormat="1" ht="82.5" x14ac:dyDescent="0.25">
      <c r="A48" s="95" t="str">
        <f t="shared" si="11"/>
        <v>6f</v>
      </c>
      <c r="B48" s="242"/>
      <c r="C48" s="222"/>
      <c r="D48" s="239"/>
      <c r="E48" s="77" t="s">
        <v>45</v>
      </c>
      <c r="F48" s="79" t="s">
        <v>92</v>
      </c>
      <c r="G48" s="153" t="s">
        <v>38</v>
      </c>
      <c r="H48" s="106" t="s">
        <v>220</v>
      </c>
      <c r="I48" s="100" t="str">
        <f t="shared" si="2"/>
        <v>Mantenimiento del control</v>
      </c>
      <c r="J48" s="97">
        <f t="shared" si="10"/>
        <v>80</v>
      </c>
      <c r="K48" s="97">
        <v>0.41234567</v>
      </c>
      <c r="L48" s="97">
        <f t="shared" si="3"/>
        <v>80.412345669999993</v>
      </c>
    </row>
    <row r="49" spans="1:17" s="46" customFormat="1" ht="66.75" thickBot="1" x14ac:dyDescent="0.3">
      <c r="A49" s="95" t="str">
        <f t="shared" si="11"/>
        <v>6g</v>
      </c>
      <c r="B49" s="243"/>
      <c r="C49" s="223"/>
      <c r="D49" s="240"/>
      <c r="E49" s="80" t="s">
        <v>47</v>
      </c>
      <c r="F49" s="81" t="s">
        <v>93</v>
      </c>
      <c r="G49" s="107" t="s">
        <v>38</v>
      </c>
      <c r="H49" s="108" t="s">
        <v>221</v>
      </c>
      <c r="I49" s="101" t="str">
        <f t="shared" si="2"/>
        <v>Mantenimiento del control</v>
      </c>
      <c r="J49" s="97">
        <f t="shared" si="10"/>
        <v>80</v>
      </c>
      <c r="K49" s="97">
        <v>0.41234567799999999</v>
      </c>
      <c r="L49" s="97">
        <f t="shared" si="3"/>
        <v>80.412345677999994</v>
      </c>
    </row>
    <row r="50" spans="1:17" s="46" customFormat="1" ht="54.75" customHeight="1" x14ac:dyDescent="0.25">
      <c r="A50" s="95" t="str">
        <f>7&amp;E50</f>
        <v>7a</v>
      </c>
      <c r="B50" s="209" t="s">
        <v>94</v>
      </c>
      <c r="C50" s="224" t="s">
        <v>95</v>
      </c>
      <c r="D50" s="206" t="s">
        <v>96</v>
      </c>
      <c r="E50" s="75" t="s">
        <v>34</v>
      </c>
      <c r="F50" s="76" t="s">
        <v>97</v>
      </c>
      <c r="G50" s="154" t="s">
        <v>38</v>
      </c>
      <c r="H50" s="104" t="s">
        <v>222</v>
      </c>
      <c r="I50" s="96" t="str">
        <f t="shared" si="2"/>
        <v>Mantenimiento del control</v>
      </c>
      <c r="J50" s="97">
        <f>+IF(G50="Si",120,IF(G50="En proceso",100,80))</f>
        <v>120</v>
      </c>
      <c r="K50" s="97">
        <v>0.85099999999999998</v>
      </c>
      <c r="L50" s="97">
        <f t="shared" si="3"/>
        <v>120.851</v>
      </c>
    </row>
    <row r="51" spans="1:17" s="46" customFormat="1" ht="132" x14ac:dyDescent="0.25">
      <c r="A51" s="95" t="str">
        <f t="shared" ref="A51:A53" si="12">7&amp;E51</f>
        <v>7d</v>
      </c>
      <c r="B51" s="210"/>
      <c r="C51" s="225"/>
      <c r="D51" s="207"/>
      <c r="E51" s="77" t="s">
        <v>41</v>
      </c>
      <c r="F51" s="79" t="s">
        <v>98</v>
      </c>
      <c r="G51" s="153" t="s">
        <v>38</v>
      </c>
      <c r="H51" s="106" t="s">
        <v>223</v>
      </c>
      <c r="I51" s="100" t="str">
        <f t="shared" si="2"/>
        <v>Mantenimiento del control</v>
      </c>
      <c r="J51" s="97">
        <f t="shared" ref="J51:J59" si="13">+IF(G51="Si",120,IF(G51="En proceso",100,80))</f>
        <v>120</v>
      </c>
      <c r="K51" s="97">
        <v>0.85119999999999996</v>
      </c>
      <c r="L51" s="97">
        <f t="shared" si="3"/>
        <v>120.85120000000001</v>
      </c>
    </row>
    <row r="52" spans="1:17" s="46" customFormat="1" ht="49.5" x14ac:dyDescent="0.25">
      <c r="A52" s="95" t="str">
        <f t="shared" si="12"/>
        <v>7f</v>
      </c>
      <c r="B52" s="210"/>
      <c r="C52" s="225"/>
      <c r="D52" s="207"/>
      <c r="E52" s="77" t="s">
        <v>45</v>
      </c>
      <c r="F52" s="79" t="s">
        <v>99</v>
      </c>
      <c r="G52" s="105" t="s">
        <v>38</v>
      </c>
      <c r="H52" s="106" t="s">
        <v>224</v>
      </c>
      <c r="I52" s="100" t="str">
        <f t="shared" si="2"/>
        <v>Mantenimiento del control</v>
      </c>
      <c r="J52" s="97">
        <f t="shared" si="13"/>
        <v>120</v>
      </c>
      <c r="K52" s="97">
        <v>0.85123000000000004</v>
      </c>
      <c r="L52" s="97">
        <f t="shared" si="3"/>
        <v>120.85123</v>
      </c>
    </row>
    <row r="53" spans="1:17" s="46" customFormat="1" ht="83.25" thickBot="1" x14ac:dyDescent="0.3">
      <c r="A53" s="95" t="str">
        <f t="shared" si="12"/>
        <v>7g</v>
      </c>
      <c r="B53" s="211"/>
      <c r="C53" s="226"/>
      <c r="D53" s="244"/>
      <c r="E53" s="80" t="s">
        <v>47</v>
      </c>
      <c r="F53" s="81" t="s">
        <v>100</v>
      </c>
      <c r="G53" s="155" t="s">
        <v>38</v>
      </c>
      <c r="H53" s="108" t="s">
        <v>225</v>
      </c>
      <c r="I53" s="101" t="str">
        <f t="shared" si="2"/>
        <v>Mantenimiento del control</v>
      </c>
      <c r="J53" s="97">
        <f t="shared" si="13"/>
        <v>120</v>
      </c>
      <c r="K53" s="97">
        <v>0.85123400000000005</v>
      </c>
      <c r="L53" s="97">
        <f t="shared" si="3"/>
        <v>120.85123400000001</v>
      </c>
    </row>
    <row r="54" spans="1:17" s="46" customFormat="1" ht="102.75" customHeight="1" thickBot="1" x14ac:dyDescent="0.3">
      <c r="A54" s="95" t="str">
        <f>8&amp;E54</f>
        <v>8h</v>
      </c>
      <c r="B54" s="148" t="s">
        <v>101</v>
      </c>
      <c r="C54" s="149" t="s">
        <v>95</v>
      </c>
      <c r="D54" s="70" t="s">
        <v>102</v>
      </c>
      <c r="E54" s="75" t="s">
        <v>49</v>
      </c>
      <c r="F54" s="76" t="s">
        <v>103</v>
      </c>
      <c r="G54" s="154" t="s">
        <v>38</v>
      </c>
      <c r="H54" s="152" t="s">
        <v>236</v>
      </c>
      <c r="I54" s="96" t="str">
        <f t="shared" si="2"/>
        <v>Mantenimiento del control</v>
      </c>
      <c r="J54" s="97">
        <f t="shared" si="13"/>
        <v>120</v>
      </c>
      <c r="K54" s="97">
        <v>0.85123450000000001</v>
      </c>
      <c r="L54" s="97">
        <f t="shared" si="3"/>
        <v>120.8512345</v>
      </c>
    </row>
    <row r="55" spans="1:17" s="46" customFormat="1" ht="54.75" customHeight="1" x14ac:dyDescent="0.25">
      <c r="A55" s="95" t="str">
        <f>9&amp;E55</f>
        <v>9a</v>
      </c>
      <c r="B55" s="209" t="s">
        <v>104</v>
      </c>
      <c r="C55" s="224" t="s">
        <v>95</v>
      </c>
      <c r="D55" s="206" t="s">
        <v>105</v>
      </c>
      <c r="E55" s="75" t="s">
        <v>34</v>
      </c>
      <c r="F55" s="76" t="s">
        <v>106</v>
      </c>
      <c r="G55" s="154" t="s">
        <v>38</v>
      </c>
      <c r="H55" s="104" t="s">
        <v>226</v>
      </c>
      <c r="I55" s="96" t="str">
        <f t="shared" si="2"/>
        <v>Mantenimiento del control</v>
      </c>
      <c r="J55" s="97">
        <f t="shared" si="13"/>
        <v>120</v>
      </c>
      <c r="K55" s="102">
        <v>0.85123455999999997</v>
      </c>
      <c r="L55" s="97">
        <f t="shared" si="3"/>
        <v>120.85123455999999</v>
      </c>
      <c r="M55" s="45"/>
      <c r="N55" s="45"/>
      <c r="O55" s="45"/>
      <c r="P55" s="45"/>
      <c r="Q55" s="45"/>
    </row>
    <row r="56" spans="1:17" s="46" customFormat="1" ht="55.5" customHeight="1" x14ac:dyDescent="0.25">
      <c r="A56" s="95" t="str">
        <f t="shared" ref="A56:A59" si="14">9&amp;E56</f>
        <v>9b</v>
      </c>
      <c r="B56" s="210"/>
      <c r="C56" s="225"/>
      <c r="D56" s="207"/>
      <c r="E56" s="77" t="s">
        <v>36</v>
      </c>
      <c r="F56" s="79" t="s">
        <v>107</v>
      </c>
      <c r="G56" s="153" t="s">
        <v>38</v>
      </c>
      <c r="H56" s="106" t="s">
        <v>227</v>
      </c>
      <c r="I56" s="100" t="str">
        <f t="shared" si="2"/>
        <v>Mantenimiento del control</v>
      </c>
      <c r="J56" s="97">
        <f t="shared" si="13"/>
        <v>120</v>
      </c>
      <c r="K56" s="102">
        <v>0.851234567</v>
      </c>
      <c r="L56" s="97">
        <f t="shared" si="3"/>
        <v>120.85123456700001</v>
      </c>
      <c r="M56" s="45"/>
      <c r="N56" s="45"/>
      <c r="O56" s="45"/>
      <c r="P56" s="45"/>
      <c r="Q56" s="45"/>
    </row>
    <row r="57" spans="1:17" s="46" customFormat="1" ht="77.25" customHeight="1" x14ac:dyDescent="0.25">
      <c r="A57" s="95" t="str">
        <f t="shared" si="14"/>
        <v>9c</v>
      </c>
      <c r="B57" s="210"/>
      <c r="C57" s="225"/>
      <c r="D57" s="207"/>
      <c r="E57" s="77" t="s">
        <v>39</v>
      </c>
      <c r="F57" s="79" t="s">
        <v>108</v>
      </c>
      <c r="G57" s="153" t="s">
        <v>38</v>
      </c>
      <c r="H57" s="106" t="s">
        <v>228</v>
      </c>
      <c r="I57" s="100" t="str">
        <f t="shared" si="2"/>
        <v>Mantenimiento del control</v>
      </c>
      <c r="J57" s="97">
        <f t="shared" si="13"/>
        <v>120</v>
      </c>
      <c r="K57" s="102">
        <v>0.85123456779999995</v>
      </c>
      <c r="L57" s="97">
        <f t="shared" si="3"/>
        <v>120.85123456780001</v>
      </c>
      <c r="M57" s="45"/>
      <c r="N57" s="45"/>
      <c r="O57" s="45"/>
      <c r="P57" s="45"/>
      <c r="Q57" s="45"/>
    </row>
    <row r="58" spans="1:17" s="46" customFormat="1" ht="77.25" customHeight="1" x14ac:dyDescent="0.25">
      <c r="A58" s="95" t="str">
        <f t="shared" si="14"/>
        <v>9d</v>
      </c>
      <c r="B58" s="210"/>
      <c r="C58" s="225"/>
      <c r="D58" s="207"/>
      <c r="E58" s="77" t="s">
        <v>41</v>
      </c>
      <c r="F58" s="79" t="s">
        <v>109</v>
      </c>
      <c r="G58" s="153" t="s">
        <v>38</v>
      </c>
      <c r="H58" s="106" t="s">
        <v>229</v>
      </c>
      <c r="I58" s="100" t="str">
        <f t="shared" si="2"/>
        <v>Mantenimiento del control</v>
      </c>
      <c r="J58" s="97">
        <f t="shared" si="13"/>
        <v>120</v>
      </c>
      <c r="K58" s="102">
        <v>0.85123456788999996</v>
      </c>
      <c r="L58" s="97">
        <f t="shared" si="3"/>
        <v>120.85123456789</v>
      </c>
      <c r="M58" s="45"/>
      <c r="N58" s="45"/>
      <c r="O58" s="45"/>
      <c r="P58" s="45"/>
      <c r="Q58" s="45"/>
    </row>
    <row r="59" spans="1:17" s="46" customFormat="1" ht="77.25" customHeight="1" thickBot="1" x14ac:dyDescent="0.3">
      <c r="A59" s="95" t="str">
        <f t="shared" si="14"/>
        <v>9e</v>
      </c>
      <c r="B59" s="211"/>
      <c r="C59" s="225"/>
      <c r="D59" s="208"/>
      <c r="E59" s="80" t="s">
        <v>43</v>
      </c>
      <c r="F59" s="81" t="s">
        <v>110</v>
      </c>
      <c r="G59" s="155" t="s">
        <v>38</v>
      </c>
      <c r="H59" s="108" t="s">
        <v>230</v>
      </c>
      <c r="I59" s="101" t="str">
        <f t="shared" si="2"/>
        <v>Mantenimiento del control</v>
      </c>
      <c r="J59" s="97">
        <f t="shared" si="13"/>
        <v>120</v>
      </c>
      <c r="K59" s="102">
        <v>0.85123456789100005</v>
      </c>
      <c r="L59" s="97">
        <f t="shared" si="3"/>
        <v>120.851234567891</v>
      </c>
      <c r="M59" s="45"/>
      <c r="N59" s="45"/>
      <c r="O59" s="45"/>
      <c r="P59" s="45"/>
      <c r="Q59" s="45"/>
    </row>
  </sheetData>
  <sheetProtection algorithmName="SHA-512" hashValue="3f8q67IhQ+195mCCu45JxrnKZ5NQYpYn/4DMJ1qNlLoW+1h5DdlwjNz0RDsqicEeH5OxPhf5j92R5BAeBl6Iaw==" saltValue="5vY6GrPfNxnRatmVvJafnA==" spinCount="100000" sheet="1" objects="1" scenarios="1" formatCells="0" formatColumns="0" formatRows="0"/>
  <mergeCells count="25">
    <mergeCell ref="B14:I14"/>
    <mergeCell ref="D43:D49"/>
    <mergeCell ref="B43:B49"/>
    <mergeCell ref="D50:D53"/>
    <mergeCell ref="B50:B53"/>
    <mergeCell ref="D16:D27"/>
    <mergeCell ref="B16:B27"/>
    <mergeCell ref="B28:B31"/>
    <mergeCell ref="D28:D31"/>
    <mergeCell ref="D55:D59"/>
    <mergeCell ref="B55:B59"/>
    <mergeCell ref="C16:C27"/>
    <mergeCell ref="C28:C31"/>
    <mergeCell ref="C38:C42"/>
    <mergeCell ref="C43:C49"/>
    <mergeCell ref="C50:C53"/>
    <mergeCell ref="C32:C34"/>
    <mergeCell ref="C35:C37"/>
    <mergeCell ref="C55:C59"/>
    <mergeCell ref="D32:D34"/>
    <mergeCell ref="B32:B34"/>
    <mergeCell ref="B35:B37"/>
    <mergeCell ref="D35:D37"/>
    <mergeCell ref="B38:B42"/>
    <mergeCell ref="D38:D42"/>
  </mergeCells>
  <dataValidations count="2">
    <dataValidation type="list" allowBlank="1" showInputMessage="1" showErrorMessage="1" sqref="G55:G59 G16:G53">
      <formula1>"Si, No, En proceso"</formula1>
    </dataValidation>
    <dataValidation type="list" allowBlank="1" showInputMessage="1" showErrorMessage="1" sqref="G54">
      <formula1>"Si, No"</formula1>
    </dataValidation>
  </dataValidations>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4"/>
  <sheetViews>
    <sheetView showGridLines="0" zoomScale="80" zoomScaleNormal="80" workbookViewId="0">
      <selection activeCell="I46" sqref="I46"/>
    </sheetView>
  </sheetViews>
  <sheetFormatPr baseColWidth="10" defaultColWidth="11.42578125" defaultRowHeight="15" x14ac:dyDescent="0.25"/>
  <cols>
    <col min="3" max="3" width="22.85546875" customWidth="1"/>
    <col min="4" max="4" width="22.5703125" customWidth="1"/>
    <col min="5" max="5" width="53.42578125" customWidth="1"/>
    <col min="7" max="7" width="28.28515625" customWidth="1"/>
    <col min="8" max="8" width="4.85546875" customWidth="1"/>
    <col min="9" max="9" width="15.28515625" customWidth="1"/>
    <col min="10" max="10" width="22.42578125" customWidth="1"/>
    <col min="11" max="29" width="11.42578125" style="1"/>
  </cols>
  <sheetData>
    <row r="1" spans="1:11" x14ac:dyDescent="0.25">
      <c r="A1" s="1"/>
      <c r="B1" s="1"/>
      <c r="C1" s="1"/>
      <c r="D1" s="1"/>
      <c r="E1" s="1"/>
      <c r="F1" s="1"/>
      <c r="G1" s="1"/>
      <c r="H1" s="1"/>
      <c r="I1" s="1"/>
      <c r="J1" s="1"/>
    </row>
    <row r="2" spans="1:11" s="1" customFormat="1" x14ac:dyDescent="0.25"/>
    <row r="3" spans="1:11" s="1" customFormat="1" x14ac:dyDescent="0.25"/>
    <row r="4" spans="1:11" x14ac:dyDescent="0.25">
      <c r="A4" s="1"/>
      <c r="B4" s="1"/>
      <c r="C4" s="1"/>
      <c r="D4" s="1"/>
      <c r="E4" s="1"/>
      <c r="F4" s="1"/>
      <c r="G4" s="1"/>
      <c r="H4" s="1"/>
      <c r="I4" s="1"/>
      <c r="J4" s="1"/>
    </row>
    <row r="5" spans="1:11" x14ac:dyDescent="0.25">
      <c r="A5" s="1"/>
      <c r="B5" s="1"/>
      <c r="C5" s="1"/>
      <c r="D5" s="1"/>
      <c r="E5" s="1"/>
      <c r="F5" s="1"/>
      <c r="G5" s="1"/>
      <c r="H5" s="1"/>
      <c r="I5" s="1"/>
      <c r="J5" s="1"/>
    </row>
    <row r="6" spans="1:11" ht="15.75" thickBot="1" x14ac:dyDescent="0.3">
      <c r="A6" s="1"/>
      <c r="B6" s="1"/>
      <c r="C6" s="1"/>
      <c r="D6" s="1"/>
      <c r="E6" s="1"/>
      <c r="F6" s="1"/>
      <c r="G6" s="1"/>
      <c r="H6" s="1"/>
      <c r="I6" s="1"/>
      <c r="J6" s="1"/>
    </row>
    <row r="7" spans="1:11" ht="26.25" thickBot="1" x14ac:dyDescent="0.3">
      <c r="A7" s="1"/>
      <c r="B7" s="1"/>
      <c r="C7" s="287" t="s">
        <v>111</v>
      </c>
      <c r="D7" s="288"/>
      <c r="E7" s="288"/>
      <c r="F7" s="288"/>
      <c r="G7" s="288"/>
      <c r="H7" s="288"/>
      <c r="I7" s="288"/>
      <c r="J7" s="288"/>
      <c r="K7" s="289"/>
    </row>
    <row r="8" spans="1:11" s="1" customFormat="1" ht="15.75" thickBot="1" x14ac:dyDescent="0.3">
      <c r="C8" s="36"/>
      <c r="D8" s="36"/>
      <c r="E8" s="37"/>
      <c r="F8" s="37"/>
      <c r="G8" s="37"/>
      <c r="H8" s="37"/>
      <c r="I8" s="47"/>
      <c r="J8" s="37"/>
      <c r="K8" s="37"/>
    </row>
    <row r="9" spans="1:11" ht="21" thickBot="1" x14ac:dyDescent="0.3">
      <c r="A9" s="1"/>
      <c r="B9" s="1"/>
      <c r="C9" s="189" t="s">
        <v>15</v>
      </c>
      <c r="D9" s="190"/>
      <c r="E9" s="190" t="s">
        <v>16</v>
      </c>
      <c r="F9" s="201"/>
      <c r="G9" s="37"/>
      <c r="H9" s="37"/>
      <c r="I9" s="47"/>
      <c r="J9" s="37"/>
      <c r="K9" s="37"/>
    </row>
    <row r="10" spans="1:11" ht="54" customHeight="1" x14ac:dyDescent="0.25">
      <c r="A10" s="1"/>
      <c r="B10" s="1"/>
      <c r="C10" s="202" t="s">
        <v>17</v>
      </c>
      <c r="D10" s="203"/>
      <c r="E10" s="204" t="s">
        <v>18</v>
      </c>
      <c r="F10" s="205"/>
      <c r="G10" s="38"/>
      <c r="H10" s="39">
        <v>1</v>
      </c>
      <c r="I10" s="47"/>
      <c r="J10" s="37"/>
      <c r="K10" s="37"/>
    </row>
    <row r="11" spans="1:11" ht="46.5" customHeight="1" x14ac:dyDescent="0.25">
      <c r="A11" s="1"/>
      <c r="B11" s="1"/>
      <c r="C11" s="191" t="s">
        <v>19</v>
      </c>
      <c r="D11" s="192"/>
      <c r="E11" s="193" t="s">
        <v>112</v>
      </c>
      <c r="F11" s="194"/>
      <c r="G11" s="40" t="s">
        <v>113</v>
      </c>
      <c r="H11" s="39">
        <v>0.75</v>
      </c>
      <c r="I11" s="47"/>
      <c r="J11" s="37"/>
      <c r="K11" s="37"/>
    </row>
    <row r="12" spans="1:11" ht="70.5" customHeight="1" thickBot="1" x14ac:dyDescent="0.3">
      <c r="A12" s="1"/>
      <c r="B12" s="1"/>
      <c r="C12" s="195" t="s">
        <v>21</v>
      </c>
      <c r="D12" s="196"/>
      <c r="E12" s="197" t="s">
        <v>114</v>
      </c>
      <c r="F12" s="198"/>
      <c r="G12" s="41"/>
      <c r="H12" s="39">
        <v>0.25</v>
      </c>
      <c r="I12" s="47"/>
      <c r="J12" s="37"/>
      <c r="K12" s="37"/>
    </row>
    <row r="13" spans="1:11" s="1" customFormat="1" x14ac:dyDescent="0.25"/>
    <row r="14" spans="1:11" s="1" customFormat="1" x14ac:dyDescent="0.25"/>
    <row r="15" spans="1:11" s="1" customFormat="1" x14ac:dyDescent="0.25"/>
    <row r="16" spans="1:11" s="1" customFormat="1" ht="15.75" thickBot="1" x14ac:dyDescent="0.3"/>
    <row r="17" spans="1:10" x14ac:dyDescent="0.25">
      <c r="A17" s="1"/>
      <c r="B17" s="1"/>
      <c r="C17" s="279" t="s">
        <v>115</v>
      </c>
      <c r="D17" s="281" t="s">
        <v>116</v>
      </c>
      <c r="E17" s="282"/>
      <c r="F17" s="283" t="s">
        <v>117</v>
      </c>
      <c r="G17" s="285" t="s">
        <v>118</v>
      </c>
      <c r="H17" s="35"/>
      <c r="I17" s="274" t="s">
        <v>119</v>
      </c>
      <c r="J17" s="274" t="s">
        <v>120</v>
      </c>
    </row>
    <row r="18" spans="1:10" ht="36" customHeight="1" thickBot="1" x14ac:dyDescent="0.3">
      <c r="A18" s="1"/>
      <c r="B18" s="1"/>
      <c r="C18" s="280"/>
      <c r="D18" s="109" t="s">
        <v>121</v>
      </c>
      <c r="E18" s="110" t="s">
        <v>27</v>
      </c>
      <c r="F18" s="284"/>
      <c r="G18" s="286"/>
      <c r="H18" s="35"/>
      <c r="I18" s="275"/>
      <c r="J18" s="275"/>
    </row>
    <row r="19" spans="1:10" ht="65.25" customHeight="1" x14ac:dyDescent="0.25">
      <c r="A19" s="1"/>
      <c r="B19" s="1"/>
      <c r="C19" s="127">
        <v>1</v>
      </c>
      <c r="D19" s="276" t="s">
        <v>32</v>
      </c>
      <c r="E19" s="111" t="str">
        <f>+IFERROR(INDEX(Hoja1!$E$2:$E$45,MATCH('Análisis Resultados'!C19,Hoja1!$H$2:$H$45,0)),"")</f>
        <v>Documento interno o adopción del MECI actualizado</v>
      </c>
      <c r="F19" s="112" t="str">
        <f>+IFERROR(VLOOKUP(C19,Hoja1!$H$2:$I$45,2,0),"")</f>
        <v>Si</v>
      </c>
      <c r="G19" s="113" t="str">
        <f>+IF(F19="Si","Existe requerimiento pero se requiere actividades  dirigidas a su mantenimiento dentro del marco de las lineas de defensa.",IF(F19="En proceso","Se encuentra en proceso, pero requiere continuar con acciones dirigidas a contar con dicho aspecto de control.","No se encuentra el aspecto  por lo tanto la entidad debera generar acciones dirigidas a que se cumpla con el requerimiento."))</f>
        <v>Existe requerimiento pero se requiere actividades  dirigidas a su mantenimiento dentro del marco de las lineas de defensa.</v>
      </c>
      <c r="I19" s="128">
        <f>+IF(F19="Si",1,IF(F19="En proceso",0.5,0))</f>
        <v>1</v>
      </c>
      <c r="J19" s="258">
        <f>+AVERAGE(I19:I30)</f>
        <v>1</v>
      </c>
    </row>
    <row r="20" spans="1:10" ht="57" x14ac:dyDescent="0.25">
      <c r="A20" s="1"/>
      <c r="B20" s="1"/>
      <c r="C20" s="127">
        <v>2</v>
      </c>
      <c r="D20" s="277"/>
      <c r="E20" s="114" t="str">
        <f>+IFERROR(INDEX(Hoja1!$E$2:$E$45,MATCH('Análisis Resultados'!C20,Hoja1!$H$2:$H$45,0)),"")</f>
        <v>Un documento tal como un código de ética, integridad u otro que formalice los estándares de conducta, los principios institucionales o los valores del servicio público</v>
      </c>
      <c r="F20" s="115" t="str">
        <f>+IFERROR(VLOOKUP(C20,Hoja1!$H$2:$I$45,2,0),"")</f>
        <v>Si</v>
      </c>
      <c r="G20" s="116" t="str">
        <f t="shared" ref="G20:G62" si="0">+IF(F20="Si","Existe requerimiento pero se requiere actividades  dirigidas a su mantenimiento dentro del marco de las lineas de defensa.",IF(F20="En proceso","Se encuentra en proceso, pero requiere continuar con acciones dirigidas a contar con dicho aspecto de control.","No se encuentra el aspecto  por lo tanto la entidad debera generar acciones dirigidas a que se cumpla con el requerimiento."))</f>
        <v>Existe requerimiento pero se requiere actividades  dirigidas a su mantenimiento dentro del marco de las lineas de defensa.</v>
      </c>
      <c r="I20" s="129">
        <f t="shared" ref="I20:I62" si="1">+IF(F20="Si",1,IF(F20="En proceso",0.5,0))</f>
        <v>1</v>
      </c>
      <c r="J20" s="259"/>
    </row>
    <row r="21" spans="1:10" ht="45" x14ac:dyDescent="0.25">
      <c r="A21" s="1"/>
      <c r="B21" s="1"/>
      <c r="C21" s="127">
        <v>3</v>
      </c>
      <c r="D21" s="277"/>
      <c r="E21" s="114" t="str">
        <f>+IFERROR(INDEX(Hoja1!$E$2:$E$45,MATCH('Análisis Resultados'!C21,Hoja1!$H$2:$H$45,0)),"")</f>
        <v>Planes, programas y proyectos de acuerdo con las normas que rigen y atendiendo con su propósito fundamental institucional (misión)</v>
      </c>
      <c r="F21" s="115" t="str">
        <f>+IFERROR(VLOOKUP(C21,Hoja1!$H$2:$I$45,2,0),"")</f>
        <v>Si</v>
      </c>
      <c r="G21" s="116" t="str">
        <f t="shared" si="0"/>
        <v>Existe requerimiento pero se requiere actividades  dirigidas a su mantenimiento dentro del marco de las lineas de defensa.</v>
      </c>
      <c r="I21" s="129">
        <f t="shared" si="1"/>
        <v>1</v>
      </c>
      <c r="J21" s="259"/>
    </row>
    <row r="22" spans="1:10" ht="56.25" customHeight="1" x14ac:dyDescent="0.25">
      <c r="A22" s="1"/>
      <c r="B22" s="1"/>
      <c r="C22" s="127">
        <v>4</v>
      </c>
      <c r="D22" s="277"/>
      <c r="E22" s="114" t="str">
        <f>+IFERROR(INDEX(Hoja1!$E$2:$E$45,MATCH('Análisis Resultados'!C22,Hoja1!$H$2:$H$45,0)),"")</f>
        <v>Una estructura organizacional formalizada (organigrama)</v>
      </c>
      <c r="F22" s="115" t="str">
        <f>+IFERROR(VLOOKUP(C22,Hoja1!$H$2:$I$45,2,0),"")</f>
        <v>Si</v>
      </c>
      <c r="G22" s="116" t="str">
        <f t="shared" si="0"/>
        <v>Existe requerimiento pero se requiere actividades  dirigidas a su mantenimiento dentro del marco de las lineas de defensa.</v>
      </c>
      <c r="I22" s="129">
        <f t="shared" si="1"/>
        <v>1</v>
      </c>
      <c r="J22" s="259"/>
    </row>
    <row r="23" spans="1:10" ht="45" x14ac:dyDescent="0.25">
      <c r="A23" s="1"/>
      <c r="B23" s="1"/>
      <c r="C23" s="127">
        <v>5</v>
      </c>
      <c r="D23" s="277"/>
      <c r="E23" s="114" t="str">
        <f>+IFERROR(INDEX(Hoja1!$E$2:$E$45,MATCH('Análisis Resultados'!C23,Hoja1!$H$2:$H$45,0)),"")</f>
        <v>Un manual de funciones que describa los empleos de la entidad</v>
      </c>
      <c r="F23" s="115" t="str">
        <f>+IFERROR(VLOOKUP(C23,Hoja1!$H$2:$I$45,2,0),"")</f>
        <v>Si</v>
      </c>
      <c r="G23" s="116" t="str">
        <f t="shared" si="0"/>
        <v>Existe requerimiento pero se requiere actividades  dirigidas a su mantenimiento dentro del marco de las lineas de defensa.</v>
      </c>
      <c r="I23" s="129">
        <f t="shared" si="1"/>
        <v>1</v>
      </c>
      <c r="J23" s="259"/>
    </row>
    <row r="24" spans="1:10" ht="45" x14ac:dyDescent="0.25">
      <c r="A24" s="1"/>
      <c r="B24" s="1"/>
      <c r="C24" s="127">
        <v>6</v>
      </c>
      <c r="D24" s="277"/>
      <c r="E24" s="114" t="str">
        <f>+IFERROR(INDEX(Hoja1!$E$2:$E$45,MATCH('Análisis Resultados'!C24,Hoja1!$H$2:$H$45,0)),"")</f>
        <v>La documentación de sus procesos y procedimientos o bien una lista de actividades principales que permitan conocer el estado de su gestión</v>
      </c>
      <c r="F24" s="115" t="str">
        <f>+IFERROR(VLOOKUP(C24,Hoja1!$H$2:$I$45,2,0),"")</f>
        <v>Si</v>
      </c>
      <c r="G24" s="116" t="str">
        <f t="shared" si="0"/>
        <v>Existe requerimiento pero se requiere actividades  dirigidas a su mantenimiento dentro del marco de las lineas de defensa.</v>
      </c>
      <c r="I24" s="129">
        <f t="shared" si="1"/>
        <v>1</v>
      </c>
      <c r="J24" s="259"/>
    </row>
    <row r="25" spans="1:10" ht="45" x14ac:dyDescent="0.25">
      <c r="A25" s="1"/>
      <c r="B25" s="1"/>
      <c r="C25" s="127">
        <v>7</v>
      </c>
      <c r="D25" s="277"/>
      <c r="E25" s="114" t="str">
        <f>+IFERROR(INDEX(Hoja1!$E$2:$E$45,MATCH('Análisis Resultados'!C25,Hoja1!$H$2:$H$45,0)),"")</f>
        <v>Vinculación de los servidores públicos de acuerdo con el marco normativo que les rige (carrera administrativa, libre nombramiento y remoción, entre otros)</v>
      </c>
      <c r="F25" s="115" t="str">
        <f>+IFERROR(VLOOKUP(C25,Hoja1!$H$2:$I$45,2,0),"")</f>
        <v>Si</v>
      </c>
      <c r="G25" s="116" t="str">
        <f t="shared" si="0"/>
        <v>Existe requerimiento pero se requiere actividades  dirigidas a su mantenimiento dentro del marco de las lineas de defensa.</v>
      </c>
      <c r="I25" s="129">
        <f t="shared" si="1"/>
        <v>1</v>
      </c>
      <c r="J25" s="259"/>
    </row>
    <row r="26" spans="1:10" ht="45" x14ac:dyDescent="0.25">
      <c r="A26" s="1"/>
      <c r="B26" s="1"/>
      <c r="C26" s="127">
        <v>8</v>
      </c>
      <c r="D26" s="277"/>
      <c r="E26" s="114" t="str">
        <f>+IFERROR(INDEX(Hoja1!$E$2:$E$45,MATCH('Análisis Resultados'!C26,Hoja1!$H$2:$H$45,0)),"")</f>
        <v>Procesos de inducción, capacitación y bienestar social para sus servidores públicos, de manera directa o en asociación con otras entidades municipales</v>
      </c>
      <c r="F26" s="115" t="str">
        <f>+IFERROR(VLOOKUP(C26,Hoja1!$H$2:$I$45,2,0),"")</f>
        <v>Si</v>
      </c>
      <c r="G26" s="116" t="str">
        <f t="shared" si="0"/>
        <v>Existe requerimiento pero se requiere actividades  dirigidas a su mantenimiento dentro del marco de las lineas de defensa.</v>
      </c>
      <c r="I26" s="129">
        <f t="shared" si="1"/>
        <v>1</v>
      </c>
      <c r="J26" s="259"/>
    </row>
    <row r="27" spans="1:10" ht="45" x14ac:dyDescent="0.25">
      <c r="A27" s="1"/>
      <c r="B27" s="1"/>
      <c r="C27" s="127">
        <v>9</v>
      </c>
      <c r="D27" s="277"/>
      <c r="E27" s="114" t="str">
        <f>+IFERROR(INDEX(Hoja1!$E$2:$E$45,MATCH('Análisis Resultados'!C27,Hoja1!$H$2:$H$45,0)),"")</f>
        <v>Evaluación a los servidores públicos de acuerdo con el marco normativo que le rige</v>
      </c>
      <c r="F27" s="115" t="str">
        <f>+IFERROR(VLOOKUP(C27,Hoja1!$H$2:$I$45,2,0),"")</f>
        <v>Si</v>
      </c>
      <c r="G27" s="116" t="str">
        <f t="shared" si="0"/>
        <v>Existe requerimiento pero se requiere actividades  dirigidas a su mantenimiento dentro del marco de las lineas de defensa.</v>
      </c>
      <c r="I27" s="129">
        <f t="shared" si="1"/>
        <v>1</v>
      </c>
      <c r="J27" s="259"/>
    </row>
    <row r="28" spans="1:10" ht="45" x14ac:dyDescent="0.25">
      <c r="A28" s="1"/>
      <c r="B28" s="1"/>
      <c r="C28" s="127">
        <v>10</v>
      </c>
      <c r="D28" s="277"/>
      <c r="E28" s="114" t="str">
        <f>+IFERROR(INDEX(Hoja1!$E$2:$E$45,MATCH('Análisis Resultados'!C28,Hoja1!$H$2:$H$45,0)),"")</f>
        <v>Procesos de desvinculación de servidores de acuerdo con lo previsto en la Constitución Política y las leyes</v>
      </c>
      <c r="F28" s="115" t="str">
        <f>+IFERROR(VLOOKUP(C28,Hoja1!$H$2:$I$45,2,0),"")</f>
        <v>Si</v>
      </c>
      <c r="G28" s="116" t="str">
        <f t="shared" si="0"/>
        <v>Existe requerimiento pero se requiere actividades  dirigidas a su mantenimiento dentro del marco de las lineas de defensa.</v>
      </c>
      <c r="I28" s="129">
        <f t="shared" si="1"/>
        <v>1</v>
      </c>
      <c r="J28" s="259"/>
    </row>
    <row r="29" spans="1:10" ht="45" x14ac:dyDescent="0.25">
      <c r="A29" s="1"/>
      <c r="B29" s="1"/>
      <c r="C29" s="127">
        <v>11</v>
      </c>
      <c r="D29" s="277"/>
      <c r="E29" s="114" t="str">
        <f>+IFERROR(INDEX(Hoja1!$E$2:$E$45,MATCH('Análisis Resultados'!C29,Hoja1!$H$2:$H$45,0)),"")</f>
        <v>Mecanismos de rendición de cuentas a la ciudadanía</v>
      </c>
      <c r="F29" s="115" t="str">
        <f>+IFERROR(VLOOKUP(C29,Hoja1!$H$2:$I$45,2,0),"")</f>
        <v>Si</v>
      </c>
      <c r="G29" s="116" t="str">
        <f>+IF(F29="Si","Existe requerimiento pero se requiere actividades  dirigidas a su mantenimiento dentro del marco de las lineas de defensa.",IF(F29="En proceso","Se encuentra en proceso, pero requiere continuar con acciones dirigidas a contar con dicho aspecto de control.","No se encuentra el aspecto  por lo tanto la entidad debera generar acciones dirigidas a que se cumpla con el requerimiento."))</f>
        <v>Existe requerimiento pero se requiere actividades  dirigidas a su mantenimiento dentro del marco de las lineas de defensa.</v>
      </c>
      <c r="I29" s="129">
        <f t="shared" si="1"/>
        <v>1</v>
      </c>
      <c r="J29" s="259"/>
    </row>
    <row r="30" spans="1:10" ht="45.75" thickBot="1" x14ac:dyDescent="0.3">
      <c r="A30" s="1"/>
      <c r="B30" s="1"/>
      <c r="C30" s="127">
        <v>12</v>
      </c>
      <c r="D30" s="278"/>
      <c r="E30" s="117" t="str">
        <f>+IFERROR(INDEX(Hoja1!$E$2:$E$45,MATCH('Análisis Resultados'!C30,Hoja1!$H$2:$H$45,0)),"")</f>
        <v>Presentación oportuna de sus informes de gestión a las autoridades competentes</v>
      </c>
      <c r="F30" s="118" t="str">
        <f>+IFERROR(VLOOKUP(C30,Hoja1!$H$2:$I$45,2,0),"")</f>
        <v>Si</v>
      </c>
      <c r="G30" s="119" t="str">
        <f t="shared" si="0"/>
        <v>Existe requerimiento pero se requiere actividades  dirigidas a su mantenimiento dentro del marco de las lineas de defensa.</v>
      </c>
      <c r="I30" s="130">
        <f t="shared" si="1"/>
        <v>1</v>
      </c>
      <c r="J30" s="260"/>
    </row>
    <row r="31" spans="1:10" ht="45" customHeight="1" x14ac:dyDescent="0.25">
      <c r="A31" s="1"/>
      <c r="B31" s="1"/>
      <c r="C31" s="127">
        <v>13</v>
      </c>
      <c r="D31" s="272" t="s">
        <v>60</v>
      </c>
      <c r="E31" s="111" t="str">
        <f>+IFERROR(INDEX(Hoja1!$E$2:$E$45,MATCH('Análisis Resultados'!C31,Hoja1!$H$2:$H$45,0)),"")</f>
        <v>La identificación de cambios en su entorno que pueden generar consecuencias negativas en su gestión</v>
      </c>
      <c r="F31" s="112" t="str">
        <f>+IFERROR(VLOOKUP(C31,Hoja1!$H$2:$I$45,2,0),"")</f>
        <v>Si</v>
      </c>
      <c r="G31" s="113" t="str">
        <f t="shared" si="0"/>
        <v>Existe requerimiento pero se requiere actividades  dirigidas a su mantenimiento dentro del marco de las lineas de defensa.</v>
      </c>
      <c r="I31" s="128">
        <f t="shared" si="1"/>
        <v>1</v>
      </c>
      <c r="J31" s="256">
        <f>+AVERAGE(I31:I40)</f>
        <v>1</v>
      </c>
    </row>
    <row r="32" spans="1:10" ht="57" customHeight="1" x14ac:dyDescent="0.25">
      <c r="A32" s="1"/>
      <c r="B32" s="1"/>
      <c r="C32" s="127">
        <v>14</v>
      </c>
      <c r="D32" s="273"/>
      <c r="E32" s="114" t="str">
        <f>+IFERROR(INDEX(Hoja1!$E$2:$E$45,MATCH('Análisis Resultados'!C32,Hoja1!$H$2:$H$45,0)),"")</f>
        <v>La identificación de aquellos problemas o aspectos que pueden afectar el cumplimiento de los planes de la entidad y en general su gestión institucional (riesgos)</v>
      </c>
      <c r="F32" s="115" t="str">
        <f>+IFERROR(VLOOKUP(C32,Hoja1!$H$2:$I$45,2,0),"")</f>
        <v>Si</v>
      </c>
      <c r="G32" s="116" t="str">
        <f t="shared" si="0"/>
        <v>Existe requerimiento pero se requiere actividades  dirigidas a su mantenimiento dentro del marco de las lineas de defensa.</v>
      </c>
      <c r="I32" s="129">
        <f t="shared" si="1"/>
        <v>1</v>
      </c>
      <c r="J32" s="257"/>
    </row>
    <row r="33" spans="1:10" ht="54" customHeight="1" x14ac:dyDescent="0.25">
      <c r="A33" s="1"/>
      <c r="B33" s="1"/>
      <c r="C33" s="127">
        <v>15</v>
      </c>
      <c r="D33" s="273"/>
      <c r="E33" s="114" t="str">
        <f>+IFERROR(INDEX(Hoja1!$E$2:$E$45,MATCH('Análisis Resultados'!C33,Hoja1!$H$2:$H$45,0)),"")</f>
        <v>La identificación  de los riesgos relacionados con posibles actos de corrupción en el ejercicio de sus funciones</v>
      </c>
      <c r="F33" s="115" t="str">
        <f>+IFERROR(VLOOKUP(C33,Hoja1!$H$2:$I$45,2,0),"")</f>
        <v>Si</v>
      </c>
      <c r="G33" s="116" t="str">
        <f t="shared" si="0"/>
        <v>Existe requerimiento pero se requiere actividades  dirigidas a su mantenimiento dentro del marco de las lineas de defensa.</v>
      </c>
      <c r="I33" s="129">
        <f t="shared" si="1"/>
        <v>1</v>
      </c>
      <c r="J33" s="257"/>
    </row>
    <row r="34" spans="1:10" ht="45" x14ac:dyDescent="0.25">
      <c r="A34" s="1"/>
      <c r="B34" s="1"/>
      <c r="C34" s="127">
        <v>16</v>
      </c>
      <c r="D34" s="273"/>
      <c r="E34" s="114" t="str">
        <f>+IFERROR(INDEX(Hoja1!$E$2:$E$45,MATCH('Análisis Resultados'!C34,Hoja1!$H$2:$H$45,0)),"")</f>
        <v>Si su capacidad e infraestructura lo permite, identificación de riesgos asociados a las tecnologías de la información y las comunicaciones</v>
      </c>
      <c r="F34" s="115" t="str">
        <f>+IFERROR(VLOOKUP(C34,Hoja1!$H$2:$I$45,2,0),"")</f>
        <v>Si</v>
      </c>
      <c r="G34" s="116" t="str">
        <f t="shared" si="0"/>
        <v>Existe requerimiento pero se requiere actividades  dirigidas a su mantenimiento dentro del marco de las lineas de defensa.</v>
      </c>
      <c r="I34" s="129">
        <f t="shared" si="1"/>
        <v>1</v>
      </c>
      <c r="J34" s="257"/>
    </row>
    <row r="35" spans="1:10" ht="67.5" customHeight="1" x14ac:dyDescent="0.25">
      <c r="A35" s="1"/>
      <c r="B35" s="1"/>
      <c r="C35" s="127">
        <v>17</v>
      </c>
      <c r="D35" s="273"/>
      <c r="E35" s="114" t="str">
        <f>+IFERROR(INDEX(Hoja1!$E$2:$E$45,MATCH('Análisis Resultados'!C35,Hoja1!$H$2:$H$45,0)),"")</f>
        <v>Hacen seguimiento a los problemas (riesgos)  que pueden afectar el cumplimiento de sus procesos, programas o proyectos a cargo</v>
      </c>
      <c r="F35" s="115" t="str">
        <f>+IFERROR(VLOOKUP(C35,Hoja1!$H$2:$I$45,2,0),"")</f>
        <v>Si</v>
      </c>
      <c r="G35" s="116" t="str">
        <f t="shared" si="0"/>
        <v>Existe requerimiento pero se requiere actividades  dirigidas a su mantenimiento dentro del marco de las lineas de defensa.</v>
      </c>
      <c r="I35" s="129">
        <f t="shared" si="1"/>
        <v>1</v>
      </c>
      <c r="J35" s="257"/>
    </row>
    <row r="36" spans="1:10" ht="45" x14ac:dyDescent="0.25">
      <c r="A36" s="1"/>
      <c r="B36" s="1"/>
      <c r="C36" s="127">
        <v>18</v>
      </c>
      <c r="D36" s="273"/>
      <c r="E36" s="114" t="str">
        <f>+IFERROR(INDEX(Hoja1!$E$2:$E$45,MATCH('Análisis Resultados'!C36,Hoja1!$H$2:$H$45,0)),"")</f>
        <v>Informan de manera periódica a quien corresponda sobre el desempeño de las actividades de gestión de riesgos</v>
      </c>
      <c r="F36" s="115" t="str">
        <f>+IFERROR(VLOOKUP(C36,Hoja1!$H$2:$I$45,2,0),"")</f>
        <v>Si</v>
      </c>
      <c r="G36" s="116" t="str">
        <f t="shared" si="0"/>
        <v>Existe requerimiento pero se requiere actividades  dirigidas a su mantenimiento dentro del marco de las lineas de defensa.</v>
      </c>
      <c r="I36" s="129">
        <f t="shared" si="1"/>
        <v>1</v>
      </c>
      <c r="J36" s="257"/>
    </row>
    <row r="37" spans="1:10" ht="57" customHeight="1" x14ac:dyDescent="0.25">
      <c r="A37" s="1"/>
      <c r="B37" s="1"/>
      <c r="C37" s="127">
        <v>19</v>
      </c>
      <c r="D37" s="273"/>
      <c r="E37" s="114" t="str">
        <f>+IFERROR(INDEX(Hoja1!$E$2:$E$45,MATCH('Análisis Resultados'!C37,Hoja1!$H$2:$H$45,0)),"")</f>
        <v>Identifican deficiencias en las maneras de  controlar los riesgos o problemas en sus procesos, programas o proyectos, y propone los ajustes necesarios</v>
      </c>
      <c r="F37" s="115" t="str">
        <f>+IFERROR(VLOOKUP(C37,Hoja1!$H$2:$I$45,2,0),"")</f>
        <v>Si</v>
      </c>
      <c r="G37" s="116" t="str">
        <f t="shared" si="0"/>
        <v>Existe requerimiento pero se requiere actividades  dirigidas a su mantenimiento dentro del marco de las lineas de defensa.</v>
      </c>
      <c r="I37" s="129">
        <f t="shared" si="1"/>
        <v>1</v>
      </c>
      <c r="J37" s="257"/>
    </row>
    <row r="38" spans="1:10" ht="45" x14ac:dyDescent="0.25">
      <c r="A38" s="1"/>
      <c r="B38" s="1"/>
      <c r="C38" s="127">
        <v>20</v>
      </c>
      <c r="D38" s="273"/>
      <c r="E38" s="114" t="str">
        <f>+IFERROR(INDEX(Hoja1!$E$2:$E$45,MATCH('Análisis Resultados'!C38,Hoja1!$H$2:$H$45,0)),"")</f>
        <v>Se definen espacios de reunión para conocerlos y proponer acciones para su solución</v>
      </c>
      <c r="F38" s="115" t="str">
        <f>+IFERROR(VLOOKUP(C38,Hoja1!$H$2:$I$45,2,0),"")</f>
        <v>Si</v>
      </c>
      <c r="G38" s="116" t="str">
        <f t="shared" si="0"/>
        <v>Existe requerimiento pero se requiere actividades  dirigidas a su mantenimiento dentro del marco de las lineas de defensa.</v>
      </c>
      <c r="I38" s="129">
        <f t="shared" si="1"/>
        <v>1</v>
      </c>
      <c r="J38" s="257"/>
    </row>
    <row r="39" spans="1:10" ht="45" x14ac:dyDescent="0.25">
      <c r="A39" s="1"/>
      <c r="B39" s="1"/>
      <c r="C39" s="127">
        <v>21</v>
      </c>
      <c r="D39" s="273"/>
      <c r="E39" s="114" t="str">
        <f>+IFERROR(INDEX(Hoja1!$E$2:$E$45,MATCH('Análisis Resultados'!C39,Hoja1!$H$2:$H$45,0)),"")</f>
        <v>Cada líder del equipo autónomamente toma las acciones para solucionarlos.</v>
      </c>
      <c r="F39" s="115" t="str">
        <f>+IFERROR(VLOOKUP(C39,Hoja1!$H$2:$I$45,2,0),"")</f>
        <v>Si</v>
      </c>
      <c r="G39" s="116" t="str">
        <f t="shared" si="0"/>
        <v>Existe requerimiento pero se requiere actividades  dirigidas a su mantenimiento dentro del marco de las lineas de defensa.</v>
      </c>
      <c r="I39" s="129">
        <f t="shared" si="1"/>
        <v>1</v>
      </c>
      <c r="J39" s="257"/>
    </row>
    <row r="40" spans="1:10" ht="45.75" thickBot="1" x14ac:dyDescent="0.3">
      <c r="A40" s="1"/>
      <c r="B40" s="1"/>
      <c r="C40" s="127">
        <v>22</v>
      </c>
      <c r="D40" s="273"/>
      <c r="E40" s="120" t="str">
        <f>+IFERROR(INDEX(Hoja1!$E$2:$E$45,MATCH('Análisis Resultados'!C40,Hoja1!$H$2:$H$45,0)),"")</f>
        <v>Solamente hasta que un organismo de control actúa se definen acciones de mejora.</v>
      </c>
      <c r="F40" s="121" t="str">
        <f>+IFERROR(VLOOKUP(C40,Hoja1!$H$2:$I$45,2,0),"")</f>
        <v>Si</v>
      </c>
      <c r="G40" s="122" t="str">
        <f t="shared" si="0"/>
        <v>Existe requerimiento pero se requiere actividades  dirigidas a su mantenimiento dentro del marco de las lineas de defensa.</v>
      </c>
      <c r="I40" s="131">
        <f t="shared" si="1"/>
        <v>1</v>
      </c>
      <c r="J40" s="257"/>
    </row>
    <row r="41" spans="1:10" ht="87.75" customHeight="1" x14ac:dyDescent="0.25">
      <c r="A41" s="1"/>
      <c r="B41" s="1"/>
      <c r="C41" s="127">
        <v>23</v>
      </c>
      <c r="D41" s="268" t="s">
        <v>77</v>
      </c>
      <c r="E41" s="111" t="str">
        <f>+IFERROR(INDEX(Hoja1!$E$2:$E$45,MATCH('Análisis Resultados'!C41,Hoja1!$H$2:$H$45,0)),"")</f>
        <v>La definición de acciones o actividades para para dar tratamiento a los problemas identificados (mitigación de riesgos), incluyendo aquellos asociados a posibles actos de corrupción</v>
      </c>
      <c r="F41" s="112" t="str">
        <f>+IFERROR(VLOOKUP(C41,Hoja1!$H$2:$I$45,2,0),"")</f>
        <v>Si</v>
      </c>
      <c r="G41" s="113" t="str">
        <f t="shared" si="0"/>
        <v>Existe requerimiento pero se requiere actividades  dirigidas a su mantenimiento dentro del marco de las lineas de defensa.</v>
      </c>
      <c r="I41" s="128">
        <f t="shared" si="1"/>
        <v>1</v>
      </c>
      <c r="J41" s="256">
        <f>+AVERAGE(I41:I45)</f>
        <v>1</v>
      </c>
    </row>
    <row r="42" spans="1:10" ht="57" x14ac:dyDescent="0.25">
      <c r="A42" s="1"/>
      <c r="B42" s="1"/>
      <c r="C42" s="127">
        <v>24</v>
      </c>
      <c r="D42" s="269"/>
      <c r="E42" s="114" t="str">
        <f>+IFERROR(INDEX(Hoja1!$E$2:$E$45,MATCH('Análisis Resultados'!C42,Hoja1!$H$2:$H$45,0)),"")</f>
        <v>Mecanismos de verificación de si se están o no mitigando los riesgos, o en su defecto, elaboración de planes de contingencia para subsanar sus consecuencias</v>
      </c>
      <c r="F42" s="115" t="str">
        <f>+IFERROR(VLOOKUP(C42,Hoja1!$H$2:$I$45,2,0),"")</f>
        <v>Si</v>
      </c>
      <c r="G42" s="116" t="str">
        <f t="shared" si="0"/>
        <v>Existe requerimiento pero se requiere actividades  dirigidas a su mantenimiento dentro del marco de las lineas de defensa.</v>
      </c>
      <c r="I42" s="129">
        <f t="shared" si="1"/>
        <v>1</v>
      </c>
      <c r="J42" s="257"/>
    </row>
    <row r="43" spans="1:10" ht="85.5" customHeight="1" x14ac:dyDescent="0.25">
      <c r="A43" s="1"/>
      <c r="B43" s="1"/>
      <c r="C43" s="127">
        <v>25</v>
      </c>
      <c r="D43" s="269"/>
      <c r="E43" s="114" t="str">
        <f>+IFERROR(INDEX(Hoja1!$E$2:$E$45,MATCH('Análisis Resultados'!C43,Hoja1!$H$2:$H$45,0)),"")</f>
        <v>Planes, acciones o estrategias que permitan subsanar las consecuencias de la materialización de los riesgos, cuando se presentan</v>
      </c>
      <c r="F43" s="115" t="str">
        <f>+IFERROR(VLOOKUP(C43,Hoja1!$H$2:$I$45,2,0),"")</f>
        <v>Si</v>
      </c>
      <c r="G43" s="116" t="str">
        <f t="shared" si="0"/>
        <v>Existe requerimiento pero se requiere actividades  dirigidas a su mantenimiento dentro del marco de las lineas de defensa.</v>
      </c>
      <c r="I43" s="129">
        <f t="shared" si="1"/>
        <v>1</v>
      </c>
      <c r="J43" s="257"/>
    </row>
    <row r="44" spans="1:10" ht="57" customHeight="1" x14ac:dyDescent="0.25">
      <c r="A44" s="1"/>
      <c r="B44" s="1"/>
      <c r="C44" s="127">
        <v>26</v>
      </c>
      <c r="D44" s="269"/>
      <c r="E44" s="114" t="str">
        <f>+IFERROR(INDEX(Hoja1!$E$2:$E$45,MATCH('Análisis Resultados'!C44,Hoja1!$H$2:$H$45,0)),"")</f>
        <v>Un documento que consolide  los riesgos  y el tratamiento que se les da, incluyendo aquellos que conllevan posibles actos de corrupción y si la capacidad e infraestructura lo permite, los asociados con las tecnologías de la información y las comunicaciones</v>
      </c>
      <c r="F44" s="115" t="str">
        <f>+IFERROR(VLOOKUP(C44,Hoja1!$H$2:$I$45,2,0),"")</f>
        <v>Si</v>
      </c>
      <c r="G44" s="116" t="str">
        <f t="shared" si="0"/>
        <v>Existe requerimiento pero se requiere actividades  dirigidas a su mantenimiento dentro del marco de las lineas de defensa.</v>
      </c>
      <c r="I44" s="129">
        <f t="shared" si="1"/>
        <v>1</v>
      </c>
      <c r="J44" s="257"/>
    </row>
    <row r="45" spans="1:10" ht="57" customHeight="1" thickBot="1" x14ac:dyDescent="0.3">
      <c r="A45" s="1"/>
      <c r="B45" s="1"/>
      <c r="C45" s="127">
        <v>27</v>
      </c>
      <c r="D45" s="270"/>
      <c r="E45" s="117" t="str">
        <f>+IFERROR(INDEX(Hoja1!$E$2:$E$45,MATCH('Análisis Resultados'!C45,Hoja1!$H$2:$H$45,0)),"")</f>
        <v>Un plan anticorrupción y de servicio al ciudadano con los temas que le aplican, publicado en algún medio para conocimiento de la ciudadanía</v>
      </c>
      <c r="F45" s="118" t="str">
        <f>+IFERROR(VLOOKUP(C45,Hoja1!$H$2:$I$45,2,0),"")</f>
        <v>Si</v>
      </c>
      <c r="G45" s="119" t="str">
        <f t="shared" si="0"/>
        <v>Existe requerimiento pero se requiere actividades  dirigidas a su mantenimiento dentro del marco de las lineas de defensa.</v>
      </c>
      <c r="I45" s="130">
        <f t="shared" si="1"/>
        <v>1</v>
      </c>
      <c r="J45" s="271"/>
    </row>
    <row r="46" spans="1:10" ht="63.75" customHeight="1" x14ac:dyDescent="0.25">
      <c r="A46" s="1"/>
      <c r="B46" s="1"/>
      <c r="C46" s="127">
        <v>28</v>
      </c>
      <c r="D46" s="267" t="s">
        <v>85</v>
      </c>
      <c r="E46" s="123" t="str">
        <f>+IFERROR(INDEX(Hoja1!$E$2:$E$45,MATCH('Análisis Resultados'!C46,Hoja1!$H$2:$H$45,0)),"")</f>
        <v>Canales de comunicación con los ciudadanos</v>
      </c>
      <c r="F46" s="124" t="str">
        <f>+IFERROR(VLOOKUP(C46,Hoja1!$H$2:$I$45,2,0),"")</f>
        <v/>
      </c>
      <c r="G46" s="156" t="str">
        <f t="shared" si="0"/>
        <v>No se encuentra el aspecto  por lo tanto la entidad debera generar acciones dirigidas a que se cumpla con el requerimiento.</v>
      </c>
      <c r="I46" s="132">
        <f t="shared" si="1"/>
        <v>0</v>
      </c>
      <c r="J46" s="257">
        <f>+AVERAGE(I46:I52)</f>
        <v>0.8571428571428571</v>
      </c>
    </row>
    <row r="47" spans="1:10" ht="92.25" customHeight="1" x14ac:dyDescent="0.25">
      <c r="A47" s="1"/>
      <c r="B47" s="1"/>
      <c r="C47" s="127">
        <v>29</v>
      </c>
      <c r="D47" s="267"/>
      <c r="E47" s="114" t="str">
        <f>+IFERROR(INDEX(Hoja1!$E$2:$E$45,MATCH('Análisis Resultados'!C47,Hoja1!$H$2:$H$45,0)),"")</f>
        <v>Responsables de la información institucional</v>
      </c>
      <c r="F47" s="115" t="str">
        <f>+IFERROR(VLOOKUP(C47,Hoja1!$H$2:$I$45,2,0),"")</f>
        <v>Si</v>
      </c>
      <c r="G47" s="125" t="str">
        <f t="shared" si="0"/>
        <v>Existe requerimiento pero se requiere actividades  dirigidas a su mantenimiento dentro del marco de las lineas de defensa.</v>
      </c>
      <c r="I47" s="133">
        <f t="shared" si="1"/>
        <v>1</v>
      </c>
      <c r="J47" s="257"/>
    </row>
    <row r="48" spans="1:10" ht="66.75" customHeight="1" x14ac:dyDescent="0.25">
      <c r="A48" s="1"/>
      <c r="B48" s="1"/>
      <c r="C48" s="127">
        <v>30</v>
      </c>
      <c r="D48" s="267"/>
      <c r="E48" s="114" t="str">
        <f>+IFERROR(INDEX(Hoja1!$E$2:$E$45,MATCH('Análisis Resultados'!C48,Hoja1!$H$2:$H$45,0)),"")</f>
        <v>Canales de comunicación o mecanismos de reporte de información a otros organismos gubernamentales o de control</v>
      </c>
      <c r="F48" s="115" t="str">
        <f>+IFERROR(VLOOKUP(C48,Hoja1!$H$2:$I$45,2,0),"")</f>
        <v>Si</v>
      </c>
      <c r="G48" s="125" t="str">
        <f t="shared" si="0"/>
        <v>Existe requerimiento pero se requiere actividades  dirigidas a su mantenimiento dentro del marco de las lineas de defensa.</v>
      </c>
      <c r="I48" s="133">
        <f t="shared" si="1"/>
        <v>1</v>
      </c>
      <c r="J48" s="257"/>
    </row>
    <row r="49" spans="1:10" ht="60" customHeight="1" x14ac:dyDescent="0.25">
      <c r="A49" s="1"/>
      <c r="B49" s="1"/>
      <c r="C49" s="127">
        <v>31</v>
      </c>
      <c r="D49" s="267"/>
      <c r="E49" s="114" t="str">
        <f>+IFERROR(INDEX(Hoja1!$E$2:$E$45,MATCH('Análisis Resultados'!C49,Hoja1!$H$2:$H$45,0)),"")</f>
        <v xml:space="preserve">Lineamientos para dar tratamiento a la información de carácter reservado </v>
      </c>
      <c r="F49" s="115" t="str">
        <f>+IFERROR(VLOOKUP(C49,Hoja1!$H$2:$I$45,2,0),"")</f>
        <v>Si</v>
      </c>
      <c r="G49" s="125" t="str">
        <f t="shared" si="0"/>
        <v>Existe requerimiento pero se requiere actividades  dirigidas a su mantenimiento dentro del marco de las lineas de defensa.</v>
      </c>
      <c r="I49" s="133">
        <f t="shared" si="1"/>
        <v>1</v>
      </c>
      <c r="J49" s="257"/>
    </row>
    <row r="50" spans="1:10" ht="57" customHeight="1" x14ac:dyDescent="0.25">
      <c r="A50" s="1"/>
      <c r="B50" s="1"/>
      <c r="C50" s="127">
        <v>32</v>
      </c>
      <c r="D50" s="267"/>
      <c r="E50" s="114" t="str">
        <f>+IFERROR(INDEX(Hoja1!$E$2:$E$45,MATCH('Análisis Resultados'!C50,Hoja1!$H$2:$H$45,0)),"")</f>
        <v>Identificación de información que produce en el marco de su gestión (Para los ciudadanos, organismos de control, organismos gubernamentales, entre otros)</v>
      </c>
      <c r="F50" s="115" t="str">
        <f>+IFERROR(VLOOKUP(C50,Hoja1!$H$2:$I$45,2,0),"")</f>
        <v>Si</v>
      </c>
      <c r="G50" s="125" t="str">
        <f t="shared" si="0"/>
        <v>Existe requerimiento pero se requiere actividades  dirigidas a su mantenimiento dentro del marco de las lineas de defensa.</v>
      </c>
      <c r="I50" s="133">
        <f t="shared" si="1"/>
        <v>1</v>
      </c>
      <c r="J50" s="257"/>
    </row>
    <row r="51" spans="1:10" ht="57" customHeight="1" x14ac:dyDescent="0.25">
      <c r="A51" s="1"/>
      <c r="B51" s="1"/>
      <c r="C51" s="127">
        <v>33</v>
      </c>
      <c r="D51" s="267"/>
      <c r="E51" s="114" t="str">
        <f>+IFERROR(INDEX(Hoja1!$E$2:$E$45,MATCH('Análisis Resultados'!C51,Hoja1!$H$2:$H$45,0)),"")</f>
        <v>Identificación de información necesaria para la operación de la entidad (normograma, presupuesto, talento humano, infraestructura física y tecnológica)</v>
      </c>
      <c r="F51" s="115" t="str">
        <f>+IFERROR(VLOOKUP(C51,Hoja1!$H$2:$I$45,2,0),"")</f>
        <v>Si</v>
      </c>
      <c r="G51" s="125" t="str">
        <f t="shared" si="0"/>
        <v>Existe requerimiento pero se requiere actividades  dirigidas a su mantenimiento dentro del marco de las lineas de defensa.</v>
      </c>
      <c r="I51" s="133">
        <f t="shared" si="1"/>
        <v>1</v>
      </c>
      <c r="J51" s="257"/>
    </row>
    <row r="52" spans="1:10" ht="45.75" thickBot="1" x14ac:dyDescent="0.3">
      <c r="A52" s="1"/>
      <c r="B52" s="1"/>
      <c r="C52" s="127">
        <v>34</v>
      </c>
      <c r="D52" s="267"/>
      <c r="E52" s="120" t="str">
        <f>+IFERROR(INDEX(Hoja1!$E$2:$E$45,MATCH('Análisis Resultados'!C52,Hoja1!$H$2:$H$45,0)),"")</f>
        <v>Si su capacidad e infraestructura lo permite, tecnologías de la información y las comunicaciones que soporten estos procesos</v>
      </c>
      <c r="F52" s="121" t="str">
        <f>+IFERROR(VLOOKUP(C52,Hoja1!$H$2:$I$45,2,0),"")</f>
        <v>Si</v>
      </c>
      <c r="G52" s="126" t="str">
        <f t="shared" si="0"/>
        <v>Existe requerimiento pero se requiere actividades  dirigidas a su mantenimiento dentro del marco de las lineas de defensa.</v>
      </c>
      <c r="I52" s="134">
        <f t="shared" si="1"/>
        <v>1</v>
      </c>
      <c r="J52" s="257"/>
    </row>
    <row r="53" spans="1:10" ht="41.25" customHeight="1" x14ac:dyDescent="0.25">
      <c r="A53" s="1"/>
      <c r="B53" s="1"/>
      <c r="C53" s="127">
        <v>35</v>
      </c>
      <c r="D53" s="261" t="s">
        <v>95</v>
      </c>
      <c r="E53" s="111" t="str">
        <f>+IFERROR(INDEX(Hoja1!$E$2:$E$45,MATCH('Análisis Resultados'!C53,Hoja1!$H$2:$H$45,0)),"")</f>
        <v>Mecanismos de evaluación de la gestión (cronogramas, indicadores, listas de chequeo u otros)</v>
      </c>
      <c r="F53" s="112" t="str">
        <f>+IFERROR(VLOOKUP(C53,Hoja1!$H$2:$I$45,2,0),"")</f>
        <v>Si</v>
      </c>
      <c r="G53" s="113" t="str">
        <f t="shared" si="0"/>
        <v>Existe requerimiento pero se requiere actividades  dirigidas a su mantenimiento dentro del marco de las lineas de defensa.</v>
      </c>
      <c r="I53" s="128">
        <f t="shared" si="1"/>
        <v>1</v>
      </c>
      <c r="J53" s="264">
        <f>+AVERAGE(I53:I62)</f>
        <v>1</v>
      </c>
    </row>
    <row r="54" spans="1:10" ht="58.5" customHeight="1" x14ac:dyDescent="0.25">
      <c r="A54" s="1"/>
      <c r="B54" s="1"/>
      <c r="C54" s="127">
        <v>36</v>
      </c>
      <c r="D54" s="262"/>
      <c r="E54" s="114" t="str">
        <f>+IFERROR(INDEX(Hoja1!$E$2:$E$45,MATCH('Análisis Resultados'!C54,Hoja1!$H$2:$H$45,0)),"")</f>
        <v>Algún mecanismo para monitorear o supervisar el sistema de control interno institucional, ya sea por parte del representante legal, o del área de control interno (si la entidad cuenta con ella), o bien a través del Comité departamental o municipal de Auditoría.</v>
      </c>
      <c r="F54" s="115" t="str">
        <f>+IFERROR(VLOOKUP(C54,Hoja1!$H$2:$I$45,2,0),"")</f>
        <v>Si</v>
      </c>
      <c r="G54" s="116" t="str">
        <f t="shared" si="0"/>
        <v>Existe requerimiento pero se requiere actividades  dirigidas a su mantenimiento dentro del marco de las lineas de defensa.</v>
      </c>
      <c r="I54" s="129">
        <f t="shared" si="1"/>
        <v>1</v>
      </c>
      <c r="J54" s="265"/>
    </row>
    <row r="55" spans="1:10" s="1" customFormat="1" ht="84.75" customHeight="1" x14ac:dyDescent="0.25">
      <c r="C55" s="127">
        <v>37</v>
      </c>
      <c r="D55" s="262"/>
      <c r="E55" s="114" t="str">
        <f>+IFERROR(INDEX(Hoja1!$E$2:$E$45,MATCH('Análisis Resultados'!C55,Hoja1!$H$2:$H$45,0)),"")</f>
        <v>Medidas correctivas en caso de detectarse deficiencias en los ejercicios de evaluación, seguimiento o auditoría</v>
      </c>
      <c r="F55" s="115" t="str">
        <f>+IFERROR(VLOOKUP(C55,Hoja1!$H$2:$I$45,2,0),"")</f>
        <v>Si</v>
      </c>
      <c r="G55" s="116" t="str">
        <f t="shared" si="0"/>
        <v>Existe requerimiento pero se requiere actividades  dirigidas a su mantenimiento dentro del marco de las lineas de defensa.</v>
      </c>
      <c r="I55" s="129">
        <f t="shared" si="1"/>
        <v>1</v>
      </c>
      <c r="J55" s="265"/>
    </row>
    <row r="56" spans="1:10" s="1" customFormat="1" ht="78.75" customHeight="1" x14ac:dyDescent="0.25">
      <c r="C56" s="127">
        <v>38</v>
      </c>
      <c r="D56" s="262"/>
      <c r="E56" s="114" t="str">
        <f>+IFERROR(INDEX(Hoja1!$E$2:$E$45,MATCH('Análisis Resultados'!C56,Hoja1!$H$2:$H$45,0)),"")</f>
        <v>Seguimiento a los planes de mejoramiento suscritos con instancias de control internas o externas</v>
      </c>
      <c r="F56" s="115" t="str">
        <f>+IFERROR(VLOOKUP(C56,Hoja1!$H$2:$I$45,2,0),"")</f>
        <v>Si</v>
      </c>
      <c r="G56" s="116" t="str">
        <f t="shared" si="0"/>
        <v>Existe requerimiento pero se requiere actividades  dirigidas a su mantenimiento dentro del marco de las lineas de defensa.</v>
      </c>
      <c r="I56" s="129">
        <f t="shared" si="1"/>
        <v>1</v>
      </c>
      <c r="J56" s="265"/>
    </row>
    <row r="57" spans="1:10" s="1" customFormat="1" ht="54.75" customHeight="1" x14ac:dyDescent="0.25">
      <c r="C57" s="127">
        <v>39</v>
      </c>
      <c r="D57" s="262"/>
      <c r="E57" s="114" t="str">
        <f>+IFERROR(INDEX(Hoja1!$E$2:$E$45,MATCH('Análisis Resultados'!C57,Hoja1!$H$2:$H$45,0)),"")</f>
        <v>La entidad participa en el  Comité Municipal de Auditoría?</v>
      </c>
      <c r="F57" s="115" t="str">
        <f>+IFERROR(VLOOKUP(C57,Hoja1!$H$2:$I$45,2,0),"")</f>
        <v>Si</v>
      </c>
      <c r="G57" s="116" t="str">
        <f t="shared" si="0"/>
        <v>Existe requerimiento pero se requiere actividades  dirigidas a su mantenimiento dentro del marco de las lineas de defensa.</v>
      </c>
      <c r="I57" s="129">
        <f t="shared" si="1"/>
        <v>1</v>
      </c>
      <c r="J57" s="265"/>
    </row>
    <row r="58" spans="1:10" s="1" customFormat="1" ht="68.25" customHeight="1" x14ac:dyDescent="0.25">
      <c r="C58" s="127">
        <v>40</v>
      </c>
      <c r="D58" s="262"/>
      <c r="E58" s="114" t="str">
        <f>+IFERROR(INDEX(Hoja1!$E$2:$E$45,MATCH('Análisis Resultados'!C58,Hoja1!$H$2:$H$45,0)),"")</f>
        <v>Evitar que los problemas (riesgos) obstaculicen el cumplimiento de los objetivos.</v>
      </c>
      <c r="F58" s="115" t="str">
        <f>+IFERROR(VLOOKUP(C58,Hoja1!$H$2:$I$45,2,0),"")</f>
        <v>Si</v>
      </c>
      <c r="G58" s="116" t="str">
        <f t="shared" si="0"/>
        <v>Existe requerimiento pero se requiere actividades  dirigidas a su mantenimiento dentro del marco de las lineas de defensa.</v>
      </c>
      <c r="I58" s="129">
        <f t="shared" si="1"/>
        <v>1</v>
      </c>
      <c r="J58" s="265"/>
    </row>
    <row r="59" spans="1:10" s="1" customFormat="1" ht="45" customHeight="1" x14ac:dyDescent="0.25">
      <c r="C59" s="127">
        <v>41</v>
      </c>
      <c r="D59" s="262"/>
      <c r="E59" s="114" t="str">
        <f>+IFERROR(INDEX(Hoja1!$E$2:$E$45,MATCH('Análisis Resultados'!C59,Hoja1!$H$2:$H$45,0)),"")</f>
        <v>Controlar los puntos críticos en los procesos.</v>
      </c>
      <c r="F59" s="115" t="str">
        <f>+IFERROR(VLOOKUP(C59,Hoja1!$H$2:$I$45,2,0),"")</f>
        <v>Si</v>
      </c>
      <c r="G59" s="116" t="str">
        <f t="shared" si="0"/>
        <v>Existe requerimiento pero se requiere actividades  dirigidas a su mantenimiento dentro del marco de las lineas de defensa.</v>
      </c>
      <c r="I59" s="129">
        <f t="shared" si="1"/>
        <v>1</v>
      </c>
      <c r="J59" s="265"/>
    </row>
    <row r="60" spans="1:10" s="1" customFormat="1" ht="51.75" customHeight="1" x14ac:dyDescent="0.25">
      <c r="C60" s="127">
        <v>42</v>
      </c>
      <c r="D60" s="262"/>
      <c r="E60" s="114" t="str">
        <f>+IFERROR(INDEX(Hoja1!$E$2:$E$45,MATCH('Análisis Resultados'!C60,Hoja1!$H$2:$H$45,0)),"")</f>
        <v>Diseñar acciones adecuadas para controlar los problemas que afectan el cumplimiento de las metas y objetivos institucionales (riesgos).</v>
      </c>
      <c r="F60" s="115" t="str">
        <f>+IFERROR(VLOOKUP(C60,Hoja1!$H$2:$I$45,2,0),"")</f>
        <v>Si</v>
      </c>
      <c r="G60" s="116" t="str">
        <f t="shared" si="0"/>
        <v>Existe requerimiento pero se requiere actividades  dirigidas a su mantenimiento dentro del marco de las lineas de defensa.</v>
      </c>
      <c r="I60" s="129">
        <f t="shared" si="1"/>
        <v>1</v>
      </c>
      <c r="J60" s="265"/>
    </row>
    <row r="61" spans="1:10" s="1" customFormat="1" ht="84" customHeight="1" x14ac:dyDescent="0.25">
      <c r="C61" s="127">
        <v>43</v>
      </c>
      <c r="D61" s="262"/>
      <c r="E61" s="114" t="str">
        <f>+IFERROR(INDEX(Hoja1!$E$2:$E$45,MATCH('Análisis Resultados'!C61,Hoja1!$H$2:$H$45,0)),"")</f>
        <v>Ejecutar las acciones de acuerdo a como se diseñaron previamente.</v>
      </c>
      <c r="F61" s="115" t="str">
        <f>+IFERROR(VLOOKUP(C61,Hoja1!$H$2:$I$45,2,0),"")</f>
        <v>Si</v>
      </c>
      <c r="G61" s="116" t="str">
        <f t="shared" si="0"/>
        <v>Existe requerimiento pero se requiere actividades  dirigidas a su mantenimiento dentro del marco de las lineas de defensa.</v>
      </c>
      <c r="I61" s="129">
        <f t="shared" si="1"/>
        <v>1</v>
      </c>
      <c r="J61" s="265"/>
    </row>
    <row r="62" spans="1:10" s="1" customFormat="1" ht="60" customHeight="1" thickBot="1" x14ac:dyDescent="0.3">
      <c r="C62" s="127">
        <v>44</v>
      </c>
      <c r="D62" s="263"/>
      <c r="E62" s="117" t="str">
        <f>+IFERROR(INDEX(Hoja1!$E$2:$E$45,MATCH('Análisis Resultados'!C62,Hoja1!$H$2:$H$45,0)),"")</f>
        <v>No se gestionan los problemas que afectan el cumplimiento de las funciones y objetivos institucionales(riesgos).</v>
      </c>
      <c r="F62" s="118" t="str">
        <f>+IFERROR(VLOOKUP(C62,Hoja1!$H$2:$I$45,2,0),"")</f>
        <v>Si</v>
      </c>
      <c r="G62" s="119" t="str">
        <f t="shared" si="0"/>
        <v>Existe requerimiento pero se requiere actividades  dirigidas a su mantenimiento dentro del marco de las lineas de defensa.</v>
      </c>
      <c r="I62" s="130">
        <f t="shared" si="1"/>
        <v>1</v>
      </c>
      <c r="J62" s="266"/>
    </row>
    <row r="63" spans="1:10" s="1" customFormat="1" x14ac:dyDescent="0.25"/>
    <row r="64" spans="1:10" s="1" customFormat="1" x14ac:dyDescent="0.25"/>
    <row r="65" spans="1:2" s="1" customFormat="1" x14ac:dyDescent="0.25"/>
    <row r="66" spans="1:2" s="1" customFormat="1" x14ac:dyDescent="0.25"/>
    <row r="67" spans="1:2" s="1" customFormat="1" x14ac:dyDescent="0.25"/>
    <row r="68" spans="1:2" s="1" customFormat="1" x14ac:dyDescent="0.25"/>
    <row r="69" spans="1:2" s="1" customFormat="1" x14ac:dyDescent="0.25"/>
    <row r="70" spans="1:2" s="1" customFormat="1" x14ac:dyDescent="0.25"/>
    <row r="71" spans="1:2" x14ac:dyDescent="0.25">
      <c r="A71" s="1"/>
      <c r="B71" s="1"/>
    </row>
    <row r="72" spans="1:2" x14ac:dyDescent="0.25">
      <c r="A72" s="1"/>
      <c r="B72" s="1"/>
    </row>
    <row r="73" spans="1:2" x14ac:dyDescent="0.25">
      <c r="A73" s="1"/>
      <c r="B73" s="1"/>
    </row>
    <row r="74" spans="1:2" x14ac:dyDescent="0.25">
      <c r="A74" s="1"/>
      <c r="B74" s="1"/>
    </row>
  </sheetData>
  <sheetProtection algorithmName="SHA-512" hashValue="2c/K7BVeA+JOjsvnu2HILGfEHHcx80UTyQTucJ5c70tus45UaD3gXdqjB7xLC6LydtmfT9VN5B07LstuhHP+UQ==" saltValue="5+Ylqwr6SZ9tvbSyY2m3gQ==" spinCount="100000" sheet="1" objects="1" scenarios="1" formatCells="0"/>
  <mergeCells count="25">
    <mergeCell ref="C7:K7"/>
    <mergeCell ref="C9:D9"/>
    <mergeCell ref="E9:F9"/>
    <mergeCell ref="C10:D10"/>
    <mergeCell ref="E10:F10"/>
    <mergeCell ref="C11:D11"/>
    <mergeCell ref="E11:F11"/>
    <mergeCell ref="J17:J18"/>
    <mergeCell ref="D19:D30"/>
    <mergeCell ref="C17:C18"/>
    <mergeCell ref="D17:E17"/>
    <mergeCell ref="F17:F18"/>
    <mergeCell ref="G17:G18"/>
    <mergeCell ref="I17:I18"/>
    <mergeCell ref="J31:J40"/>
    <mergeCell ref="C12:D12"/>
    <mergeCell ref="E12:F12"/>
    <mergeCell ref="J19:J30"/>
    <mergeCell ref="D53:D62"/>
    <mergeCell ref="J53:J62"/>
    <mergeCell ref="D46:D52"/>
    <mergeCell ref="J46:J52"/>
    <mergeCell ref="D41:D45"/>
    <mergeCell ref="J41:J45"/>
    <mergeCell ref="D31:D40"/>
  </mergeCells>
  <conditionalFormatting sqref="I19:I62">
    <cfRule type="cellIs" dxfId="19" priority="4" operator="between">
      <formula>0.75</formula>
      <formula>1</formula>
    </cfRule>
    <cfRule type="cellIs" dxfId="18" priority="5" operator="between">
      <formula>0.5</formula>
      <formula>0.74</formula>
    </cfRule>
    <cfRule type="cellIs" dxfId="17" priority="6" operator="between">
      <formula>0</formula>
      <formula>0.49</formula>
    </cfRule>
  </conditionalFormatting>
  <conditionalFormatting sqref="J53 J19:J31 J46 J41">
    <cfRule type="cellIs" priority="1" operator="between">
      <formula>0.75</formula>
      <formula>1</formula>
    </cfRule>
    <cfRule type="cellIs" dxfId="16" priority="2" operator="between">
      <formula>0.5</formula>
      <formula>0.75</formula>
    </cfRule>
    <cfRule type="cellIs" dxfId="15" priority="3" operator="between">
      <formula>0</formula>
      <formula>0.49</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7" operator="containsText" id="{B5EC0094-D2B5-49BB-B6F9-E988382E1263}">
            <xm:f>NOT(ISERROR(SEARCH($E$12,G19)))</xm:f>
            <xm:f>$E$12</xm:f>
            <x14:dxf>
              <fill>
                <patternFill>
                  <bgColor rgb="FFFF0000"/>
                </patternFill>
              </fill>
            </x14:dxf>
          </x14:cfRule>
          <x14:cfRule type="containsText" priority="8" operator="containsText" id="{D802A135-824D-43A0-835B-FE63514274DE}">
            <xm:f>NOT(ISERROR(SEARCH($E$11,G19)))</xm:f>
            <xm:f>$E$11</xm:f>
            <x14:dxf>
              <fill>
                <patternFill>
                  <bgColor rgb="FFFFFF00"/>
                </patternFill>
              </fill>
            </x14:dxf>
          </x14:cfRule>
          <x14:cfRule type="containsText" priority="9" operator="containsText" id="{D7844022-1CB2-4683-9B09-8D3EA8F0FDED}">
            <xm:f>NOT(ISERROR(SEARCH($E$10,G19)))</xm:f>
            <xm:f>$E$10</xm:f>
            <x14:dxf>
              <fill>
                <patternFill>
                  <bgColor rgb="FF00B050"/>
                </patternFill>
              </fill>
            </x14:dxf>
          </x14:cfRule>
          <xm:sqref>G19:G62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topLeftCell="D1" zoomScale="64" zoomScaleNormal="64" workbookViewId="0">
      <selection activeCell="G8" sqref="G8"/>
    </sheetView>
  </sheetViews>
  <sheetFormatPr baseColWidth="10" defaultColWidth="11.42578125" defaultRowHeight="15" x14ac:dyDescent="0.25"/>
  <cols>
    <col min="1" max="1" width="4.42578125" customWidth="1"/>
    <col min="3" max="3" width="35.5703125" customWidth="1"/>
    <col min="4" max="4" width="13" customWidth="1"/>
    <col min="5" max="5" width="43.28515625" customWidth="1"/>
    <col min="7" max="7" width="33.85546875" customWidth="1"/>
    <col min="9" max="9" width="92.28515625" customWidth="1"/>
    <col min="13" max="13" width="29" customWidth="1"/>
  </cols>
  <sheetData>
    <row r="1" spans="1:17" s="1" customFormat="1" x14ac:dyDescent="0.25"/>
    <row r="2" spans="1:17" ht="15.75" thickBot="1" x14ac:dyDescent="0.3">
      <c r="A2" s="1"/>
      <c r="B2" s="1"/>
      <c r="C2" s="1"/>
      <c r="D2" s="1"/>
      <c r="E2" s="1"/>
      <c r="F2" s="1"/>
      <c r="G2" s="1"/>
      <c r="H2" s="1"/>
      <c r="I2" s="1"/>
      <c r="J2" s="1"/>
      <c r="K2" s="1"/>
      <c r="L2" s="1"/>
      <c r="M2" s="1"/>
      <c r="N2" s="1"/>
      <c r="O2" s="1"/>
      <c r="P2" s="1"/>
      <c r="Q2" s="1"/>
    </row>
    <row r="3" spans="1:17" ht="15.75" thickTop="1" x14ac:dyDescent="0.25">
      <c r="A3" s="1"/>
      <c r="B3" s="2"/>
      <c r="C3" s="3"/>
      <c r="D3" s="3"/>
      <c r="E3" s="3"/>
      <c r="F3" s="3"/>
      <c r="G3" s="3"/>
      <c r="H3" s="3"/>
      <c r="I3" s="3"/>
      <c r="J3" s="3"/>
      <c r="K3" s="3"/>
      <c r="L3" s="3"/>
      <c r="M3" s="3"/>
      <c r="N3" s="3"/>
      <c r="O3" s="3"/>
      <c r="P3" s="4"/>
      <c r="Q3" s="1"/>
    </row>
    <row r="4" spans="1:17" ht="16.5" x14ac:dyDescent="0.3">
      <c r="A4" s="1"/>
      <c r="B4" s="5"/>
      <c r="C4" s="1"/>
      <c r="D4" s="1"/>
      <c r="E4" s="294" t="s">
        <v>122</v>
      </c>
      <c r="F4" s="296" t="s">
        <v>234</v>
      </c>
      <c r="G4" s="296"/>
      <c r="H4" s="296"/>
      <c r="I4" s="296"/>
      <c r="J4" s="296"/>
      <c r="K4" s="296"/>
      <c r="L4" s="296"/>
      <c r="M4" s="296"/>
      <c r="N4" s="6"/>
      <c r="O4" s="6"/>
      <c r="P4" s="7"/>
      <c r="Q4" s="1"/>
    </row>
    <row r="5" spans="1:17" ht="45.75" customHeight="1" x14ac:dyDescent="0.3">
      <c r="A5" s="1"/>
      <c r="B5" s="5"/>
      <c r="C5" s="1"/>
      <c r="D5" s="1"/>
      <c r="E5" s="295"/>
      <c r="F5" s="296"/>
      <c r="G5" s="296"/>
      <c r="H5" s="296"/>
      <c r="I5" s="296"/>
      <c r="J5" s="296"/>
      <c r="K5" s="296"/>
      <c r="L5" s="296"/>
      <c r="M5" s="296"/>
      <c r="N5" s="6"/>
      <c r="O5" s="6"/>
      <c r="P5" s="7"/>
      <c r="Q5" s="1"/>
    </row>
    <row r="6" spans="1:17" ht="66.75" customHeight="1" x14ac:dyDescent="0.3">
      <c r="A6" s="1"/>
      <c r="B6" s="5"/>
      <c r="C6" s="1"/>
      <c r="D6" s="1"/>
      <c r="E6" s="88" t="s">
        <v>123</v>
      </c>
      <c r="F6" s="297">
        <v>44926</v>
      </c>
      <c r="G6" s="298"/>
      <c r="H6" s="298"/>
      <c r="I6" s="298"/>
      <c r="J6" s="298"/>
      <c r="K6" s="298"/>
      <c r="L6" s="298"/>
      <c r="M6" s="299"/>
      <c r="N6" s="8"/>
      <c r="O6" s="8"/>
      <c r="P6" s="7"/>
      <c r="Q6" s="1"/>
    </row>
    <row r="7" spans="1:17" ht="17.25" thickBot="1" x14ac:dyDescent="0.35">
      <c r="A7" s="1"/>
      <c r="B7" s="5"/>
      <c r="C7" s="1"/>
      <c r="D7" s="1"/>
      <c r="E7" s="9"/>
      <c r="F7" s="8"/>
      <c r="G7" s="8"/>
      <c r="H7" s="8"/>
      <c r="I7" s="8"/>
      <c r="J7" s="8"/>
      <c r="K7" s="8"/>
      <c r="L7" s="8"/>
      <c r="M7" s="1"/>
      <c r="N7" s="1"/>
      <c r="O7" s="1"/>
      <c r="P7" s="7"/>
      <c r="Q7" s="1"/>
    </row>
    <row r="8" spans="1:17" ht="97.5" customHeight="1" thickBot="1" x14ac:dyDescent="0.3">
      <c r="A8" s="1"/>
      <c r="B8" s="5"/>
      <c r="C8" s="1"/>
      <c r="D8" s="1"/>
      <c r="E8" s="1"/>
      <c r="F8" s="1"/>
      <c r="G8" s="1"/>
      <c r="H8" s="1"/>
      <c r="I8" s="300" t="s">
        <v>124</v>
      </c>
      <c r="J8" s="301"/>
      <c r="K8" s="302"/>
      <c r="L8" s="1"/>
      <c r="M8" s="135">
        <f>+AVERAGE(G26,G28,G30,G32,G34)</f>
        <v>0.97142857142857153</v>
      </c>
      <c r="N8" s="10"/>
      <c r="O8" s="10"/>
      <c r="P8" s="7"/>
      <c r="Q8" s="1"/>
    </row>
    <row r="9" spans="1:17" ht="15.75" x14ac:dyDescent="0.25">
      <c r="A9" s="1"/>
      <c r="B9" s="5"/>
      <c r="C9" s="1"/>
      <c r="D9" s="1"/>
      <c r="E9" s="1"/>
      <c r="F9" s="1"/>
      <c r="G9" s="1"/>
      <c r="H9" s="1"/>
      <c r="I9" s="1"/>
      <c r="J9" s="1"/>
      <c r="K9" s="1"/>
      <c r="L9" s="1"/>
      <c r="M9" s="11"/>
      <c r="N9" s="11"/>
      <c r="O9" s="11"/>
      <c r="P9" s="7"/>
      <c r="Q9" s="1"/>
    </row>
    <row r="10" spans="1:17" x14ac:dyDescent="0.25">
      <c r="A10" s="1"/>
      <c r="B10" s="5"/>
      <c r="C10" s="1"/>
      <c r="D10" s="1"/>
      <c r="E10" s="1"/>
      <c r="F10" s="1"/>
      <c r="G10" s="1"/>
      <c r="H10" s="1"/>
      <c r="I10" s="1"/>
      <c r="J10" s="1"/>
      <c r="K10" s="1"/>
      <c r="L10" s="1"/>
      <c r="M10" s="1"/>
      <c r="N10" s="1"/>
      <c r="O10" s="1"/>
      <c r="P10" s="7"/>
      <c r="Q10" s="1"/>
    </row>
    <row r="11" spans="1:17" x14ac:dyDescent="0.25">
      <c r="A11" s="1"/>
      <c r="B11" s="5"/>
      <c r="C11" s="1"/>
      <c r="D11" s="1"/>
      <c r="E11" s="1"/>
      <c r="F11" s="1"/>
      <c r="G11" s="1"/>
      <c r="H11" s="1"/>
      <c r="I11" s="1"/>
      <c r="J11" s="1"/>
      <c r="K11" s="1"/>
      <c r="L11" s="1"/>
      <c r="M11" s="1"/>
      <c r="N11" s="1"/>
      <c r="O11" s="1"/>
      <c r="P11" s="7"/>
      <c r="Q11" s="1"/>
    </row>
    <row r="12" spans="1:17" x14ac:dyDescent="0.25">
      <c r="A12" s="1"/>
      <c r="B12" s="5"/>
      <c r="C12" s="1"/>
      <c r="D12" s="1"/>
      <c r="E12" s="1"/>
      <c r="F12" s="1"/>
      <c r="G12" s="1"/>
      <c r="H12" s="1"/>
      <c r="I12" s="1"/>
      <c r="J12" s="1"/>
      <c r="K12" s="1"/>
      <c r="L12" s="1"/>
      <c r="M12" s="1"/>
      <c r="N12" s="1"/>
      <c r="O12" s="1"/>
      <c r="P12" s="7"/>
      <c r="Q12" s="1"/>
    </row>
    <row r="13" spans="1:17" x14ac:dyDescent="0.25">
      <c r="A13" s="1"/>
      <c r="B13" s="5"/>
      <c r="C13" s="1"/>
      <c r="D13" s="1"/>
      <c r="E13" s="1"/>
      <c r="F13" s="1"/>
      <c r="G13" s="1"/>
      <c r="H13" s="1"/>
      <c r="I13" s="1"/>
      <c r="J13" s="1"/>
      <c r="K13" s="1"/>
      <c r="L13" s="1"/>
      <c r="M13" s="1"/>
      <c r="N13" s="1"/>
      <c r="O13" s="1"/>
      <c r="P13" s="7"/>
      <c r="Q13" s="1"/>
    </row>
    <row r="14" spans="1:17" x14ac:dyDescent="0.25">
      <c r="A14" s="1"/>
      <c r="B14" s="5"/>
      <c r="C14" s="1"/>
      <c r="D14" s="1"/>
      <c r="E14" s="1"/>
      <c r="F14" s="1"/>
      <c r="G14" s="1"/>
      <c r="H14" s="1"/>
      <c r="I14" s="1"/>
      <c r="J14" s="1"/>
      <c r="K14" s="1"/>
      <c r="L14" s="1"/>
      <c r="M14" s="1"/>
      <c r="N14" s="1"/>
      <c r="O14" s="1"/>
      <c r="P14" s="7"/>
      <c r="Q14" s="1"/>
    </row>
    <row r="15" spans="1:17" x14ac:dyDescent="0.25">
      <c r="A15" s="1"/>
      <c r="B15" s="5"/>
      <c r="C15" s="1"/>
      <c r="D15" s="1"/>
      <c r="E15" s="1"/>
      <c r="F15" s="1"/>
      <c r="G15" s="1"/>
      <c r="H15" s="1"/>
      <c r="I15" s="1"/>
      <c r="J15" s="1"/>
      <c r="K15" s="1"/>
      <c r="L15" s="1"/>
      <c r="M15" s="1"/>
      <c r="N15" s="1"/>
      <c r="O15" s="1"/>
      <c r="P15" s="7"/>
      <c r="Q15" s="1"/>
    </row>
    <row r="16" spans="1:17" x14ac:dyDescent="0.25">
      <c r="A16" s="1"/>
      <c r="B16" s="5"/>
      <c r="C16" s="1"/>
      <c r="D16" s="1"/>
      <c r="E16" s="1"/>
      <c r="F16" s="1"/>
      <c r="G16" s="1"/>
      <c r="H16" s="1"/>
      <c r="I16" s="1"/>
      <c r="J16" s="1"/>
      <c r="K16" s="1"/>
      <c r="L16" s="1"/>
      <c r="M16" s="1"/>
      <c r="N16" s="1"/>
      <c r="O16" s="1"/>
      <c r="P16" s="7"/>
      <c r="Q16" s="1"/>
    </row>
    <row r="17" spans="1:17" x14ac:dyDescent="0.25">
      <c r="A17" s="1"/>
      <c r="B17" s="5"/>
      <c r="C17" s="1"/>
      <c r="D17" s="1"/>
      <c r="E17" s="1"/>
      <c r="F17" s="1"/>
      <c r="G17" s="1"/>
      <c r="H17" s="1"/>
      <c r="I17" s="1"/>
      <c r="J17" s="1"/>
      <c r="K17" s="1"/>
      <c r="L17" s="1"/>
      <c r="M17" s="1"/>
      <c r="N17" s="1"/>
      <c r="O17" s="1"/>
      <c r="P17" s="7"/>
      <c r="Q17" s="1"/>
    </row>
    <row r="18" spans="1:17" ht="23.25" x14ac:dyDescent="0.25">
      <c r="A18" s="1"/>
      <c r="B18" s="5"/>
      <c r="C18" s="303" t="s">
        <v>125</v>
      </c>
      <c r="D18" s="304"/>
      <c r="E18" s="304"/>
      <c r="F18" s="304"/>
      <c r="G18" s="304"/>
      <c r="H18" s="304"/>
      <c r="I18" s="304"/>
      <c r="J18" s="304"/>
      <c r="K18" s="304"/>
      <c r="L18" s="304"/>
      <c r="M18" s="305"/>
      <c r="N18" s="12"/>
      <c r="O18" s="12"/>
      <c r="P18" s="7"/>
      <c r="Q18" s="1"/>
    </row>
    <row r="19" spans="1:17" ht="16.5" thickBot="1" x14ac:dyDescent="0.3">
      <c r="A19" s="1"/>
      <c r="B19" s="5"/>
      <c r="C19" s="13"/>
      <c r="D19" s="13"/>
      <c r="E19" s="13"/>
      <c r="F19" s="13"/>
      <c r="G19" s="13"/>
      <c r="H19" s="13"/>
      <c r="I19" s="13"/>
      <c r="J19" s="13"/>
      <c r="K19" s="13"/>
      <c r="L19" s="13"/>
      <c r="M19" s="13"/>
      <c r="N19" s="14"/>
      <c r="O19" s="14"/>
      <c r="P19" s="7"/>
      <c r="Q19" s="1"/>
    </row>
    <row r="20" spans="1:17" ht="150" customHeight="1" x14ac:dyDescent="0.25">
      <c r="A20" s="1"/>
      <c r="B20" s="5"/>
      <c r="C20" s="306" t="s">
        <v>126</v>
      </c>
      <c r="D20" s="307"/>
      <c r="E20" s="138" t="s">
        <v>38</v>
      </c>
      <c r="F20" s="308" t="s">
        <v>231</v>
      </c>
      <c r="G20" s="308"/>
      <c r="H20" s="308"/>
      <c r="I20" s="308"/>
      <c r="J20" s="308"/>
      <c r="K20" s="308"/>
      <c r="L20" s="308"/>
      <c r="M20" s="309"/>
      <c r="N20" s="14"/>
      <c r="O20" s="14"/>
      <c r="P20" s="7"/>
      <c r="Q20" s="1"/>
    </row>
    <row r="21" spans="1:17" ht="126.75" customHeight="1" x14ac:dyDescent="0.25">
      <c r="A21" s="1"/>
      <c r="B21" s="5"/>
      <c r="C21" s="290" t="s">
        <v>127</v>
      </c>
      <c r="D21" s="291"/>
      <c r="E21" s="139" t="s">
        <v>38</v>
      </c>
      <c r="F21" s="310" t="s">
        <v>232</v>
      </c>
      <c r="G21" s="310"/>
      <c r="H21" s="310"/>
      <c r="I21" s="310"/>
      <c r="J21" s="310"/>
      <c r="K21" s="310"/>
      <c r="L21" s="310"/>
      <c r="M21" s="311"/>
      <c r="N21" s="14"/>
      <c r="O21" s="14"/>
      <c r="P21" s="7"/>
      <c r="Q21" s="1"/>
    </row>
    <row r="22" spans="1:17" ht="151.5" customHeight="1" thickBot="1" x14ac:dyDescent="0.3">
      <c r="A22" s="1"/>
      <c r="B22" s="5"/>
      <c r="C22" s="292" t="s">
        <v>128</v>
      </c>
      <c r="D22" s="293"/>
      <c r="E22" s="140" t="s">
        <v>38</v>
      </c>
      <c r="F22" s="312" t="s">
        <v>233</v>
      </c>
      <c r="G22" s="312"/>
      <c r="H22" s="312"/>
      <c r="I22" s="312"/>
      <c r="J22" s="312"/>
      <c r="K22" s="312"/>
      <c r="L22" s="312"/>
      <c r="M22" s="313"/>
      <c r="N22" s="14"/>
      <c r="O22" s="14"/>
      <c r="P22" s="7"/>
      <c r="Q22" s="1"/>
    </row>
    <row r="23" spans="1:17" x14ac:dyDescent="0.25">
      <c r="A23" s="1"/>
      <c r="B23" s="5"/>
      <c r="C23" s="1"/>
      <c r="D23" s="1"/>
      <c r="E23" s="1"/>
      <c r="F23" s="1"/>
      <c r="G23" s="15"/>
      <c r="H23" s="1"/>
      <c r="I23" s="1"/>
      <c r="J23" s="1"/>
      <c r="K23" s="1"/>
      <c r="L23" s="1"/>
      <c r="M23" s="1"/>
      <c r="N23" s="1"/>
      <c r="O23" s="1"/>
      <c r="P23" s="7"/>
      <c r="Q23" s="1"/>
    </row>
    <row r="24" spans="1:17" ht="78.75" x14ac:dyDescent="0.25">
      <c r="A24" s="1"/>
      <c r="B24" s="5"/>
      <c r="C24" s="91" t="s">
        <v>129</v>
      </c>
      <c r="D24" s="92"/>
      <c r="E24" s="91" t="s">
        <v>130</v>
      </c>
      <c r="F24" s="92"/>
      <c r="G24" s="91" t="s">
        <v>131</v>
      </c>
      <c r="H24" s="92"/>
      <c r="I24" s="317" t="s">
        <v>132</v>
      </c>
      <c r="J24" s="317"/>
      <c r="K24" s="317"/>
      <c r="L24" s="317"/>
      <c r="M24" s="317"/>
      <c r="N24" s="30"/>
      <c r="O24" s="30"/>
      <c r="P24" s="7"/>
      <c r="Q24" s="16"/>
    </row>
    <row r="25" spans="1:17" ht="13.5" customHeight="1" thickBot="1" x14ac:dyDescent="0.3">
      <c r="A25" s="1"/>
      <c r="B25" s="5"/>
      <c r="C25" s="29"/>
      <c r="I25" s="321"/>
      <c r="J25" s="321"/>
      <c r="K25" s="321"/>
      <c r="L25" s="321"/>
      <c r="M25" s="321"/>
      <c r="N25" s="31"/>
      <c r="O25" s="31"/>
      <c r="P25" s="7"/>
      <c r="Q25" s="1"/>
    </row>
    <row r="26" spans="1:17" ht="155.25" customHeight="1" thickBot="1" x14ac:dyDescent="0.3">
      <c r="A26" s="1"/>
      <c r="B26" s="5"/>
      <c r="C26" s="82" t="s">
        <v>32</v>
      </c>
      <c r="D26" s="17"/>
      <c r="E26" s="136" t="str">
        <f>+IF(Hoja1!K2&gt;=0.5,"Si","No")</f>
        <v>Si</v>
      </c>
      <c r="F26" s="18"/>
      <c r="G26" s="137">
        <f>+Hoja1!K2</f>
        <v>1</v>
      </c>
      <c r="H26" s="18"/>
      <c r="I26" s="318"/>
      <c r="J26" s="319"/>
      <c r="K26" s="319"/>
      <c r="L26" s="319"/>
      <c r="M26" s="320"/>
      <c r="N26" s="32"/>
      <c r="O26" s="33"/>
      <c r="P26" s="19"/>
      <c r="Q26" s="20"/>
    </row>
    <row r="27" spans="1:17" ht="27" thickBot="1" x14ac:dyDescent="0.45">
      <c r="A27" s="1"/>
      <c r="B27" s="5"/>
      <c r="C27" s="83"/>
      <c r="E27" s="90"/>
      <c r="G27" s="21"/>
      <c r="I27" s="322"/>
      <c r="J27" s="322"/>
      <c r="K27" s="322"/>
      <c r="L27" s="322"/>
      <c r="M27" s="322"/>
      <c r="N27" s="34"/>
      <c r="O27" s="34"/>
      <c r="P27" s="7"/>
      <c r="Q27" s="1"/>
    </row>
    <row r="28" spans="1:17" ht="111.75" customHeight="1" thickBot="1" x14ac:dyDescent="0.3">
      <c r="A28" s="1"/>
      <c r="B28" s="5"/>
      <c r="C28" s="84" t="s">
        <v>133</v>
      </c>
      <c r="D28" s="17"/>
      <c r="E28" s="136" t="str">
        <f>+IF(Hoja1!K14&gt;=0.5,"Si","No")</f>
        <v>Si</v>
      </c>
      <c r="G28" s="137">
        <f>+Hoja1!K14</f>
        <v>1</v>
      </c>
      <c r="I28" s="314"/>
      <c r="J28" s="315"/>
      <c r="K28" s="315"/>
      <c r="L28" s="315"/>
      <c r="M28" s="316"/>
      <c r="N28" s="32"/>
      <c r="O28" s="32"/>
      <c r="P28" s="7"/>
      <c r="Q28" s="1"/>
    </row>
    <row r="29" spans="1:17" ht="27" thickBot="1" x14ac:dyDescent="0.45">
      <c r="A29" s="1"/>
      <c r="B29" s="5"/>
      <c r="C29" s="83"/>
      <c r="E29" s="90"/>
      <c r="G29" s="21"/>
      <c r="I29" s="322"/>
      <c r="J29" s="322"/>
      <c r="K29" s="322"/>
      <c r="L29" s="322"/>
      <c r="M29" s="322"/>
      <c r="N29" s="34"/>
      <c r="O29" s="34"/>
      <c r="P29" s="7"/>
      <c r="Q29" s="1"/>
    </row>
    <row r="30" spans="1:17" ht="123" customHeight="1" thickBot="1" x14ac:dyDescent="0.3">
      <c r="A30" s="1"/>
      <c r="B30" s="5"/>
      <c r="C30" s="85" t="s">
        <v>134</v>
      </c>
      <c r="D30" s="17"/>
      <c r="E30" s="136" t="str">
        <f>+IF(Hoja1!K24&gt;=0.5,"Si","No")</f>
        <v>Si</v>
      </c>
      <c r="G30" s="137">
        <f>+Hoja1!K24</f>
        <v>1</v>
      </c>
      <c r="I30" s="314"/>
      <c r="J30" s="315"/>
      <c r="K30" s="315"/>
      <c r="L30" s="315"/>
      <c r="M30" s="316"/>
      <c r="N30" s="32"/>
      <c r="O30" s="32"/>
      <c r="P30" s="7"/>
      <c r="Q30" s="1"/>
    </row>
    <row r="31" spans="1:17" ht="27" thickBot="1" x14ac:dyDescent="0.45">
      <c r="A31" s="1"/>
      <c r="B31" s="5"/>
      <c r="C31" s="83"/>
      <c r="E31" s="90"/>
      <c r="G31" s="21"/>
      <c r="I31" s="322"/>
      <c r="J31" s="322"/>
      <c r="K31" s="322"/>
      <c r="L31" s="322"/>
      <c r="M31" s="322"/>
      <c r="N31" s="34"/>
      <c r="O31" s="34"/>
      <c r="P31" s="7"/>
      <c r="Q31" s="1"/>
    </row>
    <row r="32" spans="1:17" ht="171" customHeight="1" thickBot="1" x14ac:dyDescent="0.3">
      <c r="A32" s="1"/>
      <c r="B32" s="5"/>
      <c r="C32" s="86" t="s">
        <v>85</v>
      </c>
      <c r="D32" s="17"/>
      <c r="E32" s="136" t="str">
        <f>+IF(Hoja1!K29&gt;=0.5,"Si","No")</f>
        <v>Si</v>
      </c>
      <c r="G32" s="137">
        <f>+Hoja1!K29</f>
        <v>0.8571428571428571</v>
      </c>
      <c r="I32" s="314"/>
      <c r="J32" s="315"/>
      <c r="K32" s="315"/>
      <c r="L32" s="315"/>
      <c r="M32" s="316"/>
      <c r="N32" s="32"/>
      <c r="O32" s="32"/>
      <c r="P32" s="7"/>
      <c r="Q32" s="1"/>
    </row>
    <row r="33" spans="1:17" ht="27" thickBot="1" x14ac:dyDescent="0.45">
      <c r="A33" s="1"/>
      <c r="B33" s="5"/>
      <c r="C33" s="83"/>
      <c r="E33" s="90"/>
      <c r="G33" s="21"/>
      <c r="I33" s="322"/>
      <c r="J33" s="322"/>
      <c r="K33" s="322"/>
      <c r="L33" s="322"/>
      <c r="M33" s="322"/>
      <c r="N33" s="34"/>
      <c r="O33" s="34"/>
      <c r="P33" s="7"/>
      <c r="Q33" s="1"/>
    </row>
    <row r="34" spans="1:17" ht="164.25" customHeight="1" thickBot="1" x14ac:dyDescent="0.3">
      <c r="A34" s="1"/>
      <c r="B34" s="5"/>
      <c r="C34" s="87" t="s">
        <v>135</v>
      </c>
      <c r="D34" s="17"/>
      <c r="E34" s="89" t="str">
        <f>+IF(Hoja1!K36&gt;=0.5,"Si","No")</f>
        <v>Si</v>
      </c>
      <c r="G34" s="137">
        <f>+Hoja1!K36</f>
        <v>1</v>
      </c>
      <c r="I34" s="314"/>
      <c r="J34" s="315"/>
      <c r="K34" s="315"/>
      <c r="L34" s="315"/>
      <c r="M34" s="316"/>
      <c r="N34" s="32"/>
      <c r="O34" s="32"/>
      <c r="P34" s="7"/>
      <c r="Q34" s="1"/>
    </row>
    <row r="35" spans="1:17" ht="15.75" x14ac:dyDescent="0.25">
      <c r="A35" s="1"/>
      <c r="B35" s="5"/>
      <c r="C35" s="22"/>
      <c r="D35" s="22"/>
      <c r="E35" s="14"/>
      <c r="F35" s="1"/>
      <c r="G35" s="1"/>
      <c r="H35" s="1"/>
      <c r="I35" s="1"/>
      <c r="J35" s="1"/>
      <c r="K35" s="1"/>
      <c r="L35" s="1"/>
      <c r="M35" s="23"/>
      <c r="N35" s="23"/>
      <c r="O35" s="23"/>
      <c r="P35" s="7"/>
      <c r="Q35" s="1"/>
    </row>
    <row r="36" spans="1:17" ht="15.75" x14ac:dyDescent="0.25">
      <c r="A36" s="1"/>
      <c r="B36" s="5"/>
      <c r="C36" s="24"/>
      <c r="D36" s="22"/>
      <c r="E36" s="14"/>
      <c r="F36" s="1"/>
      <c r="G36" s="1"/>
      <c r="H36" s="1"/>
      <c r="I36" s="1"/>
      <c r="J36" s="1"/>
      <c r="K36" s="1"/>
      <c r="L36" s="1"/>
      <c r="M36" s="23"/>
      <c r="N36" s="23"/>
      <c r="O36" s="23"/>
      <c r="P36" s="7"/>
      <c r="Q36" s="1"/>
    </row>
    <row r="37" spans="1:17" x14ac:dyDescent="0.25">
      <c r="A37" s="1"/>
      <c r="B37" s="5"/>
      <c r="C37" s="25"/>
      <c r="D37" s="1"/>
      <c r="E37" s="1"/>
      <c r="F37" s="1"/>
      <c r="G37" s="1"/>
      <c r="H37" s="1"/>
      <c r="I37" s="1"/>
      <c r="J37" s="1"/>
      <c r="K37" s="1"/>
      <c r="L37" s="1"/>
      <c r="M37" s="1"/>
      <c r="N37" s="1"/>
      <c r="O37" s="1"/>
      <c r="P37" s="7"/>
      <c r="Q37" s="1"/>
    </row>
    <row r="38" spans="1:17" ht="15.75" thickBot="1" x14ac:dyDescent="0.3">
      <c r="A38" s="1"/>
      <c r="B38" s="26"/>
      <c r="C38" s="27"/>
      <c r="D38" s="27"/>
      <c r="E38" s="27"/>
      <c r="F38" s="27"/>
      <c r="G38" s="27"/>
      <c r="H38" s="27"/>
      <c r="I38" s="27"/>
      <c r="J38" s="27"/>
      <c r="K38" s="27"/>
      <c r="L38" s="27"/>
      <c r="M38" s="27"/>
      <c r="N38" s="27"/>
      <c r="O38" s="27"/>
      <c r="P38" s="28"/>
      <c r="Q38" s="1"/>
    </row>
    <row r="39" spans="1:17" ht="15.75" thickTop="1" x14ac:dyDescent="0.25">
      <c r="A39" s="1"/>
      <c r="B39" s="1"/>
      <c r="C39" s="1"/>
      <c r="D39" s="1"/>
      <c r="E39" s="1"/>
      <c r="F39" s="1"/>
      <c r="G39" s="1"/>
      <c r="H39" s="1"/>
      <c r="I39" s="1"/>
      <c r="J39" s="1"/>
      <c r="K39" s="1"/>
      <c r="L39" s="1"/>
      <c r="M39" s="1"/>
      <c r="N39" s="1"/>
      <c r="O39" s="1"/>
      <c r="P39" s="1"/>
      <c r="Q39" s="1"/>
    </row>
    <row r="40" spans="1:17" x14ac:dyDescent="0.25">
      <c r="A40" s="1"/>
      <c r="B40" s="1"/>
      <c r="C40" s="1"/>
      <c r="D40" s="1"/>
      <c r="E40" s="1"/>
      <c r="F40" s="1"/>
      <c r="G40" s="1"/>
      <c r="H40" s="1"/>
      <c r="I40" s="1"/>
      <c r="J40" s="1"/>
      <c r="K40" s="1"/>
      <c r="L40" s="1"/>
      <c r="M40" s="1"/>
      <c r="N40" s="1"/>
      <c r="O40" s="1"/>
      <c r="P40" s="1"/>
      <c r="Q40" s="1"/>
    </row>
    <row r="41" spans="1:17" x14ac:dyDescent="0.25">
      <c r="A41" s="1"/>
      <c r="B41" s="1"/>
      <c r="C41" s="1"/>
      <c r="D41" s="1"/>
      <c r="E41" s="1"/>
      <c r="F41" s="1"/>
      <c r="G41" s="1"/>
      <c r="H41" s="1"/>
      <c r="I41" s="1"/>
      <c r="J41" s="1"/>
      <c r="K41" s="1"/>
      <c r="L41" s="1"/>
      <c r="M41" s="1"/>
      <c r="N41" s="1"/>
      <c r="O41" s="1"/>
      <c r="P41" s="1"/>
      <c r="Q41" s="1"/>
    </row>
  </sheetData>
  <sheetProtection algorithmName="SHA-512" hashValue="mur5Q3PEaZxn8LXLz/eSymodHMyMcb7gr8gXWBwpSU/m7uV0ZPVWkcKOdJlg0OS/SXBXX9P/iBb2vTO1mWy68A==" saltValue="abZlHLcGIMQMz4F8z7vkTw==" spinCount="100000" sheet="1" objects="1" scenarios="1" formatCells="0" formatRows="0"/>
  <mergeCells count="22">
    <mergeCell ref="I34:M34"/>
    <mergeCell ref="I30:M30"/>
    <mergeCell ref="I32:M32"/>
    <mergeCell ref="I24:M24"/>
    <mergeCell ref="I26:M26"/>
    <mergeCell ref="I28:M28"/>
    <mergeCell ref="I25:M25"/>
    <mergeCell ref="I27:M27"/>
    <mergeCell ref="I29:M29"/>
    <mergeCell ref="I31:M31"/>
    <mergeCell ref="I33:M33"/>
    <mergeCell ref="C21:D21"/>
    <mergeCell ref="C22:D22"/>
    <mergeCell ref="E4:E5"/>
    <mergeCell ref="F4:M5"/>
    <mergeCell ref="F6:M6"/>
    <mergeCell ref="I8:K8"/>
    <mergeCell ref="C18:M18"/>
    <mergeCell ref="C20:D20"/>
    <mergeCell ref="F20:M20"/>
    <mergeCell ref="F21:M21"/>
    <mergeCell ref="F22:M22"/>
  </mergeCells>
  <conditionalFormatting sqref="G26 G28 G30 G32 G34">
    <cfRule type="cellIs" priority="4" operator="between">
      <formula>0.75</formula>
      <formula>1</formula>
    </cfRule>
    <cfRule type="cellIs" dxfId="11" priority="5" operator="between">
      <formula>0.5</formula>
      <formula>0.75</formula>
    </cfRule>
    <cfRule type="cellIs" dxfId="10" priority="6" operator="between">
      <formula>0</formula>
      <formula>0.49</formula>
    </cfRule>
    <cfRule type="cellIs" dxfId="9" priority="31" operator="between">
      <formula>0.76</formula>
      <formula>1</formula>
    </cfRule>
    <cfRule type="cellIs" dxfId="8" priority="32" operator="between">
      <formula>0.51</formula>
      <formula>0.75</formula>
    </cfRule>
    <cfRule type="cellIs" dxfId="7" priority="33" operator="between">
      <formula>0.26</formula>
      <formula>0.5</formula>
    </cfRule>
  </conditionalFormatting>
  <conditionalFormatting sqref="M8">
    <cfRule type="cellIs" dxfId="6" priority="1" operator="between">
      <formula>0.75</formula>
      <formula>1</formula>
    </cfRule>
    <cfRule type="cellIs" dxfId="5" priority="2" operator="between">
      <formula>0.5</formula>
      <formula>0.75</formula>
    </cfRule>
    <cfRule type="cellIs" dxfId="4" priority="3" operator="between">
      <formula>0</formula>
      <formula>0.49</formula>
    </cfRule>
    <cfRule type="cellIs" priority="27" operator="between">
      <formula>0.76</formula>
      <formula>1</formula>
    </cfRule>
    <cfRule type="cellIs" dxfId="3" priority="28" operator="between">
      <formula>0.51</formula>
      <formula>0.75</formula>
    </cfRule>
    <cfRule type="cellIs" dxfId="2" priority="29" operator="between">
      <formula>0.26</formula>
      <formula>0.5</formula>
    </cfRule>
    <cfRule type="cellIs" dxfId="1" priority="30" operator="between">
      <formula>0</formula>
      <formula>0.25</formula>
    </cfRule>
  </conditionalFormatting>
  <dataValidations count="3">
    <dataValidation type="list" allowBlank="1" showInputMessage="1" showErrorMessage="1" sqref="E21:E22">
      <formula1>"Si, No"</formula1>
    </dataValidation>
    <dataValidation allowBlank="1" showInputMessage="1" showErrorMessage="1" prompt="Celda formulada, información proveniente de la pestaña de deficiencias." sqref="E24"/>
    <dataValidation type="list" allowBlank="1" showInputMessage="1" showErrorMessage="1" sqref="E20">
      <formula1>"Si,En proceso,No"</formula1>
    </dataValidation>
  </dataValidations>
  <pageMargins left="0.7" right="0.7" top="0.75" bottom="0.75" header="0.3" footer="0.3"/>
  <pageSetup orientation="portrait" horizontalDpi="300" verticalDpi="300" r:id="rId1"/>
  <drawing r:id="rId2"/>
  <extLst>
    <ext xmlns:x14="http://schemas.microsoft.com/office/spreadsheetml/2009/9/main" uri="{78C0D931-6437-407d-A8EE-F0AAD7539E65}">
      <x14:conditionalFormattings>
        <x14:conditionalFormatting xmlns:xm="http://schemas.microsoft.com/office/excel/2006/main">
          <x14:cfRule type="cellIs" priority="34" operator="between" id="{7ADAD4B9-72C7-4518-BD8A-A7D8DD349CD9}">
            <xm:f>0</xm:f>
            <xm:f>'\Users\dell\Desktop\cesar\HISTORICOS\[2020-04-22_Formato_informe_sci_parametrizado_final.xlsx]Analisis de Resultados'!#REF!</xm:f>
            <x14:dxf>
              <fill>
                <patternFill>
                  <bgColor rgb="FFFF0000"/>
                </patternFill>
              </fill>
            </x14:dxf>
          </x14:cfRule>
          <xm:sqref>G26 G28 G30 G32 G34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workbookViewId="0">
      <selection activeCell="F2" sqref="F2"/>
    </sheetView>
  </sheetViews>
  <sheetFormatPr baseColWidth="10" defaultColWidth="11.42578125" defaultRowHeight="15" x14ac:dyDescent="0.25"/>
  <cols>
    <col min="2" max="2" width="31" bestFit="1" customWidth="1"/>
    <col min="3" max="3" width="17.140625" customWidth="1"/>
    <col min="5" max="5" width="15.140625" customWidth="1"/>
    <col min="10" max="10" width="15.7109375" customWidth="1"/>
    <col min="11" max="11" width="12" bestFit="1" customWidth="1"/>
  </cols>
  <sheetData>
    <row r="1" spans="1:11" ht="84.75" customHeight="1" x14ac:dyDescent="0.25">
      <c r="A1" s="141" t="s">
        <v>25</v>
      </c>
      <c r="B1" s="141" t="s">
        <v>6</v>
      </c>
      <c r="C1" s="142" t="s">
        <v>8</v>
      </c>
      <c r="D1" s="143" t="s">
        <v>26</v>
      </c>
      <c r="E1" s="143" t="s">
        <v>27</v>
      </c>
      <c r="F1" s="143" t="s">
        <v>136</v>
      </c>
      <c r="G1" s="144" t="s">
        <v>137</v>
      </c>
      <c r="H1" s="144" t="s">
        <v>138</v>
      </c>
      <c r="I1" s="144" t="s">
        <v>117</v>
      </c>
      <c r="J1" s="144" t="s">
        <v>139</v>
      </c>
      <c r="K1" s="144" t="s">
        <v>140</v>
      </c>
    </row>
    <row r="2" spans="1:11" x14ac:dyDescent="0.25">
      <c r="A2" s="145" t="s">
        <v>141</v>
      </c>
      <c r="B2" s="145" t="str">
        <f>+VLOOKUP(A2,'Estado SCI'!$A$16:$C$59,3,0)</f>
        <v>AMBIENTE DE CONTROL</v>
      </c>
      <c r="C2" s="145" t="s">
        <v>33</v>
      </c>
      <c r="D2" s="145" t="s">
        <v>34</v>
      </c>
      <c r="E2" s="145" t="s">
        <v>35</v>
      </c>
      <c r="F2" s="145" t="str">
        <f>+VLOOKUP(A2,'Estado SCI'!$A$16:$I$59,9,0)</f>
        <v>Mantenimiento del control</v>
      </c>
      <c r="G2" s="145">
        <f>+VLOOKUP(A2,'Estado SCI'!$A$16:$L$59,12,0)</f>
        <v>20.123000000000001</v>
      </c>
      <c r="H2" s="145">
        <f t="shared" ref="H2:H45" si="0">+_xlfn.RANK.EQ(G2,$G$2:$G$45,1)</f>
        <v>1</v>
      </c>
      <c r="I2" s="145" t="str">
        <f>+IF(VLOOKUP(A2,'Estado SCI'!$A$16:$G$59,7,0)="","",VLOOKUP(A2,'Estado SCI'!$A$16:$G$59,7,0))</f>
        <v>Si</v>
      </c>
      <c r="J2" s="146">
        <f>+IF(I2="Si",1,IF(I2="En proceso",0.5,0))</f>
        <v>1</v>
      </c>
      <c r="K2" s="147">
        <f t="shared" ref="K2:K45" si="1">+AVERAGEIF($B$2:$B$45,B2,$J$2:$J$45)</f>
        <v>1</v>
      </c>
    </row>
    <row r="3" spans="1:11" x14ac:dyDescent="0.25">
      <c r="A3" s="145" t="s">
        <v>142</v>
      </c>
      <c r="B3" s="145" t="s">
        <v>32</v>
      </c>
      <c r="C3" s="145" t="s">
        <v>33</v>
      </c>
      <c r="D3" s="145" t="s">
        <v>36</v>
      </c>
      <c r="E3" s="145" t="s">
        <v>37</v>
      </c>
      <c r="F3" s="145" t="str">
        <f>+VLOOKUP(A3,'Estado SCI'!$A$16:$I$59,9,0)</f>
        <v>Mantenimiento del control</v>
      </c>
      <c r="G3" s="145">
        <f>+VLOOKUP(A3,'Estado SCI'!$A$16:$L$59,12,0)</f>
        <v>20.1234</v>
      </c>
      <c r="H3" s="145">
        <f t="shared" si="0"/>
        <v>2</v>
      </c>
      <c r="I3" s="145" t="str">
        <f>+IF(VLOOKUP(A3,'Estado SCI'!$A$16:$G$59,7,0)="","",VLOOKUP(A3,'Estado SCI'!$A$16:$G$59,7,0))</f>
        <v>Si</v>
      </c>
      <c r="J3" s="146">
        <f t="shared" ref="J3:J45" si="2">+IF(I3="Si",1,IF(I3="En proceso",0.5,0))</f>
        <v>1</v>
      </c>
      <c r="K3" s="147">
        <f t="shared" si="1"/>
        <v>1</v>
      </c>
    </row>
    <row r="4" spans="1:11" x14ac:dyDescent="0.25">
      <c r="A4" s="145" t="s">
        <v>143</v>
      </c>
      <c r="B4" s="145" t="s">
        <v>32</v>
      </c>
      <c r="C4" s="145" t="s">
        <v>33</v>
      </c>
      <c r="D4" s="145" t="s">
        <v>39</v>
      </c>
      <c r="E4" s="145" t="s">
        <v>40</v>
      </c>
      <c r="F4" s="145" t="str">
        <f>+VLOOKUP(A4,'Estado SCI'!$A$16:$I$59,9,0)</f>
        <v>Mantenimiento del control</v>
      </c>
      <c r="G4" s="145">
        <f>+VLOOKUP(A4,'Estado SCI'!$A$16:$L$59,12,0)</f>
        <v>20.123449999999998</v>
      </c>
      <c r="H4" s="145">
        <f t="shared" si="0"/>
        <v>3</v>
      </c>
      <c r="I4" s="145" t="str">
        <f>+IF(VLOOKUP(A4,'Estado SCI'!$A$16:$G$59,7,0)="","",VLOOKUP(A4,'Estado SCI'!$A$16:$G$59,7,0))</f>
        <v>Si</v>
      </c>
      <c r="J4" s="146">
        <f t="shared" si="2"/>
        <v>1</v>
      </c>
      <c r="K4" s="147">
        <f t="shared" si="1"/>
        <v>1</v>
      </c>
    </row>
    <row r="5" spans="1:11" x14ac:dyDescent="0.25">
      <c r="A5" s="145" t="s">
        <v>144</v>
      </c>
      <c r="B5" s="145" t="s">
        <v>32</v>
      </c>
      <c r="C5" s="145" t="s">
        <v>33</v>
      </c>
      <c r="D5" s="145" t="s">
        <v>41</v>
      </c>
      <c r="E5" s="145" t="s">
        <v>42</v>
      </c>
      <c r="F5" s="145" t="str">
        <f>+VLOOKUP(A5,'Estado SCI'!$A$16:$I$59,9,0)</f>
        <v>Mantenimiento del control</v>
      </c>
      <c r="G5" s="145">
        <f>+VLOOKUP(A5,'Estado SCI'!$A$16:$L$59,12,0)</f>
        <v>20.123456000000001</v>
      </c>
      <c r="H5" s="145">
        <f t="shared" si="0"/>
        <v>4</v>
      </c>
      <c r="I5" s="145" t="str">
        <f>+IF(VLOOKUP(A5,'Estado SCI'!$A$16:$G$59,7,0)="","",VLOOKUP(A5,'Estado SCI'!$A$16:$G$59,7,0))</f>
        <v>Si</v>
      </c>
      <c r="J5" s="146">
        <f t="shared" si="2"/>
        <v>1</v>
      </c>
      <c r="K5" s="147">
        <f t="shared" si="1"/>
        <v>1</v>
      </c>
    </row>
    <row r="6" spans="1:11" x14ac:dyDescent="0.25">
      <c r="A6" s="145" t="s">
        <v>145</v>
      </c>
      <c r="B6" s="145" t="s">
        <v>32</v>
      </c>
      <c r="C6" s="145" t="s">
        <v>33</v>
      </c>
      <c r="D6" s="145" t="s">
        <v>43</v>
      </c>
      <c r="E6" s="145" t="s">
        <v>44</v>
      </c>
      <c r="F6" s="145" t="str">
        <f>+VLOOKUP(A6,'Estado SCI'!$A$16:$I$59,9,0)</f>
        <v>Mantenimiento del control</v>
      </c>
      <c r="G6" s="145">
        <f>+VLOOKUP(A6,'Estado SCI'!$A$16:$L$59,12,0)</f>
        <v>20.123456780000001</v>
      </c>
      <c r="H6" s="145">
        <f t="shared" si="0"/>
        <v>5</v>
      </c>
      <c r="I6" s="145" t="str">
        <f>+IF(VLOOKUP(A6,'Estado SCI'!$A$16:$G$59,7,0)="","",VLOOKUP(A6,'Estado SCI'!$A$16:$G$59,7,0))</f>
        <v>Si</v>
      </c>
      <c r="J6" s="146">
        <f t="shared" si="2"/>
        <v>1</v>
      </c>
      <c r="K6" s="147">
        <f t="shared" si="1"/>
        <v>1</v>
      </c>
    </row>
    <row r="7" spans="1:11" x14ac:dyDescent="0.25">
      <c r="A7" s="145" t="s">
        <v>146</v>
      </c>
      <c r="B7" s="145" t="s">
        <v>32</v>
      </c>
      <c r="C7" s="145" t="s">
        <v>33</v>
      </c>
      <c r="D7" s="145" t="s">
        <v>45</v>
      </c>
      <c r="E7" s="145" t="s">
        <v>46</v>
      </c>
      <c r="F7" s="145" t="str">
        <f>+VLOOKUP(A7,'Estado SCI'!$A$16:$I$59,9,0)</f>
        <v>Mantenimiento del control</v>
      </c>
      <c r="G7" s="145">
        <f>+VLOOKUP(A7,'Estado SCI'!$A$16:$L$59,12,0)</f>
        <v>20.123456788999999</v>
      </c>
      <c r="H7" s="145">
        <f t="shared" si="0"/>
        <v>6</v>
      </c>
      <c r="I7" s="145" t="str">
        <f>+IF(VLOOKUP(A7,'Estado SCI'!$A$16:$G$59,7,0)="","",VLOOKUP(A7,'Estado SCI'!$A$16:$G$59,7,0))</f>
        <v>Si</v>
      </c>
      <c r="J7" s="146">
        <f t="shared" si="2"/>
        <v>1</v>
      </c>
      <c r="K7" s="147">
        <f t="shared" si="1"/>
        <v>1</v>
      </c>
    </row>
    <row r="8" spans="1:11" x14ac:dyDescent="0.25">
      <c r="A8" s="145" t="s">
        <v>147</v>
      </c>
      <c r="B8" s="145" t="s">
        <v>32</v>
      </c>
      <c r="C8" s="145" t="s">
        <v>33</v>
      </c>
      <c r="D8" s="145" t="s">
        <v>47</v>
      </c>
      <c r="E8" s="145" t="s">
        <v>48</v>
      </c>
      <c r="F8" s="145" t="str">
        <f>+VLOOKUP(A8,'Estado SCI'!$A$16:$I$59,9,0)</f>
        <v>Mantenimiento del control</v>
      </c>
      <c r="G8" s="145">
        <f>+VLOOKUP(A8,'Estado SCI'!$A$16:$L$59,12,0)</f>
        <v>20.1234567891</v>
      </c>
      <c r="H8" s="145">
        <f t="shared" si="0"/>
        <v>7</v>
      </c>
      <c r="I8" s="145" t="str">
        <f>+IF(VLOOKUP(A8,'Estado SCI'!$A$16:$G$59,7,0)="","",VLOOKUP(A8,'Estado SCI'!$A$16:$G$59,7,0))</f>
        <v>Si</v>
      </c>
      <c r="J8" s="146">
        <f t="shared" si="2"/>
        <v>1</v>
      </c>
      <c r="K8" s="147">
        <f t="shared" si="1"/>
        <v>1</v>
      </c>
    </row>
    <row r="9" spans="1:11" x14ac:dyDescent="0.25">
      <c r="A9" s="145" t="s">
        <v>148</v>
      </c>
      <c r="B9" s="145" t="s">
        <v>32</v>
      </c>
      <c r="C9" s="145" t="s">
        <v>33</v>
      </c>
      <c r="D9" s="145" t="s">
        <v>49</v>
      </c>
      <c r="E9" s="145" t="s">
        <v>50</v>
      </c>
      <c r="F9" s="145" t="str">
        <f>+VLOOKUP(A9,'Estado SCI'!$A$16:$I$59,9,0)</f>
        <v>Mantenimiento del control</v>
      </c>
      <c r="G9" s="145">
        <f>+VLOOKUP(A9,'Estado SCI'!$A$16:$L$59,12,0)</f>
        <v>20.123456789119999</v>
      </c>
      <c r="H9" s="145">
        <f t="shared" si="0"/>
        <v>8</v>
      </c>
      <c r="I9" s="145" t="str">
        <f>+IF(VLOOKUP(A9,'Estado SCI'!$A$16:$G$59,7,0)="","",VLOOKUP(A9,'Estado SCI'!$A$16:$G$59,7,0))</f>
        <v>Si</v>
      </c>
      <c r="J9" s="146">
        <f t="shared" si="2"/>
        <v>1</v>
      </c>
      <c r="K9" s="147">
        <f t="shared" si="1"/>
        <v>1</v>
      </c>
    </row>
    <row r="10" spans="1:11" x14ac:dyDescent="0.25">
      <c r="A10" s="145" t="s">
        <v>149</v>
      </c>
      <c r="B10" s="145" t="s">
        <v>32</v>
      </c>
      <c r="C10" s="145" t="s">
        <v>33</v>
      </c>
      <c r="D10" s="145" t="s">
        <v>51</v>
      </c>
      <c r="E10" s="145" t="s">
        <v>52</v>
      </c>
      <c r="F10" s="145" t="str">
        <f>+VLOOKUP(A10,'Estado SCI'!$A$16:$I$59,9,0)</f>
        <v>Mantenimiento del control</v>
      </c>
      <c r="G10" s="145">
        <f>+VLOOKUP(A10,'Estado SCI'!$A$16:$L$59,12,0)</f>
        <v>20.123456789123001</v>
      </c>
      <c r="H10" s="145">
        <f t="shared" si="0"/>
        <v>9</v>
      </c>
      <c r="I10" s="145" t="str">
        <f>+IF(VLOOKUP(A10,'Estado SCI'!$A$16:$G$59,7,0)="","",VLOOKUP(A10,'Estado SCI'!$A$16:$G$59,7,0))</f>
        <v>Si</v>
      </c>
      <c r="J10" s="146">
        <f t="shared" si="2"/>
        <v>1</v>
      </c>
      <c r="K10" s="147">
        <f t="shared" si="1"/>
        <v>1</v>
      </c>
    </row>
    <row r="11" spans="1:11" x14ac:dyDescent="0.25">
      <c r="A11" s="145" t="s">
        <v>150</v>
      </c>
      <c r="B11" s="145" t="s">
        <v>32</v>
      </c>
      <c r="C11" s="145" t="s">
        <v>33</v>
      </c>
      <c r="D11" s="145" t="s">
        <v>53</v>
      </c>
      <c r="E11" s="145" t="s">
        <v>54</v>
      </c>
      <c r="F11" s="145" t="str">
        <f>+VLOOKUP(A11,'Estado SCI'!$A$16:$I$59,9,0)</f>
        <v>Mantenimiento del control</v>
      </c>
      <c r="G11" s="145">
        <f>+VLOOKUP(A11,'Estado SCI'!$A$16:$L$59,12,0)</f>
        <v>20.123456789123399</v>
      </c>
      <c r="H11" s="145">
        <f t="shared" si="0"/>
        <v>10</v>
      </c>
      <c r="I11" s="145" t="str">
        <f>+IF(VLOOKUP(A11,'Estado SCI'!$A$16:$G$59,7,0)="","",VLOOKUP(A11,'Estado SCI'!$A$16:$G$59,7,0))</f>
        <v>Si</v>
      </c>
      <c r="J11" s="146">
        <f t="shared" si="2"/>
        <v>1</v>
      </c>
      <c r="K11" s="147">
        <f t="shared" si="1"/>
        <v>1</v>
      </c>
    </row>
    <row r="12" spans="1:11" x14ac:dyDescent="0.25">
      <c r="A12" s="145" t="s">
        <v>151</v>
      </c>
      <c r="B12" s="145" t="s">
        <v>32</v>
      </c>
      <c r="C12" s="145" t="s">
        <v>33</v>
      </c>
      <c r="D12" s="145" t="s">
        <v>55</v>
      </c>
      <c r="E12" s="145" t="s">
        <v>56</v>
      </c>
      <c r="F12" s="145" t="str">
        <f>+VLOOKUP(A12,'Estado SCI'!$A$16:$I$59,9,0)</f>
        <v>Mantenimiento del control</v>
      </c>
      <c r="G12" s="145">
        <f>+VLOOKUP(A12,'Estado SCI'!$A$16:$L$59,12,0)</f>
        <v>20.123456789123448</v>
      </c>
      <c r="H12" s="145">
        <f t="shared" si="0"/>
        <v>11</v>
      </c>
      <c r="I12" s="145" t="str">
        <f>+IF(VLOOKUP(A12,'Estado SCI'!$A$16:$G$59,7,0)="","",VLOOKUP(A12,'Estado SCI'!$A$16:$G$59,7,0))</f>
        <v>Si</v>
      </c>
      <c r="J12" s="146">
        <f t="shared" si="2"/>
        <v>1</v>
      </c>
      <c r="K12" s="147">
        <f t="shared" si="1"/>
        <v>1</v>
      </c>
    </row>
    <row r="13" spans="1:11" x14ac:dyDescent="0.25">
      <c r="A13" s="145" t="s">
        <v>152</v>
      </c>
      <c r="B13" s="145" t="s">
        <v>32</v>
      </c>
      <c r="C13" s="145" t="s">
        <v>33</v>
      </c>
      <c r="D13" s="145" t="s">
        <v>57</v>
      </c>
      <c r="E13" s="145" t="s">
        <v>58</v>
      </c>
      <c r="F13" s="145" t="str">
        <f>+VLOOKUP(A13,'Estado SCI'!$A$16:$I$59,9,0)</f>
        <v>Mantenimiento del control</v>
      </c>
      <c r="G13" s="145">
        <f>+VLOOKUP(A13,'Estado SCI'!$A$16:$L$59,12,0)</f>
        <v>20.123456789123455</v>
      </c>
      <c r="H13" s="145">
        <f t="shared" si="0"/>
        <v>12</v>
      </c>
      <c r="I13" s="145" t="str">
        <f>+IF(VLOOKUP(A13,'Estado SCI'!$A$16:$G$59,7,0)="","",VLOOKUP(A13,'Estado SCI'!$A$16:$G$59,7,0))</f>
        <v>Si</v>
      </c>
      <c r="J13" s="146">
        <f t="shared" si="2"/>
        <v>1</v>
      </c>
      <c r="K13" s="147">
        <f t="shared" si="1"/>
        <v>1</v>
      </c>
    </row>
    <row r="14" spans="1:11" ht="15" customHeight="1" x14ac:dyDescent="0.25">
      <c r="A14" s="145" t="s">
        <v>153</v>
      </c>
      <c r="B14" s="145" t="str">
        <f>+VLOOKUP(A14,'Estado SCI'!$A$16:$C$59,3,0)</f>
        <v>EVALUACION DEL RIESGO</v>
      </c>
      <c r="C14" s="145" t="s">
        <v>61</v>
      </c>
      <c r="D14" s="145" t="s">
        <v>34</v>
      </c>
      <c r="E14" s="145" t="s">
        <v>154</v>
      </c>
      <c r="F14" s="145" t="str">
        <f>+VLOOKUP(A14,'Estado SCI'!$A$16:$I$59,9,0)</f>
        <v>Mantenimiento del control</v>
      </c>
      <c r="G14" s="145">
        <f>+VLOOKUP(A14,'Estado SCI'!$A$16:$L$59,12,0)</f>
        <v>40.229999999999997</v>
      </c>
      <c r="H14" s="145">
        <f t="shared" si="0"/>
        <v>13</v>
      </c>
      <c r="I14" s="145" t="str">
        <f>+IF(VLOOKUP(A14,'Estado SCI'!$A$16:$G$59,7,0)="","",VLOOKUP(A14,'Estado SCI'!$A$16:$G$59,7,0))</f>
        <v>Si</v>
      </c>
      <c r="J14" s="146">
        <f t="shared" si="2"/>
        <v>1</v>
      </c>
      <c r="K14" s="147">
        <f t="shared" si="1"/>
        <v>1</v>
      </c>
    </row>
    <row r="15" spans="1:11" ht="15" customHeight="1" x14ac:dyDescent="0.25">
      <c r="A15" s="145" t="s">
        <v>155</v>
      </c>
      <c r="B15" s="145" t="s">
        <v>60</v>
      </c>
      <c r="C15" s="145" t="s">
        <v>61</v>
      </c>
      <c r="D15" s="145" t="s">
        <v>36</v>
      </c>
      <c r="E15" s="145" t="s">
        <v>156</v>
      </c>
      <c r="F15" s="145" t="str">
        <f>+VLOOKUP(A15,'Estado SCI'!$A$16:$I$59,9,0)</f>
        <v>Mantenimiento del control</v>
      </c>
      <c r="G15" s="145">
        <f>+VLOOKUP(A15,'Estado SCI'!$A$16:$L$59,12,0)</f>
        <v>40.234000000000002</v>
      </c>
      <c r="H15" s="145">
        <f t="shared" si="0"/>
        <v>14</v>
      </c>
      <c r="I15" s="145" t="str">
        <f>+IF(VLOOKUP(A15,'Estado SCI'!$A$16:$G$59,7,0)="","",VLOOKUP(A15,'Estado SCI'!$A$16:$G$59,7,0))</f>
        <v>Si</v>
      </c>
      <c r="J15" s="146">
        <f t="shared" si="2"/>
        <v>1</v>
      </c>
      <c r="K15" s="147">
        <f t="shared" si="1"/>
        <v>1</v>
      </c>
    </row>
    <row r="16" spans="1:11" ht="15" customHeight="1" x14ac:dyDescent="0.25">
      <c r="A16" s="145" t="s">
        <v>157</v>
      </c>
      <c r="B16" s="145" t="s">
        <v>60</v>
      </c>
      <c r="C16" s="145" t="s">
        <v>61</v>
      </c>
      <c r="D16" s="145" t="s">
        <v>39</v>
      </c>
      <c r="E16" s="145" t="s">
        <v>158</v>
      </c>
      <c r="F16" s="145" t="str">
        <f>+VLOOKUP(A16,'Estado SCI'!$A$16:$I$59,9,0)</f>
        <v>Mantenimiento del control</v>
      </c>
      <c r="G16" s="145">
        <f>+VLOOKUP(A16,'Estado SCI'!$A$16:$L$59,12,0)</f>
        <v>40.234499999999997</v>
      </c>
      <c r="H16" s="145">
        <f t="shared" si="0"/>
        <v>15</v>
      </c>
      <c r="I16" s="145" t="str">
        <f>+IF(VLOOKUP(A16,'Estado SCI'!$A$16:$G$59,7,0)="","",VLOOKUP(A16,'Estado SCI'!$A$16:$G$59,7,0))</f>
        <v>Si</v>
      </c>
      <c r="J16" s="146">
        <f t="shared" si="2"/>
        <v>1</v>
      </c>
      <c r="K16" s="147">
        <f t="shared" si="1"/>
        <v>1</v>
      </c>
    </row>
    <row r="17" spans="1:11" ht="15.75" customHeight="1" x14ac:dyDescent="0.25">
      <c r="A17" s="145" t="s">
        <v>159</v>
      </c>
      <c r="B17" s="145" t="s">
        <v>60</v>
      </c>
      <c r="C17" s="145" t="s">
        <v>61</v>
      </c>
      <c r="D17" s="145" t="s">
        <v>41</v>
      </c>
      <c r="E17" s="145" t="s">
        <v>65</v>
      </c>
      <c r="F17" s="145" t="str">
        <f>+VLOOKUP(A17,'Estado SCI'!$A$16:$I$59,9,0)</f>
        <v>Mantenimiento del control</v>
      </c>
      <c r="G17" s="145">
        <f>+VLOOKUP(A17,'Estado SCI'!$A$16:$L$59,12,0)</f>
        <v>40.234560000000002</v>
      </c>
      <c r="H17" s="145">
        <f t="shared" si="0"/>
        <v>16</v>
      </c>
      <c r="I17" s="145" t="str">
        <f>+IF(VLOOKUP(A17,'Estado SCI'!$A$16:$G$59,7,0)="","",VLOOKUP(A17,'Estado SCI'!$A$16:$G$59,7,0))</f>
        <v>Si</v>
      </c>
      <c r="J17" s="146">
        <f t="shared" si="2"/>
        <v>1</v>
      </c>
      <c r="K17" s="147">
        <f t="shared" si="1"/>
        <v>1</v>
      </c>
    </row>
    <row r="18" spans="1:11" ht="15" customHeight="1" x14ac:dyDescent="0.25">
      <c r="A18" s="145" t="s">
        <v>160</v>
      </c>
      <c r="B18" s="145" t="s">
        <v>60</v>
      </c>
      <c r="C18" s="145" t="s">
        <v>78</v>
      </c>
      <c r="D18" s="145" t="s">
        <v>34</v>
      </c>
      <c r="E18" s="145" t="s">
        <v>68</v>
      </c>
      <c r="F18" s="145" t="str">
        <f>+VLOOKUP(A18,'Estado SCI'!$A$16:$I$59,9,0)</f>
        <v>Mantenimiento del control</v>
      </c>
      <c r="G18" s="145">
        <f>+VLOOKUP(A18,'Estado SCI'!$A$16:$L$59,12,0)</f>
        <v>40.234566999999998</v>
      </c>
      <c r="H18" s="145">
        <f t="shared" si="0"/>
        <v>17</v>
      </c>
      <c r="I18" s="145" t="str">
        <f>+IF(VLOOKUP(A18,'Estado SCI'!$A$16:$G$59,7,0)="","",VLOOKUP(A18,'Estado SCI'!$A$16:$G$59,7,0))</f>
        <v>Si</v>
      </c>
      <c r="J18" s="146">
        <f t="shared" si="2"/>
        <v>1</v>
      </c>
      <c r="K18" s="147">
        <f t="shared" si="1"/>
        <v>1</v>
      </c>
    </row>
    <row r="19" spans="1:11" ht="15" customHeight="1" x14ac:dyDescent="0.25">
      <c r="A19" s="145" t="s">
        <v>161</v>
      </c>
      <c r="B19" s="145" t="s">
        <v>60</v>
      </c>
      <c r="C19" s="145" t="s">
        <v>78</v>
      </c>
      <c r="D19" s="145" t="s">
        <v>36</v>
      </c>
      <c r="E19" s="145" t="s">
        <v>69</v>
      </c>
      <c r="F19" s="145" t="str">
        <f>+VLOOKUP(A19,'Estado SCI'!$A$16:$I$59,9,0)</f>
        <v>Mantenimiento del control</v>
      </c>
      <c r="G19" s="145">
        <f>+VLOOKUP(A19,'Estado SCI'!$A$16:$L$59,12,0)</f>
        <v>40.234567800000001</v>
      </c>
      <c r="H19" s="145">
        <f t="shared" si="0"/>
        <v>18</v>
      </c>
      <c r="I19" s="145" t="str">
        <f>+IF(VLOOKUP(A19,'Estado SCI'!$A$16:$G$59,7,0)="","",VLOOKUP(A19,'Estado SCI'!$A$16:$G$59,7,0))</f>
        <v>Si</v>
      </c>
      <c r="J19" s="146">
        <f t="shared" si="2"/>
        <v>1</v>
      </c>
      <c r="K19" s="147">
        <f t="shared" si="1"/>
        <v>1</v>
      </c>
    </row>
    <row r="20" spans="1:11" ht="15" customHeight="1" x14ac:dyDescent="0.25">
      <c r="A20" s="145" t="s">
        <v>162</v>
      </c>
      <c r="B20" s="145" t="s">
        <v>60</v>
      </c>
      <c r="C20" s="145" t="s">
        <v>78</v>
      </c>
      <c r="D20" s="145" t="s">
        <v>39</v>
      </c>
      <c r="E20" s="145" t="s">
        <v>70</v>
      </c>
      <c r="F20" s="145" t="str">
        <f>+VLOOKUP(A20,'Estado SCI'!$A$16:$I$59,9,0)</f>
        <v>Mantenimiento del control</v>
      </c>
      <c r="G20" s="145">
        <f>+VLOOKUP(A20,'Estado SCI'!$A$16:$L$59,12,0)</f>
        <v>40.234567890000001</v>
      </c>
      <c r="H20" s="145">
        <f t="shared" si="0"/>
        <v>19</v>
      </c>
      <c r="I20" s="145" t="str">
        <f>+IF(VLOOKUP(A20,'Estado SCI'!$A$16:$G$59,7,0)="","",VLOOKUP(A20,'Estado SCI'!$A$16:$G$59,7,0))</f>
        <v>Si</v>
      </c>
      <c r="J20" s="146">
        <f t="shared" si="2"/>
        <v>1</v>
      </c>
      <c r="K20" s="147">
        <f t="shared" si="1"/>
        <v>1</v>
      </c>
    </row>
    <row r="21" spans="1:11" ht="15.75" customHeight="1" x14ac:dyDescent="0.25">
      <c r="A21" s="145" t="s">
        <v>163</v>
      </c>
      <c r="B21" s="145" t="s">
        <v>60</v>
      </c>
      <c r="C21" s="145" t="s">
        <v>78</v>
      </c>
      <c r="D21" s="145" t="s">
        <v>34</v>
      </c>
      <c r="E21" s="145" t="s">
        <v>73</v>
      </c>
      <c r="F21" s="145" t="str">
        <f>+VLOOKUP(A21,'Estado SCI'!$A$16:$I$59,9,0)</f>
        <v>Mantenimiento del control</v>
      </c>
      <c r="G21" s="145">
        <f>+VLOOKUP(A21,'Estado SCI'!$A$16:$L$59,12,0)</f>
        <v>40.234567891200001</v>
      </c>
      <c r="H21" s="145">
        <f t="shared" si="0"/>
        <v>20</v>
      </c>
      <c r="I21" s="145" t="str">
        <f>+IF(VLOOKUP(A21,'Estado SCI'!$A$16:$G$59,7,0)="","",VLOOKUP(A21,'Estado SCI'!$A$16:$G$59,7,0))</f>
        <v>Si</v>
      </c>
      <c r="J21" s="146">
        <f t="shared" si="2"/>
        <v>1</v>
      </c>
      <c r="K21" s="147">
        <f t="shared" si="1"/>
        <v>1</v>
      </c>
    </row>
    <row r="22" spans="1:11" ht="15" customHeight="1" x14ac:dyDescent="0.25">
      <c r="A22" s="145" t="s">
        <v>164</v>
      </c>
      <c r="B22" s="145" t="s">
        <v>60</v>
      </c>
      <c r="C22" s="145" t="s">
        <v>86</v>
      </c>
      <c r="D22" s="145" t="s">
        <v>36</v>
      </c>
      <c r="E22" s="145" t="s">
        <v>74</v>
      </c>
      <c r="F22" s="145" t="str">
        <f>+VLOOKUP(A22,'Estado SCI'!$A$16:$I$59,9,0)</f>
        <v>Mantenimiento del control</v>
      </c>
      <c r="G22" s="145">
        <f>+VLOOKUP(A22,'Estado SCI'!$A$16:$L$59,12,0)</f>
        <v>40.23456789123</v>
      </c>
      <c r="H22" s="145">
        <f t="shared" si="0"/>
        <v>21</v>
      </c>
      <c r="I22" s="145" t="str">
        <f>+IF(VLOOKUP(A22,'Estado SCI'!$A$16:$G$59,7,0)="","",VLOOKUP(A22,'Estado SCI'!$A$16:$G$59,7,0))</f>
        <v>Si</v>
      </c>
      <c r="J22" s="146">
        <f t="shared" si="2"/>
        <v>1</v>
      </c>
      <c r="K22" s="147">
        <f t="shared" si="1"/>
        <v>1</v>
      </c>
    </row>
    <row r="23" spans="1:11" ht="15" customHeight="1" x14ac:dyDescent="0.25">
      <c r="A23" s="145" t="s">
        <v>165</v>
      </c>
      <c r="B23" s="145" t="s">
        <v>60</v>
      </c>
      <c r="C23" s="145" t="s">
        <v>86</v>
      </c>
      <c r="D23" s="145" t="s">
        <v>39</v>
      </c>
      <c r="E23" s="145" t="s">
        <v>75</v>
      </c>
      <c r="F23" s="145" t="str">
        <f>+VLOOKUP(A23,'Estado SCI'!$A$16:$I$59,9,0)</f>
        <v>Mantenimiento del control</v>
      </c>
      <c r="G23" s="145">
        <f>+VLOOKUP(A23,'Estado SCI'!$A$16:$L$59,12,0)</f>
        <v>40.234567891234001</v>
      </c>
      <c r="H23" s="145">
        <f t="shared" si="0"/>
        <v>22</v>
      </c>
      <c r="I23" s="145" t="str">
        <f>+IF(VLOOKUP(A23,'Estado SCI'!$A$16:$G$59,7,0)="","",VLOOKUP(A23,'Estado SCI'!$A$16:$G$59,7,0))</f>
        <v>Si</v>
      </c>
      <c r="J23" s="146">
        <f t="shared" si="2"/>
        <v>1</v>
      </c>
      <c r="K23" s="147">
        <f t="shared" si="1"/>
        <v>1</v>
      </c>
    </row>
    <row r="24" spans="1:11" ht="15" customHeight="1" x14ac:dyDescent="0.25">
      <c r="A24" s="145" t="s">
        <v>166</v>
      </c>
      <c r="B24" s="145" t="str">
        <f>+VLOOKUP(A24,'Estado SCI'!$A$16:$C$59,3,0)</f>
        <v>ACTIVIDADES DE CONTROL</v>
      </c>
      <c r="C24" s="145" t="s">
        <v>86</v>
      </c>
      <c r="D24" s="145" t="s">
        <v>34</v>
      </c>
      <c r="E24" s="145" t="s">
        <v>79</v>
      </c>
      <c r="F24" s="145" t="str">
        <f>+VLOOKUP(A24,'Estado SCI'!$A$16:$I$59,9,0)</f>
        <v>Mantenimiento del control</v>
      </c>
      <c r="G24" s="145">
        <f>+VLOOKUP(A24,'Estado SCI'!$A$16:$L$59,12,0)</f>
        <v>60.31</v>
      </c>
      <c r="H24" s="145">
        <f t="shared" si="0"/>
        <v>23</v>
      </c>
      <c r="I24" s="145" t="str">
        <f>+IF(VLOOKUP(A24,'Estado SCI'!$A$16:$G$59,7,0)="","",VLOOKUP(A24,'Estado SCI'!$A$16:$G$59,7,0))</f>
        <v>Si</v>
      </c>
      <c r="J24" s="146">
        <f t="shared" si="2"/>
        <v>1</v>
      </c>
      <c r="K24" s="147">
        <f t="shared" si="1"/>
        <v>1</v>
      </c>
    </row>
    <row r="25" spans="1:11" ht="15" customHeight="1" x14ac:dyDescent="0.25">
      <c r="A25" s="145" t="s">
        <v>167</v>
      </c>
      <c r="B25" s="145" t="s">
        <v>77</v>
      </c>
      <c r="C25" s="145" t="s">
        <v>86</v>
      </c>
      <c r="D25" s="145" t="s">
        <v>36</v>
      </c>
      <c r="E25" s="145" t="s">
        <v>80</v>
      </c>
      <c r="F25" s="145" t="str">
        <f>+VLOOKUP(A25,'Estado SCI'!$A$16:$I$59,9,0)</f>
        <v>Mantenimiento del control</v>
      </c>
      <c r="G25" s="145">
        <f>+VLOOKUP(A25,'Estado SCI'!$A$16:$L$59,12,0)</f>
        <v>60.323</v>
      </c>
      <c r="H25" s="145">
        <f t="shared" si="0"/>
        <v>24</v>
      </c>
      <c r="I25" s="145" t="str">
        <f>+IF(VLOOKUP(A25,'Estado SCI'!$A$16:$G$59,7,0)="","",VLOOKUP(A25,'Estado SCI'!$A$16:$G$59,7,0))</f>
        <v>Si</v>
      </c>
      <c r="J25" s="146">
        <f t="shared" si="2"/>
        <v>1</v>
      </c>
      <c r="K25" s="147">
        <f t="shared" si="1"/>
        <v>1</v>
      </c>
    </row>
    <row r="26" spans="1:11" ht="15" customHeight="1" x14ac:dyDescent="0.25">
      <c r="A26" s="145" t="s">
        <v>168</v>
      </c>
      <c r="B26" s="145" t="s">
        <v>77</v>
      </c>
      <c r="C26" s="145" t="s">
        <v>86</v>
      </c>
      <c r="D26" s="145" t="s">
        <v>39</v>
      </c>
      <c r="E26" s="145" t="s">
        <v>81</v>
      </c>
      <c r="F26" s="145" t="str">
        <f>+VLOOKUP(A26,'Estado SCI'!$A$16:$I$59,9,0)</f>
        <v>Mantenimiento del control</v>
      </c>
      <c r="G26" s="145">
        <f>+VLOOKUP(A26,'Estado SCI'!$A$16:$L$59,12,0)</f>
        <v>60.323999999999998</v>
      </c>
      <c r="H26" s="145">
        <f t="shared" si="0"/>
        <v>25</v>
      </c>
      <c r="I26" s="145" t="str">
        <f>+IF(VLOOKUP(A26,'Estado SCI'!$A$16:$G$59,7,0)="","",VLOOKUP(A26,'Estado SCI'!$A$16:$G$59,7,0))</f>
        <v>Si</v>
      </c>
      <c r="J26" s="146">
        <f t="shared" si="2"/>
        <v>1</v>
      </c>
      <c r="K26" s="147">
        <f t="shared" si="1"/>
        <v>1</v>
      </c>
    </row>
    <row r="27" spans="1:11" ht="15.75" customHeight="1" x14ac:dyDescent="0.25">
      <c r="A27" s="145" t="s">
        <v>169</v>
      </c>
      <c r="B27" s="145" t="s">
        <v>77</v>
      </c>
      <c r="C27" s="145" t="s">
        <v>86</v>
      </c>
      <c r="D27" s="145" t="s">
        <v>41</v>
      </c>
      <c r="E27" s="145" t="s">
        <v>82</v>
      </c>
      <c r="F27" s="145" t="str">
        <f>+VLOOKUP(A27,'Estado SCI'!$A$16:$I$59,9,0)</f>
        <v>Mantenimiento del control</v>
      </c>
      <c r="G27" s="145">
        <f>+VLOOKUP(A27,'Estado SCI'!$A$16:$L$59,12,0)</f>
        <v>60.325000000000003</v>
      </c>
      <c r="H27" s="145">
        <f t="shared" si="0"/>
        <v>26</v>
      </c>
      <c r="I27" s="145" t="str">
        <f>+IF(VLOOKUP(A27,'Estado SCI'!$A$16:$G$59,7,0)="","",VLOOKUP(A27,'Estado SCI'!$A$16:$G$59,7,0))</f>
        <v>Si</v>
      </c>
      <c r="J27" s="146">
        <f t="shared" si="2"/>
        <v>1</v>
      </c>
      <c r="K27" s="147">
        <f t="shared" si="1"/>
        <v>1</v>
      </c>
    </row>
    <row r="28" spans="1:11" ht="15" customHeight="1" x14ac:dyDescent="0.25">
      <c r="A28" s="145" t="s">
        <v>170</v>
      </c>
      <c r="B28" s="145" t="s">
        <v>77</v>
      </c>
      <c r="C28" s="145" t="s">
        <v>96</v>
      </c>
      <c r="D28" s="145" t="s">
        <v>43</v>
      </c>
      <c r="E28" s="145" t="s">
        <v>83</v>
      </c>
      <c r="F28" s="145" t="str">
        <f>+VLOOKUP(A28,'Estado SCI'!$A$16:$I$59,9,0)</f>
        <v>Mantenimiento del control</v>
      </c>
      <c r="G28" s="145">
        <f>+VLOOKUP(A28,'Estado SCI'!$A$16:$L$59,12,0)</f>
        <v>60.326000000000001</v>
      </c>
      <c r="H28" s="145">
        <f t="shared" si="0"/>
        <v>27</v>
      </c>
      <c r="I28" s="145" t="str">
        <f>+IF(VLOOKUP(A28,'Estado SCI'!$A$16:$G$59,7,0)="","",VLOOKUP(A28,'Estado SCI'!$A$16:$G$59,7,0))</f>
        <v>Si</v>
      </c>
      <c r="J28" s="146">
        <f t="shared" si="2"/>
        <v>1</v>
      </c>
      <c r="K28" s="147">
        <f t="shared" si="1"/>
        <v>1</v>
      </c>
    </row>
    <row r="29" spans="1:11" ht="15" customHeight="1" x14ac:dyDescent="0.25">
      <c r="A29" s="145" t="s">
        <v>171</v>
      </c>
      <c r="B29" s="145" t="str">
        <f>+VLOOKUP(A29,'Estado SCI'!$A$16:$C$59,3,0)</f>
        <v>INFORMACION Y COMUNICACIÓN</v>
      </c>
      <c r="C29" s="145" t="s">
        <v>96</v>
      </c>
      <c r="D29" s="145" t="s">
        <v>34</v>
      </c>
      <c r="E29" s="145" t="s">
        <v>87</v>
      </c>
      <c r="F29" s="145" t="str">
        <f>+VLOOKUP(A29,'Estado SCI'!$A$16:$I$59,9,0)</f>
        <v>Mantenimiento del control</v>
      </c>
      <c r="G29" s="145">
        <f>+VLOOKUP(A29,'Estado SCI'!$A$16:$L$59,12,0)</f>
        <v>80.412000000000006</v>
      </c>
      <c r="H29" s="145">
        <f t="shared" si="0"/>
        <v>29</v>
      </c>
      <c r="I29" s="145" t="str">
        <f>+IF(VLOOKUP(A29,'Estado SCI'!$A$16:$G$59,7,0)="","",VLOOKUP(A29,'Estado SCI'!$A$16:$G$59,7,0))</f>
        <v>Si</v>
      </c>
      <c r="J29" s="146">
        <f t="shared" si="2"/>
        <v>1</v>
      </c>
      <c r="K29" s="147">
        <f t="shared" si="1"/>
        <v>0.8571428571428571</v>
      </c>
    </row>
    <row r="30" spans="1:11" ht="15" customHeight="1" x14ac:dyDescent="0.25">
      <c r="A30" s="145" t="s">
        <v>172</v>
      </c>
      <c r="B30" s="145" t="s">
        <v>85</v>
      </c>
      <c r="C30" s="145" t="s">
        <v>96</v>
      </c>
      <c r="D30" s="145" t="s">
        <v>36</v>
      </c>
      <c r="E30" s="145" t="s">
        <v>88</v>
      </c>
      <c r="F30" s="145" t="str">
        <f>+VLOOKUP(A30,'Estado SCI'!$A$16:$I$59,9,0)</f>
        <v>Deficiencia de control</v>
      </c>
      <c r="G30" s="145">
        <f>+VLOOKUP(A30,'Estado SCI'!$A$16:$L$59,12,0)</f>
        <v>60.412300000000002</v>
      </c>
      <c r="H30" s="145">
        <f t="shared" si="0"/>
        <v>28</v>
      </c>
      <c r="I30" s="145" t="str">
        <f>+IF(VLOOKUP(A30,'Estado SCI'!$A$16:$G$59,7,0)="","",VLOOKUP(A30,'Estado SCI'!$A$16:$G$59,7,0))</f>
        <v/>
      </c>
      <c r="J30" s="146">
        <f t="shared" si="2"/>
        <v>0</v>
      </c>
      <c r="K30" s="147">
        <f t="shared" si="1"/>
        <v>0.8571428571428571</v>
      </c>
    </row>
    <row r="31" spans="1:11" ht="15.75" customHeight="1" x14ac:dyDescent="0.25">
      <c r="A31" s="145" t="s">
        <v>173</v>
      </c>
      <c r="B31" s="145" t="s">
        <v>85</v>
      </c>
      <c r="C31" s="145" t="s">
        <v>96</v>
      </c>
      <c r="D31" s="145" t="s">
        <v>39</v>
      </c>
      <c r="E31" s="145" t="s">
        <v>89</v>
      </c>
      <c r="F31" s="145" t="str">
        <f>+VLOOKUP(A31,'Estado SCI'!$A$16:$I$59,9,0)</f>
        <v>Mantenimiento del control</v>
      </c>
      <c r="G31" s="145">
        <f>+VLOOKUP(A31,'Estado SCI'!$A$16:$L$59,12,0)</f>
        <v>80.41234</v>
      </c>
      <c r="H31" s="145">
        <f t="shared" si="0"/>
        <v>30</v>
      </c>
      <c r="I31" s="145" t="str">
        <f>+IF(VLOOKUP(A31,'Estado SCI'!$A$16:$G$59,7,0)="","",VLOOKUP(A31,'Estado SCI'!$A$16:$G$59,7,0))</f>
        <v>Si</v>
      </c>
      <c r="J31" s="146">
        <f t="shared" si="2"/>
        <v>1</v>
      </c>
      <c r="K31" s="147">
        <f t="shared" si="1"/>
        <v>0.8571428571428571</v>
      </c>
    </row>
    <row r="32" spans="1:11" x14ac:dyDescent="0.25">
      <c r="A32" s="145" t="s">
        <v>174</v>
      </c>
      <c r="B32" s="145" t="s">
        <v>85</v>
      </c>
      <c r="C32" s="145" t="s">
        <v>102</v>
      </c>
      <c r="D32" s="145" t="s">
        <v>41</v>
      </c>
      <c r="E32" s="145" t="s">
        <v>90</v>
      </c>
      <c r="F32" s="145" t="str">
        <f>+VLOOKUP(A32,'Estado SCI'!$A$16:$I$59,9,0)</f>
        <v>Mantenimiento del control</v>
      </c>
      <c r="G32" s="145">
        <f>+VLOOKUP(A32,'Estado SCI'!$A$16:$L$59,12,0)</f>
        <v>80.412345000000002</v>
      </c>
      <c r="H32" s="145">
        <f t="shared" si="0"/>
        <v>31</v>
      </c>
      <c r="I32" s="145" t="str">
        <f>+IF(VLOOKUP(A32,'Estado SCI'!$A$16:$G$59,7,0)="","",VLOOKUP(A32,'Estado SCI'!$A$16:$G$59,7,0))</f>
        <v>Si</v>
      </c>
      <c r="J32" s="146">
        <f t="shared" si="2"/>
        <v>1</v>
      </c>
      <c r="K32" s="147">
        <f t="shared" si="1"/>
        <v>0.8571428571428571</v>
      </c>
    </row>
    <row r="33" spans="1:11" x14ac:dyDescent="0.25">
      <c r="A33" s="145" t="s">
        <v>175</v>
      </c>
      <c r="B33" s="145" t="s">
        <v>85</v>
      </c>
      <c r="C33" s="145" t="s">
        <v>176</v>
      </c>
      <c r="D33" s="145" t="s">
        <v>43</v>
      </c>
      <c r="E33" s="145" t="s">
        <v>91</v>
      </c>
      <c r="F33" s="145" t="str">
        <f>+VLOOKUP(A33,'Estado SCI'!$A$16:$I$59,9,0)</f>
        <v>Mantenimiento del control</v>
      </c>
      <c r="G33" s="145">
        <f>+VLOOKUP(A33,'Estado SCI'!$A$16:$L$59,12,0)</f>
        <v>80.412345599999995</v>
      </c>
      <c r="H33" s="145">
        <f t="shared" si="0"/>
        <v>32</v>
      </c>
      <c r="I33" s="145" t="str">
        <f>+IF(VLOOKUP(A33,'Estado SCI'!$A$16:$G$59,7,0)="","",VLOOKUP(A33,'Estado SCI'!$A$16:$G$59,7,0))</f>
        <v>Si</v>
      </c>
      <c r="J33" s="146">
        <f t="shared" si="2"/>
        <v>1</v>
      </c>
      <c r="K33" s="147">
        <f t="shared" si="1"/>
        <v>0.8571428571428571</v>
      </c>
    </row>
    <row r="34" spans="1:11" x14ac:dyDescent="0.25">
      <c r="A34" s="145" t="s">
        <v>177</v>
      </c>
      <c r="B34" s="145" t="s">
        <v>85</v>
      </c>
      <c r="C34" s="145" t="s">
        <v>176</v>
      </c>
      <c r="D34" s="145" t="s">
        <v>45</v>
      </c>
      <c r="E34" s="145" t="s">
        <v>92</v>
      </c>
      <c r="F34" s="145" t="str">
        <f>+VLOOKUP(A34,'Estado SCI'!$A$16:$I$59,9,0)</f>
        <v>Mantenimiento del control</v>
      </c>
      <c r="G34" s="145">
        <f>+VLOOKUP(A34,'Estado SCI'!$A$16:$L$59,12,0)</f>
        <v>80.412345669999993</v>
      </c>
      <c r="H34" s="145">
        <f t="shared" si="0"/>
        <v>33</v>
      </c>
      <c r="I34" s="145" t="str">
        <f>+IF(VLOOKUP(A34,'Estado SCI'!$A$16:$G$59,7,0)="","",VLOOKUP(A34,'Estado SCI'!$A$16:$G$59,7,0))</f>
        <v>Si</v>
      </c>
      <c r="J34" s="146">
        <f t="shared" si="2"/>
        <v>1</v>
      </c>
      <c r="K34" s="147">
        <f t="shared" si="1"/>
        <v>0.8571428571428571</v>
      </c>
    </row>
    <row r="35" spans="1:11" x14ac:dyDescent="0.25">
      <c r="A35" s="145" t="s">
        <v>178</v>
      </c>
      <c r="B35" s="145" t="s">
        <v>85</v>
      </c>
      <c r="C35" s="145" t="s">
        <v>176</v>
      </c>
      <c r="D35" s="145" t="s">
        <v>47</v>
      </c>
      <c r="E35" s="145" t="s">
        <v>93</v>
      </c>
      <c r="F35" s="145" t="str">
        <f>+VLOOKUP(A35,'Estado SCI'!$A$16:$I$59,9,0)</f>
        <v>Mantenimiento del control</v>
      </c>
      <c r="G35" s="145">
        <f>+VLOOKUP(A35,'Estado SCI'!$A$16:$L$59,12,0)</f>
        <v>80.412345677999994</v>
      </c>
      <c r="H35" s="145">
        <f t="shared" si="0"/>
        <v>34</v>
      </c>
      <c r="I35" s="145" t="str">
        <f>+IF(VLOOKUP(A35,'Estado SCI'!$A$16:$G$59,7,0)="","",VLOOKUP(A35,'Estado SCI'!$A$16:$G$59,7,0))</f>
        <v>Si</v>
      </c>
      <c r="J35" s="146">
        <f t="shared" si="2"/>
        <v>1</v>
      </c>
      <c r="K35" s="147">
        <f t="shared" si="1"/>
        <v>0.8571428571428571</v>
      </c>
    </row>
    <row r="36" spans="1:11" x14ac:dyDescent="0.25">
      <c r="A36" s="145" t="s">
        <v>179</v>
      </c>
      <c r="B36" s="145" t="str">
        <f>+VLOOKUP(A36,'Estado SCI'!$A$16:$C$59,3,0)</f>
        <v>ACTIVIDADES DE MONITOREO</v>
      </c>
      <c r="C36" s="145" t="s">
        <v>176</v>
      </c>
      <c r="D36" s="145" t="s">
        <v>34</v>
      </c>
      <c r="E36" s="145" t="s">
        <v>97</v>
      </c>
      <c r="F36" s="145" t="str">
        <f>+VLOOKUP(A36,'Estado SCI'!$A$16:$I$59,9,0)</f>
        <v>Mantenimiento del control</v>
      </c>
      <c r="G36" s="145">
        <f>+VLOOKUP(A36,'Estado SCI'!$A$16:$L$59,12,0)</f>
        <v>120.851</v>
      </c>
      <c r="H36" s="145">
        <f t="shared" si="0"/>
        <v>35</v>
      </c>
      <c r="I36" s="145" t="str">
        <f>+IF(VLOOKUP(A36,'Estado SCI'!$A$16:$G$59,7,0)="","",VLOOKUP(A36,'Estado SCI'!$A$16:$G$59,7,0))</f>
        <v>Si</v>
      </c>
      <c r="J36" s="146">
        <f t="shared" si="2"/>
        <v>1</v>
      </c>
      <c r="K36" s="147">
        <f t="shared" si="1"/>
        <v>1</v>
      </c>
    </row>
    <row r="37" spans="1:11" x14ac:dyDescent="0.25">
      <c r="A37" s="145" t="s">
        <v>180</v>
      </c>
      <c r="B37" s="145" t="s">
        <v>95</v>
      </c>
      <c r="C37" s="145" t="s">
        <v>176</v>
      </c>
      <c r="D37" s="145" t="s">
        <v>41</v>
      </c>
      <c r="E37" s="145" t="s">
        <v>98</v>
      </c>
      <c r="F37" s="145" t="str">
        <f>+VLOOKUP(A37,'Estado SCI'!$A$16:$I$59,9,0)</f>
        <v>Mantenimiento del control</v>
      </c>
      <c r="G37" s="145">
        <f>+VLOOKUP(A37,'Estado SCI'!$A$16:$L$59,12,0)</f>
        <v>120.85120000000001</v>
      </c>
      <c r="H37" s="145">
        <f t="shared" si="0"/>
        <v>36</v>
      </c>
      <c r="I37" s="145" t="str">
        <f>+IF(VLOOKUP(A37,'Estado SCI'!$A$16:$G$59,7,0)="","",VLOOKUP(A37,'Estado SCI'!$A$16:$G$59,7,0))</f>
        <v>Si</v>
      </c>
      <c r="J37" s="146">
        <f t="shared" si="2"/>
        <v>1</v>
      </c>
      <c r="K37" s="147">
        <f t="shared" si="1"/>
        <v>1</v>
      </c>
    </row>
    <row r="38" spans="1:11" x14ac:dyDescent="0.25">
      <c r="A38" s="145" t="s">
        <v>181</v>
      </c>
      <c r="B38" s="145" t="s">
        <v>95</v>
      </c>
      <c r="C38" s="145" t="s">
        <v>67</v>
      </c>
      <c r="D38" s="145" t="s">
        <v>45</v>
      </c>
      <c r="E38" s="145" t="s">
        <v>99</v>
      </c>
      <c r="F38" s="145" t="str">
        <f>+VLOOKUP(A38,'Estado SCI'!$A$16:$I$59,9,0)</f>
        <v>Mantenimiento del control</v>
      </c>
      <c r="G38" s="145">
        <f>+VLOOKUP(A38,'Estado SCI'!$A$16:$L$59,12,0)</f>
        <v>120.85123</v>
      </c>
      <c r="H38" s="145">
        <f t="shared" si="0"/>
        <v>37</v>
      </c>
      <c r="I38" s="145" t="str">
        <f>+IF(VLOOKUP(A38,'Estado SCI'!$A$16:$G$59,7,0)="","",VLOOKUP(A38,'Estado SCI'!$A$16:$G$59,7,0))</f>
        <v>Si</v>
      </c>
      <c r="J38" s="146">
        <f t="shared" si="2"/>
        <v>1</v>
      </c>
      <c r="K38" s="147">
        <f t="shared" si="1"/>
        <v>1</v>
      </c>
    </row>
    <row r="39" spans="1:11" x14ac:dyDescent="0.25">
      <c r="A39" s="145" t="s">
        <v>182</v>
      </c>
      <c r="B39" s="145" t="s">
        <v>95</v>
      </c>
      <c r="C39" s="145" t="s">
        <v>67</v>
      </c>
      <c r="D39" s="145" t="s">
        <v>47</v>
      </c>
      <c r="E39" s="145" t="s">
        <v>100</v>
      </c>
      <c r="F39" s="145" t="str">
        <f>+VLOOKUP(A39,'Estado SCI'!$A$16:$I$59,9,0)</f>
        <v>Mantenimiento del control</v>
      </c>
      <c r="G39" s="145">
        <f>+VLOOKUP(A39,'Estado SCI'!$A$16:$L$59,12,0)</f>
        <v>120.85123400000001</v>
      </c>
      <c r="H39" s="145">
        <f t="shared" si="0"/>
        <v>38</v>
      </c>
      <c r="I39" s="145" t="str">
        <f>+IF(VLOOKUP(A39,'Estado SCI'!$A$16:$G$59,7,0)="","",VLOOKUP(A39,'Estado SCI'!$A$16:$G$59,7,0))</f>
        <v>Si</v>
      </c>
      <c r="J39" s="146">
        <f t="shared" si="2"/>
        <v>1</v>
      </c>
      <c r="K39" s="147">
        <f t="shared" si="1"/>
        <v>1</v>
      </c>
    </row>
    <row r="40" spans="1:11" x14ac:dyDescent="0.25">
      <c r="A40" s="145" t="s">
        <v>183</v>
      </c>
      <c r="B40" s="145" t="s">
        <v>95</v>
      </c>
      <c r="C40" s="145" t="s">
        <v>67</v>
      </c>
      <c r="D40" s="145" t="s">
        <v>49</v>
      </c>
      <c r="E40" s="145" t="s">
        <v>103</v>
      </c>
      <c r="F40" s="145" t="str">
        <f>+VLOOKUP(A40,'Estado SCI'!$A$16:$I$59,9,0)</f>
        <v>Mantenimiento del control</v>
      </c>
      <c r="G40" s="145">
        <f>+VLOOKUP(A40,'Estado SCI'!$A$16:$L$59,12,0)</f>
        <v>120.8512345</v>
      </c>
      <c r="H40" s="145">
        <f t="shared" si="0"/>
        <v>39</v>
      </c>
      <c r="I40" s="145" t="str">
        <f>+IF(VLOOKUP(A40,'Estado SCI'!$A$16:$G$59,7,0)="","",VLOOKUP(A40,'Estado SCI'!$A$16:$G$59,7,0))</f>
        <v>Si</v>
      </c>
      <c r="J40" s="146">
        <f t="shared" si="2"/>
        <v>1</v>
      </c>
      <c r="K40" s="147">
        <f t="shared" si="1"/>
        <v>1</v>
      </c>
    </row>
    <row r="41" spans="1:11" x14ac:dyDescent="0.25">
      <c r="A41" s="145" t="s">
        <v>184</v>
      </c>
      <c r="B41" s="145" t="s">
        <v>95</v>
      </c>
      <c r="C41" s="145" t="s">
        <v>67</v>
      </c>
      <c r="D41" s="145" t="s">
        <v>34</v>
      </c>
      <c r="E41" s="145" t="s">
        <v>106</v>
      </c>
      <c r="F41" s="145" t="str">
        <f>+VLOOKUP(A41,'Estado SCI'!$A$16:$I$59,9,0)</f>
        <v>Mantenimiento del control</v>
      </c>
      <c r="G41" s="145">
        <f>+VLOOKUP(A41,'Estado SCI'!$A$16:$L$59,12,0)</f>
        <v>120.85123455999999</v>
      </c>
      <c r="H41" s="145">
        <f t="shared" si="0"/>
        <v>40</v>
      </c>
      <c r="I41" s="145" t="str">
        <f>+IF(VLOOKUP(A41,'Estado SCI'!$A$16:$G$59,7,0)="","",VLOOKUP(A41,'Estado SCI'!$A$16:$G$59,7,0))</f>
        <v>Si</v>
      </c>
      <c r="J41" s="146">
        <f t="shared" si="2"/>
        <v>1</v>
      </c>
      <c r="K41" s="147">
        <f t="shared" si="1"/>
        <v>1</v>
      </c>
    </row>
    <row r="42" spans="1:11" x14ac:dyDescent="0.25">
      <c r="A42" s="145" t="s">
        <v>185</v>
      </c>
      <c r="B42" s="145" t="s">
        <v>95</v>
      </c>
      <c r="C42" s="145" t="s">
        <v>72</v>
      </c>
      <c r="D42" s="145" t="s">
        <v>36</v>
      </c>
      <c r="E42" s="145" t="s">
        <v>107</v>
      </c>
      <c r="F42" s="145" t="str">
        <f>+VLOOKUP(A42,'Estado SCI'!$A$16:$I$59,9,0)</f>
        <v>Mantenimiento del control</v>
      </c>
      <c r="G42" s="145">
        <f>+VLOOKUP(A42,'Estado SCI'!$A$16:$L$59,12,0)</f>
        <v>120.85123456700001</v>
      </c>
      <c r="H42" s="145">
        <f t="shared" si="0"/>
        <v>41</v>
      </c>
      <c r="I42" s="145" t="str">
        <f>+IF(VLOOKUP(A42,'Estado SCI'!$A$16:$G$59,7,0)="","",VLOOKUP(A42,'Estado SCI'!$A$16:$G$59,7,0))</f>
        <v>Si</v>
      </c>
      <c r="J42" s="146">
        <f t="shared" si="2"/>
        <v>1</v>
      </c>
      <c r="K42" s="147">
        <f t="shared" si="1"/>
        <v>1</v>
      </c>
    </row>
    <row r="43" spans="1:11" x14ac:dyDescent="0.25">
      <c r="A43" s="145" t="s">
        <v>186</v>
      </c>
      <c r="B43" s="145" t="s">
        <v>95</v>
      </c>
      <c r="C43" s="145" t="s">
        <v>72</v>
      </c>
      <c r="D43" s="145" t="s">
        <v>39</v>
      </c>
      <c r="E43" s="145" t="s">
        <v>108</v>
      </c>
      <c r="F43" s="145" t="str">
        <f>+VLOOKUP(A43,'Estado SCI'!$A$16:$I$59,9,0)</f>
        <v>Mantenimiento del control</v>
      </c>
      <c r="G43" s="145">
        <f>+VLOOKUP(A43,'Estado SCI'!$A$16:$L$59,12,0)</f>
        <v>120.85123456780001</v>
      </c>
      <c r="H43" s="145">
        <f t="shared" si="0"/>
        <v>42</v>
      </c>
      <c r="I43" s="145" t="str">
        <f>+IF(VLOOKUP(A43,'Estado SCI'!$A$16:$G$59,7,0)="","",VLOOKUP(A43,'Estado SCI'!$A$16:$G$59,7,0))</f>
        <v>Si</v>
      </c>
      <c r="J43" s="146">
        <f t="shared" si="2"/>
        <v>1</v>
      </c>
      <c r="K43" s="147">
        <f t="shared" si="1"/>
        <v>1</v>
      </c>
    </row>
    <row r="44" spans="1:11" x14ac:dyDescent="0.25">
      <c r="A44" s="145" t="s">
        <v>187</v>
      </c>
      <c r="B44" s="145" t="s">
        <v>95</v>
      </c>
      <c r="C44" s="145" t="s">
        <v>72</v>
      </c>
      <c r="D44" s="145" t="s">
        <v>41</v>
      </c>
      <c r="E44" s="145" t="s">
        <v>109</v>
      </c>
      <c r="F44" s="145" t="str">
        <f>+VLOOKUP(A44,'Estado SCI'!$A$16:$I$59,9,0)</f>
        <v>Mantenimiento del control</v>
      </c>
      <c r="G44" s="145">
        <f>+VLOOKUP(A44,'Estado SCI'!$A$16:$L$59,12,0)</f>
        <v>120.85123456789</v>
      </c>
      <c r="H44" s="145">
        <f t="shared" si="0"/>
        <v>43</v>
      </c>
      <c r="I44" s="145" t="str">
        <f>+IF(VLOOKUP(A44,'Estado SCI'!$A$16:$G$59,7,0)="","",VLOOKUP(A44,'Estado SCI'!$A$16:$G$59,7,0))</f>
        <v>Si</v>
      </c>
      <c r="J44" s="146">
        <f t="shared" si="2"/>
        <v>1</v>
      </c>
      <c r="K44" s="147">
        <f t="shared" si="1"/>
        <v>1</v>
      </c>
    </row>
    <row r="45" spans="1:11" x14ac:dyDescent="0.25">
      <c r="A45" s="145" t="s">
        <v>188</v>
      </c>
      <c r="B45" s="145" t="s">
        <v>95</v>
      </c>
      <c r="C45" s="145" t="s">
        <v>72</v>
      </c>
      <c r="D45" s="145" t="s">
        <v>43</v>
      </c>
      <c r="E45" s="145" t="s">
        <v>110</v>
      </c>
      <c r="F45" s="145" t="str">
        <f>+VLOOKUP(A45,'Estado SCI'!$A$16:$I$59,9,0)</f>
        <v>Mantenimiento del control</v>
      </c>
      <c r="G45" s="145">
        <f>+VLOOKUP(A45,'Estado SCI'!$A$16:$L$59,12,0)</f>
        <v>120.851234567891</v>
      </c>
      <c r="H45" s="145">
        <f t="shared" si="0"/>
        <v>44</v>
      </c>
      <c r="I45" s="145" t="str">
        <f>+IF(VLOOKUP(A45,'Estado SCI'!$A$16:$G$59,7,0)="","",VLOOKUP(A45,'Estado SCI'!$A$16:$G$59,7,0))</f>
        <v>Si</v>
      </c>
      <c r="J45" s="146">
        <f t="shared" si="2"/>
        <v>1</v>
      </c>
      <c r="K45" s="147">
        <f t="shared" si="1"/>
        <v>1</v>
      </c>
    </row>
  </sheetData>
  <sheetProtection algorithmName="SHA-512" hashValue="eXgkKlTi9xJKAI7t6Aeb2RaFpkfyF43pI2BIhtxDc7hsl0SqLK8I4Wc7jbZwC5kw3uyIHOBIUXRnh5cC70LKYA==" saltValue="AxKzX6Ar80vT7acQV8rFpQ==" spinCount="100000" sheet="1" objects="1" scenarios="1" selectLockedCells="1"/>
  <autoFilter ref="A1:K4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Instructivo</vt:lpstr>
      <vt:lpstr>Estado SCI</vt:lpstr>
      <vt:lpstr>Análisis Resultados</vt:lpstr>
      <vt:lpstr>Conclusión</vt:lpstr>
      <vt:lpstr>Hoja1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Sala Juntas Piso 6</dc:creator>
  <cp:lastModifiedBy>AUXPLANEACION03</cp:lastModifiedBy>
  <cp:revision/>
  <cp:lastPrinted>2023-01-11T16:11:39Z</cp:lastPrinted>
  <dcterms:created xsi:type="dcterms:W3CDTF">2020-04-28T13:58:09Z</dcterms:created>
  <dcterms:modified xsi:type="dcterms:W3CDTF">2023-01-19T20:32:46Z</dcterms:modified>
</cp:coreProperties>
</file>