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GOBERNACION QUINDIO 2018\PAGINA WEB\INSTRUMENTOS 2017 DEFINI PUBL\"/>
    </mc:Choice>
  </mc:AlternateContent>
  <bookViews>
    <workbookView xWindow="0" yWindow="0" windowWidth="6720" windowHeight="7380" tabRatio="571"/>
  </bookViews>
  <sheets>
    <sheet name="POAI 2017 " sheetId="7" r:id="rId1"/>
    <sheet name="UNIDAD EJECUTORA" sheetId="10" r:id="rId2"/>
  </sheets>
  <externalReferences>
    <externalReference r:id="rId3"/>
    <externalReference r:id="rId4"/>
  </externalReference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'UNIDAD EJECUTORA'!$A$2:$O$16</definedName>
    <definedName name="_xlnm.Print_Area" localSheetId="1">'UNIDAD EJECUTORA'!$A$1:$O$117</definedName>
    <definedName name="CODIGO_DIVIPOLA" localSheetId="1">#REF!</definedName>
    <definedName name="CODIGO_DIVIPOLA">#REF!</definedName>
    <definedName name="DboREGISTRO_LEY_617" localSheetId="1">#REF!</definedName>
    <definedName name="DboREGISTRO_LEY_617">#REF!</definedName>
  </definedNames>
  <calcPr calcId="152511"/>
  <fileRecoveryPr autoRecover="0"/>
</workbook>
</file>

<file path=xl/calcChain.xml><?xml version="1.0" encoding="utf-8"?>
<calcChain xmlns="http://schemas.openxmlformats.org/spreadsheetml/2006/main">
  <c r="BG386" i="7" l="1"/>
  <c r="CA372" i="7" l="1"/>
  <c r="BZ372" i="7"/>
  <c r="BY372" i="7"/>
  <c r="BL372" i="7"/>
  <c r="BK372" i="7"/>
  <c r="BJ372" i="7"/>
  <c r="BO386" i="7" l="1"/>
  <c r="BN386" i="7"/>
  <c r="BM386" i="7"/>
  <c r="BH386" i="7" l="1"/>
  <c r="CU386" i="7" s="1"/>
  <c r="BI386" i="7"/>
  <c r="K98" i="7" l="1"/>
  <c r="CU29" i="7"/>
  <c r="CU30" i="7" s="1"/>
  <c r="CU33" i="7"/>
  <c r="CU34" i="7" s="1"/>
  <c r="CU39" i="7"/>
  <c r="CU40" i="7" s="1"/>
  <c r="CU41" i="7" s="1"/>
  <c r="CU45" i="7"/>
  <c r="CU46" i="7"/>
  <c r="CU47" i="7"/>
  <c r="CU48" i="7"/>
  <c r="CU49" i="7"/>
  <c r="CU50" i="7"/>
  <c r="CU51" i="7"/>
  <c r="CU52" i="7"/>
  <c r="CU53" i="7"/>
  <c r="CU54" i="7"/>
  <c r="CU55" i="7"/>
  <c r="CU56" i="7"/>
  <c r="CU57" i="7"/>
  <c r="CU58" i="7"/>
  <c r="CU59" i="7"/>
  <c r="CU60" i="7"/>
  <c r="CU61" i="7"/>
  <c r="CU62" i="7"/>
  <c r="CT29" i="7"/>
  <c r="CT33" i="7"/>
  <c r="CT45" i="7"/>
  <c r="CT46" i="7"/>
  <c r="CT47" i="7"/>
  <c r="CT48" i="7"/>
  <c r="CT49" i="7"/>
  <c r="CT50" i="7"/>
  <c r="CT54" i="7"/>
  <c r="CT55" i="7"/>
  <c r="CT57" i="7"/>
  <c r="CT60" i="7"/>
  <c r="CT61" i="7"/>
  <c r="CU72" i="7"/>
  <c r="CU73" i="7"/>
  <c r="CU74" i="7"/>
  <c r="CU75" i="7"/>
  <c r="CU76" i="7"/>
  <c r="CU119" i="7"/>
  <c r="CU120" i="7" s="1"/>
  <c r="CU121" i="7" s="1"/>
  <c r="CU108" i="7"/>
  <c r="CU109" i="7"/>
  <c r="CU110" i="7"/>
  <c r="CU111" i="7"/>
  <c r="CU112" i="7"/>
  <c r="CU113" i="7"/>
  <c r="CU92" i="7"/>
  <c r="CU93" i="7"/>
  <c r="CU94" i="7"/>
  <c r="CU95" i="7"/>
  <c r="CU96" i="7"/>
  <c r="CU97" i="7"/>
  <c r="CU98" i="7"/>
  <c r="CU99" i="7"/>
  <c r="CU100" i="7"/>
  <c r="CU86" i="7"/>
  <c r="CU87" i="7"/>
  <c r="CU88" i="7"/>
  <c r="CU89" i="7" s="1"/>
  <c r="CT119" i="7"/>
  <c r="CT109" i="7"/>
  <c r="CT110" i="7"/>
  <c r="CT111" i="7"/>
  <c r="CT112" i="7"/>
  <c r="CT113" i="7"/>
  <c r="CT92" i="7"/>
  <c r="CT93" i="7"/>
  <c r="CT94" i="7"/>
  <c r="CT95" i="7"/>
  <c r="CT96" i="7"/>
  <c r="CT97" i="7"/>
  <c r="CT99" i="7"/>
  <c r="CT100" i="7"/>
  <c r="CT86" i="7"/>
  <c r="CT87" i="7"/>
  <c r="CT88" i="7"/>
  <c r="CU196" i="7"/>
  <c r="CU197" i="7" s="1"/>
  <c r="CU190" i="7"/>
  <c r="CU191" i="7"/>
  <c r="CU192" i="7"/>
  <c r="CU184" i="7"/>
  <c r="CU185" i="7" s="1"/>
  <c r="CU186" i="7" s="1"/>
  <c r="CU175" i="7"/>
  <c r="CU176" i="7"/>
  <c r="CU167" i="7"/>
  <c r="CU168" i="7"/>
  <c r="CU169" i="7"/>
  <c r="CU170" i="7"/>
  <c r="CU171" i="7"/>
  <c r="CU160" i="7"/>
  <c r="CU161" i="7"/>
  <c r="CU154" i="7"/>
  <c r="CU155" i="7"/>
  <c r="CU156" i="7"/>
  <c r="CU146" i="7"/>
  <c r="CU147" i="7"/>
  <c r="CU148" i="7"/>
  <c r="CU149" i="7"/>
  <c r="CU150" i="7"/>
  <c r="CU129" i="7"/>
  <c r="CU130" i="7"/>
  <c r="CU131" i="7"/>
  <c r="CU132" i="7"/>
  <c r="CU133" i="7"/>
  <c r="CU137" i="7"/>
  <c r="CU138" i="7"/>
  <c r="CU139" i="7"/>
  <c r="CU140" i="7"/>
  <c r="CT192" i="7"/>
  <c r="CT184" i="7"/>
  <c r="CT175" i="7"/>
  <c r="CT176" i="7"/>
  <c r="CT167" i="7"/>
  <c r="CT168" i="7"/>
  <c r="CT169" i="7"/>
  <c r="CT170" i="7"/>
  <c r="CT160" i="7"/>
  <c r="CT161" i="7"/>
  <c r="CT154" i="7"/>
  <c r="CT155" i="7"/>
  <c r="CT156" i="7"/>
  <c r="CT148" i="7"/>
  <c r="CT149" i="7"/>
  <c r="CU227" i="7"/>
  <c r="CU228" i="7"/>
  <c r="CU223" i="7"/>
  <c r="CU224" i="7" s="1"/>
  <c r="CU217" i="7"/>
  <c r="CU218" i="7" s="1"/>
  <c r="CU213" i="7"/>
  <c r="CU214" i="7" s="1"/>
  <c r="CU206" i="7"/>
  <c r="CU207" i="7"/>
  <c r="CU208" i="7"/>
  <c r="CU209" i="7"/>
  <c r="CU266" i="7"/>
  <c r="CU267" i="7" s="1"/>
  <c r="CU261" i="7"/>
  <c r="CU262" i="7"/>
  <c r="CU253" i="7"/>
  <c r="CU246" i="7"/>
  <c r="CU247" i="7"/>
  <c r="CU248" i="7"/>
  <c r="CU249" i="7"/>
  <c r="CU238" i="7"/>
  <c r="CU239" i="7"/>
  <c r="CU240" i="7"/>
  <c r="CU242" i="7"/>
  <c r="CU340" i="7"/>
  <c r="CU342" i="7"/>
  <c r="CU343" i="7"/>
  <c r="CU330" i="7"/>
  <c r="CU331" i="7"/>
  <c r="CU332" i="7"/>
  <c r="CU323" i="7"/>
  <c r="CU324" i="7"/>
  <c r="CU325" i="7"/>
  <c r="CU326" i="7"/>
  <c r="CU314" i="7"/>
  <c r="CU315" i="7"/>
  <c r="CU316" i="7"/>
  <c r="CU317" i="7"/>
  <c r="CU318" i="7"/>
  <c r="CU319" i="7"/>
  <c r="CU307" i="7"/>
  <c r="CU308" i="7"/>
  <c r="CU309" i="7"/>
  <c r="CU310" i="7"/>
  <c r="CU294" i="7"/>
  <c r="CU295" i="7"/>
  <c r="CU296" i="7"/>
  <c r="CU297" i="7"/>
  <c r="CU298" i="7"/>
  <c r="CU299" i="7"/>
  <c r="CU289" i="7"/>
  <c r="CU290" i="7"/>
  <c r="CU280" i="7"/>
  <c r="CU281" i="7"/>
  <c r="CU282" i="7"/>
  <c r="CU283" i="7"/>
  <c r="CU284" i="7"/>
  <c r="CU285" i="7"/>
  <c r="CT315" i="7"/>
  <c r="CT316" i="7"/>
  <c r="CT317" i="7"/>
  <c r="CT318" i="7"/>
  <c r="CT308" i="7"/>
  <c r="CT310" i="7"/>
  <c r="CT294" i="7"/>
  <c r="CT296" i="7"/>
  <c r="CT298" i="7"/>
  <c r="CT299" i="7"/>
  <c r="CT280" i="7"/>
  <c r="CT281" i="7"/>
  <c r="CT282" i="7"/>
  <c r="CT283" i="7"/>
  <c r="CU361" i="7"/>
  <c r="CU362" i="7" s="1"/>
  <c r="CU363" i="7" s="1"/>
  <c r="CU354" i="7"/>
  <c r="CU355" i="7"/>
  <c r="CU467" i="7"/>
  <c r="CU468" i="7" s="1"/>
  <c r="CU469" i="7" s="1"/>
  <c r="CU460" i="7"/>
  <c r="CU462" i="7" s="1"/>
  <c r="CU461" i="7"/>
  <c r="CU456" i="7"/>
  <c r="CU457" i="7" s="1"/>
  <c r="CU452" i="7"/>
  <c r="CU453" i="7" s="1"/>
  <c r="CU447" i="7"/>
  <c r="CU448" i="7"/>
  <c r="CU437" i="7"/>
  <c r="CU438" i="7"/>
  <c r="CU439" i="7"/>
  <c r="CU440" i="7"/>
  <c r="CU441" i="7"/>
  <c r="CU429" i="7"/>
  <c r="CU430" i="7"/>
  <c r="CU431" i="7"/>
  <c r="CU432" i="7"/>
  <c r="CU433" i="7"/>
  <c r="CU423" i="7"/>
  <c r="CU424" i="7" s="1"/>
  <c r="CU416" i="7"/>
  <c r="CU417" i="7"/>
  <c r="CU418" i="7"/>
  <c r="CU419" i="7"/>
  <c r="CU403" i="7"/>
  <c r="CU404" i="7"/>
  <c r="CU405" i="7"/>
  <c r="CU406" i="7"/>
  <c r="CU407" i="7"/>
  <c r="CU408" i="7"/>
  <c r="CU409" i="7"/>
  <c r="CU410" i="7"/>
  <c r="CU411" i="7"/>
  <c r="CU412" i="7"/>
  <c r="CU392" i="7"/>
  <c r="CU393" i="7"/>
  <c r="CU394" i="7"/>
  <c r="CU395" i="7"/>
  <c r="CU396" i="7"/>
  <c r="CU397" i="7"/>
  <c r="CU398" i="7"/>
  <c r="CU399" i="7"/>
  <c r="CU377" i="7"/>
  <c r="CU378" i="7"/>
  <c r="CU379" i="7"/>
  <c r="CU380" i="7"/>
  <c r="CU381" i="7"/>
  <c r="CU382" i="7"/>
  <c r="CU371" i="7"/>
  <c r="CU372" i="7"/>
  <c r="CU373" i="7"/>
  <c r="CT467" i="7"/>
  <c r="CT460" i="7"/>
  <c r="CT456" i="7"/>
  <c r="CT452" i="7"/>
  <c r="CT447" i="7"/>
  <c r="CT448" i="7"/>
  <c r="CT437" i="7"/>
  <c r="CT438" i="7"/>
  <c r="CT439" i="7"/>
  <c r="CT440" i="7"/>
  <c r="CT441" i="7"/>
  <c r="CT431" i="7"/>
  <c r="CT433" i="7"/>
  <c r="CT423" i="7"/>
  <c r="CT416" i="7"/>
  <c r="CT417" i="7"/>
  <c r="CT419" i="7"/>
  <c r="CT403" i="7"/>
  <c r="CT404" i="7"/>
  <c r="CT405" i="7"/>
  <c r="CT407" i="7"/>
  <c r="CT409" i="7"/>
  <c r="CT410" i="7"/>
  <c r="CT411" i="7"/>
  <c r="CT412" i="7"/>
  <c r="CT392" i="7"/>
  <c r="CT393" i="7"/>
  <c r="CT394" i="7"/>
  <c r="CT395" i="7"/>
  <c r="CT396" i="7"/>
  <c r="CT397" i="7"/>
  <c r="CT398" i="7"/>
  <c r="CT399" i="7"/>
  <c r="CT386" i="7"/>
  <c r="CT377" i="7"/>
  <c r="CT378" i="7"/>
  <c r="CT379" i="7"/>
  <c r="CT380" i="7"/>
  <c r="CT381" i="7"/>
  <c r="CT382" i="7"/>
  <c r="CT371" i="7"/>
  <c r="CT372" i="7"/>
  <c r="CT373" i="7"/>
  <c r="CU530" i="7"/>
  <c r="CU531" i="7"/>
  <c r="CU532" i="7"/>
  <c r="CU533" i="7"/>
  <c r="CU524" i="7"/>
  <c r="CU525" i="7" s="1"/>
  <c r="CU520" i="7"/>
  <c r="CU521" i="7" s="1"/>
  <c r="CU516" i="7"/>
  <c r="CU517" i="7" s="1"/>
  <c r="CU512" i="7"/>
  <c r="CU506" i="7"/>
  <c r="CU507" i="7"/>
  <c r="CU500" i="7"/>
  <c r="CU501" i="7" s="1"/>
  <c r="CU494" i="7"/>
  <c r="CU495" i="7"/>
  <c r="CU496" i="7"/>
  <c r="CU488" i="7"/>
  <c r="CU489" i="7"/>
  <c r="CU490" i="7"/>
  <c r="CU484" i="7"/>
  <c r="CU485" i="7" s="1"/>
  <c r="CU477" i="7"/>
  <c r="CU478" i="7"/>
  <c r="CT531" i="7"/>
  <c r="CT500" i="7"/>
  <c r="CT495" i="7"/>
  <c r="CT489" i="7"/>
  <c r="CT490" i="7"/>
  <c r="CT478" i="7"/>
  <c r="CU543" i="7"/>
  <c r="CU544" i="7" s="1"/>
  <c r="CU545" i="7" s="1"/>
  <c r="CU546" i="7" s="1"/>
  <c r="CU547" i="7" s="1"/>
  <c r="G14" i="10" s="1"/>
  <c r="CT543" i="7"/>
  <c r="CU671" i="7"/>
  <c r="CU672" i="7"/>
  <c r="CU673" i="7"/>
  <c r="CU664" i="7"/>
  <c r="CU665" i="7"/>
  <c r="CU659" i="7"/>
  <c r="CU660" i="7"/>
  <c r="CU653" i="7"/>
  <c r="CU654" i="7"/>
  <c r="CU655" i="7"/>
  <c r="CU649" i="7"/>
  <c r="CU650" i="7" s="1"/>
  <c r="CU643" i="7"/>
  <c r="CU645" i="7"/>
  <c r="CU637" i="7"/>
  <c r="CU638" i="7" s="1"/>
  <c r="CU633" i="7"/>
  <c r="CU634" i="7" s="1"/>
  <c r="CU629" i="7"/>
  <c r="CU630" i="7" s="1"/>
  <c r="CU621" i="7"/>
  <c r="CU622" i="7"/>
  <c r="CU623" i="7"/>
  <c r="CU616" i="7"/>
  <c r="CU617" i="7"/>
  <c r="CU609" i="7"/>
  <c r="CU610" i="7"/>
  <c r="CU611" i="7"/>
  <c r="CU612" i="7"/>
  <c r="CU603" i="7"/>
  <c r="CU604" i="7"/>
  <c r="CU605" i="7"/>
  <c r="CU598" i="7"/>
  <c r="CU599" i="7"/>
  <c r="CU593" i="7"/>
  <c r="CU594" i="7"/>
  <c r="CU585" i="7"/>
  <c r="CU586" i="7"/>
  <c r="CU587" i="7"/>
  <c r="CU588" i="7"/>
  <c r="CU589" i="7"/>
  <c r="CU579" i="7"/>
  <c r="CU580" i="7"/>
  <c r="CU581" i="7"/>
  <c r="CU573" i="7"/>
  <c r="CU574" i="7"/>
  <c r="CU575" i="7"/>
  <c r="CU566" i="7"/>
  <c r="CU567" i="7"/>
  <c r="CU568" i="7"/>
  <c r="CU569" i="7"/>
  <c r="CU561" i="7"/>
  <c r="CU562" i="7"/>
  <c r="CU553" i="7"/>
  <c r="CU554" i="7"/>
  <c r="CU555" i="7"/>
  <c r="CT671" i="7"/>
  <c r="CT672" i="7"/>
  <c r="CT673" i="7"/>
  <c r="CT664" i="7"/>
  <c r="CT665" i="7"/>
  <c r="CT659" i="7"/>
  <c r="CT660" i="7"/>
  <c r="CT653" i="7"/>
  <c r="CT654" i="7"/>
  <c r="CT649" i="7"/>
  <c r="CT643" i="7"/>
  <c r="CT645" i="7"/>
  <c r="CT637" i="7"/>
  <c r="CT633" i="7"/>
  <c r="CT629" i="7"/>
  <c r="CT622" i="7"/>
  <c r="CT623" i="7"/>
  <c r="CT617" i="7"/>
  <c r="CT609" i="7"/>
  <c r="CT610" i="7"/>
  <c r="CT611" i="7"/>
  <c r="CT612" i="7"/>
  <c r="CT604" i="7"/>
  <c r="CT605" i="7"/>
  <c r="CT598" i="7"/>
  <c r="CT599" i="7"/>
  <c r="CT593" i="7"/>
  <c r="CT594" i="7"/>
  <c r="CT585" i="7"/>
  <c r="CT586" i="7"/>
  <c r="CT588" i="7"/>
  <c r="CT589" i="7"/>
  <c r="CT579" i="7"/>
  <c r="CT580" i="7"/>
  <c r="CT581" i="7"/>
  <c r="CT573" i="7"/>
  <c r="CT574" i="7"/>
  <c r="CT575" i="7"/>
  <c r="CT566" i="7"/>
  <c r="CT567" i="7"/>
  <c r="CT568" i="7"/>
  <c r="CT569" i="7"/>
  <c r="CT561" i="7"/>
  <c r="CT562" i="7"/>
  <c r="CT553" i="7"/>
  <c r="CT554" i="7"/>
  <c r="CT555" i="7"/>
  <c r="CU11" i="7"/>
  <c r="CU12" i="7"/>
  <c r="CU13" i="7"/>
  <c r="CU14" i="7"/>
  <c r="CU15" i="7"/>
  <c r="CU16" i="7"/>
  <c r="CU17" i="7"/>
  <c r="CU18" i="7"/>
  <c r="CU19" i="7"/>
  <c r="CT12" i="7"/>
  <c r="CU718" i="7"/>
  <c r="CU719" i="7" s="1"/>
  <c r="CU720" i="7" s="1"/>
  <c r="CU712" i="7"/>
  <c r="CU713" i="7" s="1"/>
  <c r="CU706" i="7"/>
  <c r="CU707" i="7"/>
  <c r="CU708" i="7"/>
  <c r="CU698" i="7"/>
  <c r="CU699" i="7"/>
  <c r="CU700" i="7"/>
  <c r="CU694" i="7"/>
  <c r="CU695" i="7" s="1"/>
  <c r="CU690" i="7"/>
  <c r="CU691" i="7" s="1"/>
  <c r="CU685" i="7"/>
  <c r="CU686" i="7"/>
  <c r="CT712" i="7"/>
  <c r="CT707" i="7"/>
  <c r="CT690" i="7"/>
  <c r="CU732" i="7"/>
  <c r="CU733" i="7"/>
  <c r="CU734" i="7"/>
  <c r="CU735" i="7"/>
  <c r="CU728" i="7"/>
  <c r="CU729" i="7" s="1"/>
  <c r="CU745" i="7"/>
  <c r="CU746" i="7"/>
  <c r="CU747" i="7"/>
  <c r="CT745" i="7"/>
  <c r="CT746" i="7"/>
  <c r="CT747" i="7"/>
  <c r="AL616" i="7"/>
  <c r="CF134" i="7"/>
  <c r="CF141" i="7"/>
  <c r="CG134" i="7"/>
  <c r="CG141" i="7"/>
  <c r="CE129" i="7"/>
  <c r="CT129" i="7" s="1"/>
  <c r="CE131" i="7"/>
  <c r="CE138" i="7"/>
  <c r="CE140" i="7"/>
  <c r="AA134" i="7"/>
  <c r="AA141" i="7"/>
  <c r="AB134" i="7"/>
  <c r="AB141" i="7"/>
  <c r="Z130" i="7"/>
  <c r="CT130" i="7" s="1"/>
  <c r="Z131" i="7"/>
  <c r="Z132" i="7"/>
  <c r="CT132" i="7" s="1"/>
  <c r="Z133" i="7"/>
  <c r="CT133" i="7" s="1"/>
  <c r="Z137" i="7"/>
  <c r="CT137" i="7" s="1"/>
  <c r="Z138" i="7"/>
  <c r="CT138" i="7" s="1"/>
  <c r="Z139" i="7"/>
  <c r="CT139" i="7" s="1"/>
  <c r="CT11" i="7"/>
  <c r="CT14" i="7"/>
  <c r="CE15" i="7"/>
  <c r="CT15" i="7" s="1"/>
  <c r="CE16" i="7"/>
  <c r="CT16" i="7" s="1"/>
  <c r="CE17" i="7"/>
  <c r="CT17" i="7" s="1"/>
  <c r="CT18" i="7"/>
  <c r="CE19" i="7"/>
  <c r="CT19" i="7" s="1"/>
  <c r="CE39" i="7"/>
  <c r="CT39" i="7" s="1"/>
  <c r="CE51" i="7"/>
  <c r="CE52" i="7"/>
  <c r="CT52" i="7" s="1"/>
  <c r="CE53" i="7"/>
  <c r="CT53" i="7" s="1"/>
  <c r="CE56" i="7"/>
  <c r="CT56" i="7" s="1"/>
  <c r="CE58" i="7"/>
  <c r="CT58" i="7" s="1"/>
  <c r="CE59" i="7"/>
  <c r="CT59" i="7" s="1"/>
  <c r="CE62" i="7"/>
  <c r="CT62" i="7" s="1"/>
  <c r="CE72" i="7"/>
  <c r="CT72" i="7" s="1"/>
  <c r="AC73" i="7"/>
  <c r="CE73" i="7"/>
  <c r="AC74" i="7"/>
  <c r="AC77" i="7" s="1"/>
  <c r="AC78" i="7" s="1"/>
  <c r="AC79" i="7" s="1"/>
  <c r="AC80" i="7" s="1"/>
  <c r="CN74" i="7"/>
  <c r="CE75" i="7"/>
  <c r="CE76" i="7"/>
  <c r="CT76" i="7" s="1"/>
  <c r="CB108" i="7"/>
  <c r="CT108" i="7" s="1"/>
  <c r="CE98" i="7"/>
  <c r="CT98" i="7" s="1"/>
  <c r="CE196" i="7"/>
  <c r="CE190" i="7"/>
  <c r="CT190" i="7" s="1"/>
  <c r="CE191" i="7"/>
  <c r="CE171" i="7"/>
  <c r="CT171" i="7" s="1"/>
  <c r="CE146" i="7"/>
  <c r="CE147" i="7"/>
  <c r="CT147" i="7" s="1"/>
  <c r="CE150" i="7"/>
  <c r="CT150" i="7" s="1"/>
  <c r="CE227" i="7"/>
  <c r="CT227" i="7" s="1"/>
  <c r="CE228" i="7"/>
  <c r="CK223" i="7"/>
  <c r="CT223" i="7" s="1"/>
  <c r="Q217" i="7"/>
  <c r="CT217" i="7" s="1"/>
  <c r="CE213" i="7"/>
  <c r="CT213" i="7" s="1"/>
  <c r="Q206" i="7"/>
  <c r="CT206" i="7" s="1"/>
  <c r="CE207" i="7"/>
  <c r="CT207" i="7" s="1"/>
  <c r="Q208" i="7"/>
  <c r="Q210" i="7" s="1"/>
  <c r="CE208" i="7"/>
  <c r="Q209" i="7"/>
  <c r="CE209" i="7"/>
  <c r="CE270" i="7"/>
  <c r="CK270" i="7"/>
  <c r="CE266" i="7"/>
  <c r="CE261" i="7"/>
  <c r="CT261" i="7" s="1"/>
  <c r="CE262" i="7"/>
  <c r="CE253" i="7"/>
  <c r="CT253" i="7" s="1"/>
  <c r="CE254" i="7"/>
  <c r="CE255" i="7"/>
  <c r="CT255" i="7" s="1"/>
  <c r="CE246" i="7"/>
  <c r="CT246" i="7" s="1"/>
  <c r="CE247" i="7"/>
  <c r="CT247" i="7" s="1"/>
  <c r="CE248" i="7"/>
  <c r="CE249" i="7"/>
  <c r="CT249" i="7" s="1"/>
  <c r="CE238" i="7"/>
  <c r="CT238" i="7" s="1"/>
  <c r="CE239" i="7"/>
  <c r="CT239" i="7" s="1"/>
  <c r="CE240" i="7"/>
  <c r="CT240" i="7" s="1"/>
  <c r="CE241" i="7"/>
  <c r="CT241" i="7" s="1"/>
  <c r="CE242" i="7"/>
  <c r="CT242" i="7" s="1"/>
  <c r="CE340" i="7"/>
  <c r="CT340" i="7" s="1"/>
  <c r="CE341" i="7"/>
  <c r="CE342" i="7"/>
  <c r="CT342" i="7" s="1"/>
  <c r="CE343" i="7"/>
  <c r="CT343" i="7" s="1"/>
  <c r="CE344" i="7"/>
  <c r="CT344" i="7" s="1"/>
  <c r="CE330" i="7"/>
  <c r="CE331" i="7"/>
  <c r="CT331" i="7" s="1"/>
  <c r="CE332" i="7"/>
  <c r="CT332" i="7" s="1"/>
  <c r="CE323" i="7"/>
  <c r="CT323" i="7" s="1"/>
  <c r="CE324" i="7"/>
  <c r="CE325" i="7"/>
  <c r="CT325" i="7" s="1"/>
  <c r="CE326" i="7"/>
  <c r="CT326" i="7" s="1"/>
  <c r="CE314" i="7"/>
  <c r="CT314" i="7" s="1"/>
  <c r="CE319" i="7"/>
  <c r="CE307" i="7"/>
  <c r="CT307" i="7" s="1"/>
  <c r="CE309" i="7"/>
  <c r="CE295" i="7"/>
  <c r="CT295" i="7" s="1"/>
  <c r="CE297" i="7"/>
  <c r="CE289" i="7"/>
  <c r="CT289" i="7" s="1"/>
  <c r="CE290" i="7"/>
  <c r="CE284" i="7"/>
  <c r="CT284" i="7" s="1"/>
  <c r="CE285" i="7"/>
  <c r="CE361" i="7"/>
  <c r="CT361" i="7" s="1"/>
  <c r="CE354" i="7"/>
  <c r="CE355" i="7"/>
  <c r="CT355" i="7" s="1"/>
  <c r="AI461" i="7"/>
  <c r="CT461" i="7" s="1"/>
  <c r="AI429" i="7"/>
  <c r="CT429" i="7" s="1"/>
  <c r="AI430" i="7"/>
  <c r="CT430" i="7" s="1"/>
  <c r="AI432" i="7"/>
  <c r="CT432" i="7" s="1"/>
  <c r="CE418" i="7"/>
  <c r="CE406" i="7"/>
  <c r="CT406" i="7" s="1"/>
  <c r="AI408" i="7"/>
  <c r="CE530" i="7"/>
  <c r="CT530" i="7" s="1"/>
  <c r="T532" i="7"/>
  <c r="CT532" i="7" s="1"/>
  <c r="T533" i="7"/>
  <c r="CT533" i="7" s="1"/>
  <c r="CE524" i="7"/>
  <c r="CT524" i="7" s="1"/>
  <c r="CE520" i="7"/>
  <c r="CT520" i="7" s="1"/>
  <c r="CE516" i="7"/>
  <c r="CE511" i="7"/>
  <c r="CT511" i="7" s="1"/>
  <c r="CE512" i="7"/>
  <c r="CE506" i="7"/>
  <c r="CT506" i="7" s="1"/>
  <c r="CE507" i="7"/>
  <c r="CE494" i="7"/>
  <c r="CT494" i="7" s="1"/>
  <c r="CE496" i="7"/>
  <c r="CT496" i="7" s="1"/>
  <c r="CE488" i="7"/>
  <c r="CT488" i="7" s="1"/>
  <c r="CE484" i="7"/>
  <c r="CE477" i="7"/>
  <c r="CT477" i="7" s="1"/>
  <c r="CE655" i="7"/>
  <c r="AO644" i="7"/>
  <c r="AR644" i="7"/>
  <c r="AL621" i="7"/>
  <c r="CT621" i="7" s="1"/>
  <c r="BA603" i="7"/>
  <c r="CT603" i="7" s="1"/>
  <c r="AL587" i="7"/>
  <c r="AU587" i="7"/>
  <c r="CK718" i="7"/>
  <c r="CT718" i="7" s="1"/>
  <c r="CE706" i="7"/>
  <c r="CE708" i="7"/>
  <c r="CT708" i="7" s="1"/>
  <c r="CH698" i="7"/>
  <c r="CE699" i="7"/>
  <c r="CE701" i="7" s="1"/>
  <c r="CH699" i="7"/>
  <c r="CE700" i="7"/>
  <c r="CT700" i="7" s="1"/>
  <c r="CE694" i="7"/>
  <c r="CH694" i="7"/>
  <c r="CH695" i="7" s="1"/>
  <c r="AX685" i="7"/>
  <c r="AX687" i="7" s="1"/>
  <c r="CE685" i="7"/>
  <c r="CE686" i="7"/>
  <c r="W732" i="7"/>
  <c r="CK732" i="7"/>
  <c r="CK733" i="7"/>
  <c r="CT733" i="7" s="1"/>
  <c r="W734" i="7"/>
  <c r="CT734" i="7" s="1"/>
  <c r="W735" i="7"/>
  <c r="CK735" i="7"/>
  <c r="CK728" i="7"/>
  <c r="CT728" i="7" s="1"/>
  <c r="CF270" i="7"/>
  <c r="CL270" i="7"/>
  <c r="CF254" i="7"/>
  <c r="CU254" i="7" s="1"/>
  <c r="CF255" i="7"/>
  <c r="CU255" i="7" s="1"/>
  <c r="CF241" i="7"/>
  <c r="CU241" i="7" s="1"/>
  <c r="CF341" i="7"/>
  <c r="CU341" i="7" s="1"/>
  <c r="CF344" i="7"/>
  <c r="CF511" i="7"/>
  <c r="CU511" i="7" s="1"/>
  <c r="AS644" i="7"/>
  <c r="CU644" i="7" s="1"/>
  <c r="E78" i="10"/>
  <c r="E79" i="10"/>
  <c r="E94" i="10" s="1"/>
  <c r="E80" i="10"/>
  <c r="E81" i="10"/>
  <c r="E82" i="10"/>
  <c r="E83" i="10"/>
  <c r="E84" i="10"/>
  <c r="E85" i="10"/>
  <c r="E86" i="10"/>
  <c r="E87" i="10"/>
  <c r="E88" i="10"/>
  <c r="E89" i="10"/>
  <c r="E90" i="10"/>
  <c r="E91" i="10"/>
  <c r="E92" i="10"/>
  <c r="E93" i="10"/>
  <c r="B59" i="10"/>
  <c r="C54" i="10" s="1"/>
  <c r="K21" i="10"/>
  <c r="K16" i="10"/>
  <c r="K23" i="10"/>
  <c r="K49" i="10" s="1"/>
  <c r="CV718" i="7"/>
  <c r="CV719" i="7" s="1"/>
  <c r="CV720" i="7" s="1"/>
  <c r="CV712" i="7"/>
  <c r="CV713" i="7" s="1"/>
  <c r="CV706" i="7"/>
  <c r="CV707" i="7"/>
  <c r="CV708" i="7"/>
  <c r="CV698" i="7"/>
  <c r="CV699" i="7"/>
  <c r="CV700" i="7"/>
  <c r="CV694" i="7"/>
  <c r="CV695" i="7" s="1"/>
  <c r="CV690" i="7"/>
  <c r="CV691" i="7" s="1"/>
  <c r="CV685" i="7"/>
  <c r="CV686" i="7"/>
  <c r="CV732" i="7"/>
  <c r="CV733" i="7"/>
  <c r="CV734" i="7"/>
  <c r="CV735" i="7"/>
  <c r="CV728" i="7"/>
  <c r="CV729" i="7" s="1"/>
  <c r="CV745" i="7"/>
  <c r="CV746" i="7"/>
  <c r="CV747" i="7"/>
  <c r="CV11" i="7"/>
  <c r="CV12" i="7"/>
  <c r="CV13" i="7"/>
  <c r="CV14" i="7"/>
  <c r="CV15" i="7"/>
  <c r="CV16" i="7"/>
  <c r="CV17" i="7"/>
  <c r="CV18" i="7"/>
  <c r="CV19" i="7"/>
  <c r="CV29" i="7"/>
  <c r="CV30" i="7" s="1"/>
  <c r="CV33" i="7"/>
  <c r="CV34" i="7" s="1"/>
  <c r="CV39" i="7"/>
  <c r="CV40" i="7" s="1"/>
  <c r="CV41" i="7" s="1"/>
  <c r="CV45" i="7"/>
  <c r="CV46" i="7"/>
  <c r="CV47" i="7"/>
  <c r="CV48" i="7"/>
  <c r="CV49" i="7"/>
  <c r="CV50" i="7"/>
  <c r="CV51" i="7"/>
  <c r="CV52" i="7"/>
  <c r="CV53" i="7"/>
  <c r="CV54" i="7"/>
  <c r="CV55" i="7"/>
  <c r="CV56" i="7"/>
  <c r="CV57" i="7"/>
  <c r="CV58" i="7"/>
  <c r="CV59" i="7"/>
  <c r="CV60" i="7"/>
  <c r="CV61" i="7"/>
  <c r="CV62" i="7"/>
  <c r="CV72" i="7"/>
  <c r="CV73" i="7"/>
  <c r="CV74" i="7"/>
  <c r="CV75" i="7"/>
  <c r="CV76" i="7"/>
  <c r="CV119" i="7"/>
  <c r="CV120" i="7" s="1"/>
  <c r="CV121" i="7" s="1"/>
  <c r="CV108" i="7"/>
  <c r="CV109" i="7"/>
  <c r="CV110" i="7"/>
  <c r="CV111" i="7"/>
  <c r="CV112" i="7"/>
  <c r="CV113" i="7"/>
  <c r="CV92" i="7"/>
  <c r="CV93" i="7"/>
  <c r="CV94" i="7"/>
  <c r="CV95" i="7"/>
  <c r="CV96" i="7"/>
  <c r="CV97" i="7"/>
  <c r="CV98" i="7"/>
  <c r="CV99" i="7"/>
  <c r="CV100" i="7"/>
  <c r="CV86" i="7"/>
  <c r="CV87" i="7"/>
  <c r="CV88" i="7"/>
  <c r="CV196" i="7"/>
  <c r="CV197" i="7" s="1"/>
  <c r="CV190" i="7"/>
  <c r="CV191" i="7"/>
  <c r="CV192" i="7"/>
  <c r="CV184" i="7"/>
  <c r="CV185" i="7" s="1"/>
  <c r="CV186" i="7" s="1"/>
  <c r="CV175" i="7"/>
  <c r="CV176" i="7"/>
  <c r="CV167" i="7"/>
  <c r="CV168" i="7"/>
  <c r="CV169" i="7"/>
  <c r="CV170" i="7"/>
  <c r="CV171" i="7"/>
  <c r="CV160" i="7"/>
  <c r="CV161" i="7"/>
  <c r="CV154" i="7"/>
  <c r="CV155" i="7"/>
  <c r="CV156" i="7"/>
  <c r="CV146" i="7"/>
  <c r="CV147" i="7"/>
  <c r="CV148" i="7"/>
  <c r="CV149" i="7"/>
  <c r="CG150" i="7"/>
  <c r="CV150" i="7" s="1"/>
  <c r="CV129" i="7"/>
  <c r="CV130" i="7"/>
  <c r="CV131" i="7"/>
  <c r="CV132" i="7"/>
  <c r="CV133" i="7"/>
  <c r="CV137" i="7"/>
  <c r="CV138" i="7"/>
  <c r="CV139" i="7"/>
  <c r="CV140" i="7"/>
  <c r="CV227" i="7"/>
  <c r="CV228" i="7"/>
  <c r="CV223" i="7"/>
  <c r="CV224" i="7" s="1"/>
  <c r="CV217" i="7"/>
  <c r="CV218" i="7" s="1"/>
  <c r="CV213" i="7"/>
  <c r="CV214" i="7" s="1"/>
  <c r="CV206" i="7"/>
  <c r="CV207" i="7"/>
  <c r="CV208" i="7"/>
  <c r="CV209" i="7"/>
  <c r="CM270" i="7"/>
  <c r="CV266" i="7"/>
  <c r="CV267" i="7" s="1"/>
  <c r="CV261" i="7"/>
  <c r="CV262" i="7"/>
  <c r="CV253" i="7"/>
  <c r="CG254" i="7"/>
  <c r="CV254" i="7" s="1"/>
  <c r="CG255" i="7"/>
  <c r="CV255" i="7" s="1"/>
  <c r="CV246" i="7"/>
  <c r="CV247" i="7"/>
  <c r="CV248" i="7"/>
  <c r="CV249" i="7"/>
  <c r="CV238" i="7"/>
  <c r="CV239" i="7"/>
  <c r="CV240" i="7"/>
  <c r="CG241" i="7"/>
  <c r="CV241" i="7"/>
  <c r="CV242" i="7"/>
  <c r="CV340" i="7"/>
  <c r="CG341" i="7"/>
  <c r="CV341" i="7" s="1"/>
  <c r="CV342" i="7"/>
  <c r="CV343" i="7"/>
  <c r="CG344" i="7"/>
  <c r="CV344" i="7" s="1"/>
  <c r="CV330" i="7"/>
  <c r="CV331" i="7"/>
  <c r="CV332" i="7"/>
  <c r="CV323" i="7"/>
  <c r="CV324" i="7"/>
  <c r="CV325" i="7"/>
  <c r="CV326" i="7"/>
  <c r="CV314" i="7"/>
  <c r="CV315" i="7"/>
  <c r="CV316" i="7"/>
  <c r="CV317" i="7"/>
  <c r="CV318" i="7"/>
  <c r="CV319" i="7"/>
  <c r="CV307" i="7"/>
  <c r="CV308" i="7"/>
  <c r="CV309" i="7"/>
  <c r="CV310" i="7"/>
  <c r="CV294" i="7"/>
  <c r="CV295" i="7"/>
  <c r="CV296" i="7"/>
  <c r="CV297" i="7"/>
  <c r="CV298" i="7"/>
  <c r="CV299" i="7"/>
  <c r="CV289" i="7"/>
  <c r="CV290" i="7"/>
  <c r="CV280" i="7"/>
  <c r="CV281" i="7"/>
  <c r="CV282" i="7"/>
  <c r="CV283" i="7"/>
  <c r="CV284" i="7"/>
  <c r="CV285" i="7"/>
  <c r="CV361" i="7"/>
  <c r="CV362" i="7" s="1"/>
  <c r="CV363" i="7" s="1"/>
  <c r="CV354" i="7"/>
  <c r="CV355" i="7"/>
  <c r="CV467" i="7"/>
  <c r="CV468" i="7" s="1"/>
  <c r="CV469" i="7" s="1"/>
  <c r="CV460" i="7"/>
  <c r="CV461" i="7"/>
  <c r="CV456" i="7"/>
  <c r="CV452" i="7"/>
  <c r="CV453" i="7" s="1"/>
  <c r="CV447" i="7"/>
  <c r="CV448" i="7"/>
  <c r="CV437" i="7"/>
  <c r="CV438" i="7"/>
  <c r="CV439" i="7"/>
  <c r="CV440" i="7"/>
  <c r="CV441" i="7"/>
  <c r="CV429" i="7"/>
  <c r="CV430" i="7"/>
  <c r="CV431" i="7"/>
  <c r="CV432" i="7"/>
  <c r="CV433" i="7"/>
  <c r="CV423" i="7"/>
  <c r="CV424" i="7" s="1"/>
  <c r="CV416" i="7"/>
  <c r="CV417" i="7"/>
  <c r="CV418" i="7"/>
  <c r="CV419" i="7"/>
  <c r="CV403" i="7"/>
  <c r="CV404" i="7"/>
  <c r="CV405" i="7"/>
  <c r="CV406" i="7"/>
  <c r="CV407" i="7"/>
  <c r="CV408" i="7"/>
  <c r="CV409" i="7"/>
  <c r="CV410" i="7"/>
  <c r="CV411" i="7"/>
  <c r="CV412" i="7"/>
  <c r="CV392" i="7"/>
  <c r="CV393" i="7"/>
  <c r="CV394" i="7"/>
  <c r="CV395" i="7"/>
  <c r="CV396" i="7"/>
  <c r="CV397" i="7"/>
  <c r="CV398" i="7"/>
  <c r="CV399" i="7"/>
  <c r="CV386" i="7"/>
  <c r="CV387" i="7" s="1"/>
  <c r="CV377" i="7"/>
  <c r="CV378" i="7"/>
  <c r="CV379" i="7"/>
  <c r="CV380" i="7"/>
  <c r="CV381" i="7"/>
  <c r="CV382" i="7"/>
  <c r="CV371" i="7"/>
  <c r="CV372" i="7"/>
  <c r="CV373" i="7"/>
  <c r="CV530" i="7"/>
  <c r="CV531" i="7"/>
  <c r="CV532" i="7"/>
  <c r="CV533" i="7"/>
  <c r="CV524" i="7"/>
  <c r="CV525" i="7" s="1"/>
  <c r="CV520" i="7"/>
  <c r="CV521" i="7" s="1"/>
  <c r="CV516" i="7"/>
  <c r="CV517" i="7" s="1"/>
  <c r="CG511" i="7"/>
  <c r="CV511" i="7" s="1"/>
  <c r="CV512" i="7"/>
  <c r="CV506" i="7"/>
  <c r="CV507" i="7"/>
  <c r="CV500" i="7"/>
  <c r="CV501" i="7" s="1"/>
  <c r="CV494" i="7"/>
  <c r="CV495" i="7"/>
  <c r="CV496" i="7"/>
  <c r="CV488" i="7"/>
  <c r="CV489" i="7"/>
  <c r="CV490" i="7"/>
  <c r="CV484" i="7"/>
  <c r="CV485" i="7" s="1"/>
  <c r="CV477" i="7"/>
  <c r="CV478" i="7"/>
  <c r="CV543" i="7"/>
  <c r="CV544" i="7" s="1"/>
  <c r="CV545" i="7" s="1"/>
  <c r="CV546" i="7" s="1"/>
  <c r="CV547" i="7" s="1"/>
  <c r="I14" i="10" s="1"/>
  <c r="CV671" i="7"/>
  <c r="CV672" i="7"/>
  <c r="CV673" i="7"/>
  <c r="CV664" i="7"/>
  <c r="CV665" i="7"/>
  <c r="CV659" i="7"/>
  <c r="CV660" i="7"/>
  <c r="CV653" i="7"/>
  <c r="CV654" i="7"/>
  <c r="CV655" i="7"/>
  <c r="CV649" i="7"/>
  <c r="CV650" i="7" s="1"/>
  <c r="CV643" i="7"/>
  <c r="AT644" i="7"/>
  <c r="CV645" i="7"/>
  <c r="CV637" i="7"/>
  <c r="CV638" i="7" s="1"/>
  <c r="CV633" i="7"/>
  <c r="CV634" i="7" s="1"/>
  <c r="CV629" i="7"/>
  <c r="CV630" i="7" s="1"/>
  <c r="CV621" i="7"/>
  <c r="CV622" i="7"/>
  <c r="CV623" i="7"/>
  <c r="CV616" i="7"/>
  <c r="CV617" i="7"/>
  <c r="CV609" i="7"/>
  <c r="CV610" i="7"/>
  <c r="CV611" i="7"/>
  <c r="CV612" i="7"/>
  <c r="CV603" i="7"/>
  <c r="CV604" i="7"/>
  <c r="CV605" i="7"/>
  <c r="CV598" i="7"/>
  <c r="CV599" i="7"/>
  <c r="CV593" i="7"/>
  <c r="CV594" i="7"/>
  <c r="CV585" i="7"/>
  <c r="CV586" i="7"/>
  <c r="CV587" i="7"/>
  <c r="CV588" i="7"/>
  <c r="CV589" i="7"/>
  <c r="CV579" i="7"/>
  <c r="CV580" i="7"/>
  <c r="CV581" i="7"/>
  <c r="CV573" i="7"/>
  <c r="CV574" i="7"/>
  <c r="CV575" i="7"/>
  <c r="CV566" i="7"/>
  <c r="CV567" i="7"/>
  <c r="CV568" i="7"/>
  <c r="CV569" i="7"/>
  <c r="CV561" i="7"/>
  <c r="CV562" i="7"/>
  <c r="CV553" i="7"/>
  <c r="CV554" i="7"/>
  <c r="CV555" i="7"/>
  <c r="E21" i="10"/>
  <c r="E16" i="10"/>
  <c r="E23" i="10"/>
  <c r="E49" i="10"/>
  <c r="CS674" i="7"/>
  <c r="CS675" i="7" s="1"/>
  <c r="CS666" i="7"/>
  <c r="CS661" i="7"/>
  <c r="CS656" i="7"/>
  <c r="CS650" i="7"/>
  <c r="CS646" i="7"/>
  <c r="CS638" i="7"/>
  <c r="CS639" i="7" s="1"/>
  <c r="CS624" i="7"/>
  <c r="CS618" i="7"/>
  <c r="CS613" i="7"/>
  <c r="CS606" i="7"/>
  <c r="CS600" i="7"/>
  <c r="CS595" i="7"/>
  <c r="CS590" i="7"/>
  <c r="CS582" i="7"/>
  <c r="CS576" i="7"/>
  <c r="CS570" i="7"/>
  <c r="CS563" i="7"/>
  <c r="CS556" i="7"/>
  <c r="CS557" i="7" s="1"/>
  <c r="CS544" i="7"/>
  <c r="CS545" i="7" s="1"/>
  <c r="CS546" i="7" s="1"/>
  <c r="CS547" i="7" s="1"/>
  <c r="CS534" i="7"/>
  <c r="CS535" i="7" s="1"/>
  <c r="CS525" i="7"/>
  <c r="CS521" i="7"/>
  <c r="CS517" i="7"/>
  <c r="CS513" i="7"/>
  <c r="CS501" i="7"/>
  <c r="CS497" i="7"/>
  <c r="CS491" i="7"/>
  <c r="CS485" i="7"/>
  <c r="CS479" i="7"/>
  <c r="CS480" i="7" s="1"/>
  <c r="CS468" i="7"/>
  <c r="CS469" i="7" s="1"/>
  <c r="CS462" i="7"/>
  <c r="CS457" i="7"/>
  <c r="CS453" i="7"/>
  <c r="CS449" i="7"/>
  <c r="CS442" i="7"/>
  <c r="CS434" i="7"/>
  <c r="CS424" i="7"/>
  <c r="CS420" i="7"/>
  <c r="CS413" i="7"/>
  <c r="CS400" i="7"/>
  <c r="CS387" i="7"/>
  <c r="CS383" i="7"/>
  <c r="CS374" i="7"/>
  <c r="CS362" i="7"/>
  <c r="CS363" i="7" s="1"/>
  <c r="CS356" i="7"/>
  <c r="CS357" i="7" s="1"/>
  <c r="CS345" i="7"/>
  <c r="CS346" i="7" s="1"/>
  <c r="CS347" i="7" s="1"/>
  <c r="CS333" i="7"/>
  <c r="CS327" i="7"/>
  <c r="CS320" i="7"/>
  <c r="CS311" i="7"/>
  <c r="CS300" i="7"/>
  <c r="CS291" i="7"/>
  <c r="CS286" i="7"/>
  <c r="CS271" i="7"/>
  <c r="CS267" i="7"/>
  <c r="CS263" i="7"/>
  <c r="CS256" i="7"/>
  <c r="CS250" i="7"/>
  <c r="CS243" i="7"/>
  <c r="CS229" i="7"/>
  <c r="CS224" i="7"/>
  <c r="CS218" i="7"/>
  <c r="CS214" i="7"/>
  <c r="CS210" i="7"/>
  <c r="CS197" i="7"/>
  <c r="CS193" i="7"/>
  <c r="CS185" i="7"/>
  <c r="CS186" i="7" s="1"/>
  <c r="CS177" i="7"/>
  <c r="CS172" i="7"/>
  <c r="CS162" i="7"/>
  <c r="CS157" i="7"/>
  <c r="CS151" i="7"/>
  <c r="CS134" i="7"/>
  <c r="CS142" i="7" s="1"/>
  <c r="CS120" i="7"/>
  <c r="CS121" i="7" s="1"/>
  <c r="CS114" i="7"/>
  <c r="CS115" i="7" s="1"/>
  <c r="CS101" i="7"/>
  <c r="CS89" i="7"/>
  <c r="CS77" i="7"/>
  <c r="CS78" i="7" s="1"/>
  <c r="CS79" i="7" s="1"/>
  <c r="CS80" i="7" s="1"/>
  <c r="CS30" i="7"/>
  <c r="CS34" i="7"/>
  <c r="CS40" i="7"/>
  <c r="CS41" i="7" s="1"/>
  <c r="CS63" i="7"/>
  <c r="CS64" i="7" s="1"/>
  <c r="CS20" i="7"/>
  <c r="CS21" i="7" s="1"/>
  <c r="CS22" i="7" s="1"/>
  <c r="CS23" i="7" s="1"/>
  <c r="CS719" i="7"/>
  <c r="CS720" i="7" s="1"/>
  <c r="CS713" i="7"/>
  <c r="CS709" i="7"/>
  <c r="CS701" i="7"/>
  <c r="CS695" i="7"/>
  <c r="CS691" i="7"/>
  <c r="CS687" i="7"/>
  <c r="CS736" i="7"/>
  <c r="CS729" i="7"/>
  <c r="CS748" i="7"/>
  <c r="CS749" i="7" s="1"/>
  <c r="CS750" i="7" s="1"/>
  <c r="CS751" i="7" s="1"/>
  <c r="CR674" i="7"/>
  <c r="CR675" i="7" s="1"/>
  <c r="CR666" i="7"/>
  <c r="CR661" i="7"/>
  <c r="CR656" i="7"/>
  <c r="CR650" i="7"/>
  <c r="CR646" i="7"/>
  <c r="CR638" i="7"/>
  <c r="CR639" i="7" s="1"/>
  <c r="CR624" i="7"/>
  <c r="CR618" i="7"/>
  <c r="CR613" i="7"/>
  <c r="CR606" i="7"/>
  <c r="CR600" i="7"/>
  <c r="CR595" i="7"/>
  <c r="CR590" i="7"/>
  <c r="CR582" i="7"/>
  <c r="CR576" i="7"/>
  <c r="CR570" i="7"/>
  <c r="CR563" i="7"/>
  <c r="CR556" i="7"/>
  <c r="CR557" i="7" s="1"/>
  <c r="CR544" i="7"/>
  <c r="CR545" i="7" s="1"/>
  <c r="CR546" i="7" s="1"/>
  <c r="CR547" i="7" s="1"/>
  <c r="CR534" i="7"/>
  <c r="CR535" i="7" s="1"/>
  <c r="CR525" i="7"/>
  <c r="CR521" i="7"/>
  <c r="CR517" i="7"/>
  <c r="CR513" i="7"/>
  <c r="CR501" i="7"/>
  <c r="CR497" i="7"/>
  <c r="CR491" i="7"/>
  <c r="CR485" i="7"/>
  <c r="CR479" i="7"/>
  <c r="CR480" i="7" s="1"/>
  <c r="CR468" i="7"/>
  <c r="CR469" i="7" s="1"/>
  <c r="CR462" i="7"/>
  <c r="CR457" i="7"/>
  <c r="CR453" i="7"/>
  <c r="CR449" i="7"/>
  <c r="CR442" i="7"/>
  <c r="CR434" i="7"/>
  <c r="CR424" i="7"/>
  <c r="CR420" i="7"/>
  <c r="CR413" i="7"/>
  <c r="CR400" i="7"/>
  <c r="CR387" i="7"/>
  <c r="CR383" i="7"/>
  <c r="CR374" i="7"/>
  <c r="CR362" i="7"/>
  <c r="CR363" i="7" s="1"/>
  <c r="CR356" i="7"/>
  <c r="CR357" i="7" s="1"/>
  <c r="CR345" i="7"/>
  <c r="CR346" i="7" s="1"/>
  <c r="CR347" i="7" s="1"/>
  <c r="CR333" i="7"/>
  <c r="CR327" i="7"/>
  <c r="CR320" i="7"/>
  <c r="CR311" i="7"/>
  <c r="CR300" i="7"/>
  <c r="CR291" i="7"/>
  <c r="CR286" i="7"/>
  <c r="CR271" i="7"/>
  <c r="CR267" i="7"/>
  <c r="CR263" i="7"/>
  <c r="CR256" i="7"/>
  <c r="CR250" i="7"/>
  <c r="CR243" i="7"/>
  <c r="CR229" i="7"/>
  <c r="CR224" i="7"/>
  <c r="CR218" i="7"/>
  <c r="CR214" i="7"/>
  <c r="CR210" i="7"/>
  <c r="CR197" i="7"/>
  <c r="CR193" i="7"/>
  <c r="CR185" i="7"/>
  <c r="CR186" i="7" s="1"/>
  <c r="CR177" i="7"/>
  <c r="CR172" i="7"/>
  <c r="CR162" i="7"/>
  <c r="CR157" i="7"/>
  <c r="CR151" i="7"/>
  <c r="CR134" i="7"/>
  <c r="CR142" i="7" s="1"/>
  <c r="CR120" i="7"/>
  <c r="CR121" i="7" s="1"/>
  <c r="CR114" i="7"/>
  <c r="CR115" i="7" s="1"/>
  <c r="CR101" i="7"/>
  <c r="CR89" i="7"/>
  <c r="CR77" i="7"/>
  <c r="CR78" i="7" s="1"/>
  <c r="CR79" i="7" s="1"/>
  <c r="CR80" i="7" s="1"/>
  <c r="CR30" i="7"/>
  <c r="CR34" i="7"/>
  <c r="CR40" i="7"/>
  <c r="CR41" i="7" s="1"/>
  <c r="CR63" i="7"/>
  <c r="CR64" i="7" s="1"/>
  <c r="CR20" i="7"/>
  <c r="CR21" i="7" s="1"/>
  <c r="CR22" i="7" s="1"/>
  <c r="CR23" i="7" s="1"/>
  <c r="CR719" i="7"/>
  <c r="CR720" i="7" s="1"/>
  <c r="CR713" i="7"/>
  <c r="CR709" i="7"/>
  <c r="CR701" i="7"/>
  <c r="CR695" i="7"/>
  <c r="CR691" i="7"/>
  <c r="CR687" i="7"/>
  <c r="CR736" i="7"/>
  <c r="CR729" i="7"/>
  <c r="CR748" i="7"/>
  <c r="CR749" i="7" s="1"/>
  <c r="CR750" i="7" s="1"/>
  <c r="CR751" i="7" s="1"/>
  <c r="CQ674" i="7"/>
  <c r="CQ675" i="7" s="1"/>
  <c r="CQ666" i="7"/>
  <c r="CQ661" i="7"/>
  <c r="CQ656" i="7"/>
  <c r="CQ650" i="7"/>
  <c r="CQ646" i="7"/>
  <c r="CQ638" i="7"/>
  <c r="CQ634" i="7"/>
  <c r="CQ630" i="7"/>
  <c r="CQ624" i="7"/>
  <c r="CQ618" i="7"/>
  <c r="CQ613" i="7"/>
  <c r="CQ606" i="7"/>
  <c r="CQ600" i="7"/>
  <c r="CQ595" i="7"/>
  <c r="CQ590" i="7"/>
  <c r="CQ582" i="7"/>
  <c r="CQ576" i="7"/>
  <c r="CQ570" i="7"/>
  <c r="CQ563" i="7"/>
  <c r="CQ556" i="7"/>
  <c r="CQ557" i="7" s="1"/>
  <c r="CQ544" i="7"/>
  <c r="CQ545" i="7" s="1"/>
  <c r="CQ546" i="7" s="1"/>
  <c r="CQ547" i="7" s="1"/>
  <c r="CQ534" i="7"/>
  <c r="CQ535" i="7" s="1"/>
  <c r="CQ525" i="7"/>
  <c r="CQ521" i="7"/>
  <c r="CQ517" i="7"/>
  <c r="CQ513" i="7"/>
  <c r="CQ508" i="7"/>
  <c r="CQ501" i="7"/>
  <c r="CQ497" i="7"/>
  <c r="CQ491" i="7"/>
  <c r="CQ485" i="7"/>
  <c r="CQ479" i="7"/>
  <c r="CQ480" i="7" s="1"/>
  <c r="CQ468" i="7"/>
  <c r="CQ469" i="7" s="1"/>
  <c r="CQ462" i="7"/>
  <c r="CQ457" i="7"/>
  <c r="CQ453" i="7"/>
  <c r="CQ449" i="7"/>
  <c r="CQ442" i="7"/>
  <c r="CQ434" i="7"/>
  <c r="CQ424" i="7"/>
  <c r="CQ420" i="7"/>
  <c r="CQ413" i="7"/>
  <c r="CQ400" i="7"/>
  <c r="CQ387" i="7"/>
  <c r="CQ383" i="7"/>
  <c r="CQ374" i="7"/>
  <c r="CQ362" i="7"/>
  <c r="CQ363" i="7" s="1"/>
  <c r="CQ356" i="7"/>
  <c r="CQ357" i="7" s="1"/>
  <c r="CQ345" i="7"/>
  <c r="CQ346" i="7" s="1"/>
  <c r="CQ347" i="7" s="1"/>
  <c r="CQ333" i="7"/>
  <c r="CQ327" i="7"/>
  <c r="CQ320" i="7"/>
  <c r="CQ311" i="7"/>
  <c r="CQ300" i="7"/>
  <c r="CQ291" i="7"/>
  <c r="CQ286" i="7"/>
  <c r="CQ271" i="7"/>
  <c r="CQ267" i="7"/>
  <c r="CQ263" i="7"/>
  <c r="CQ256" i="7"/>
  <c r="CQ250" i="7"/>
  <c r="CQ243" i="7"/>
  <c r="CQ229" i="7"/>
  <c r="CQ224" i="7"/>
  <c r="CQ218" i="7"/>
  <c r="CQ214" i="7"/>
  <c r="CQ210" i="7"/>
  <c r="CQ197" i="7"/>
  <c r="CQ193" i="7"/>
  <c r="CQ185" i="7"/>
  <c r="CQ186" i="7" s="1"/>
  <c r="CQ177" i="7"/>
  <c r="CQ172" i="7"/>
  <c r="CQ162" i="7"/>
  <c r="CQ157" i="7"/>
  <c r="CQ151" i="7"/>
  <c r="CQ134" i="7"/>
  <c r="CQ142" i="7" s="1"/>
  <c r="CQ120" i="7"/>
  <c r="CQ121" i="7" s="1"/>
  <c r="CQ114" i="7"/>
  <c r="CQ115" i="7" s="1"/>
  <c r="CQ101" i="7"/>
  <c r="CQ89" i="7"/>
  <c r="CQ77" i="7"/>
  <c r="CQ78" i="7" s="1"/>
  <c r="CQ79" i="7" s="1"/>
  <c r="CQ80" i="7" s="1"/>
  <c r="CQ30" i="7"/>
  <c r="CQ34" i="7"/>
  <c r="CQ40" i="7"/>
  <c r="CQ41" i="7" s="1"/>
  <c r="CQ63" i="7"/>
  <c r="CQ64" i="7" s="1"/>
  <c r="CQ20" i="7"/>
  <c r="CQ21" i="7" s="1"/>
  <c r="CQ22" i="7" s="1"/>
  <c r="CQ23" i="7" s="1"/>
  <c r="CQ719" i="7"/>
  <c r="CQ720" i="7" s="1"/>
  <c r="CQ713" i="7"/>
  <c r="CQ709" i="7"/>
  <c r="CQ701" i="7"/>
  <c r="CQ695" i="7"/>
  <c r="CQ691" i="7"/>
  <c r="CQ687" i="7"/>
  <c r="CQ736" i="7"/>
  <c r="CQ729" i="7"/>
  <c r="CQ748" i="7"/>
  <c r="CQ749" i="7" s="1"/>
  <c r="CQ750" i="7" s="1"/>
  <c r="CQ751" i="7" s="1"/>
  <c r="CP674" i="7"/>
  <c r="CP675" i="7" s="1"/>
  <c r="CP666" i="7"/>
  <c r="CP661" i="7"/>
  <c r="CP656" i="7"/>
  <c r="CP650" i="7"/>
  <c r="CP646" i="7"/>
  <c r="CP638" i="7"/>
  <c r="CP639" i="7" s="1"/>
  <c r="CP624" i="7"/>
  <c r="CP618" i="7"/>
  <c r="CP613" i="7"/>
  <c r="CP606" i="7"/>
  <c r="CP600" i="7"/>
  <c r="CP595" i="7"/>
  <c r="CP590" i="7"/>
  <c r="CP582" i="7"/>
  <c r="CP576" i="7"/>
  <c r="CP570" i="7"/>
  <c r="CP563" i="7"/>
  <c r="CP556" i="7"/>
  <c r="CP557" i="7" s="1"/>
  <c r="CP544" i="7"/>
  <c r="CP545" i="7" s="1"/>
  <c r="CP546" i="7" s="1"/>
  <c r="CP547" i="7" s="1"/>
  <c r="CP534" i="7"/>
  <c r="CP535" i="7" s="1"/>
  <c r="CP525" i="7"/>
  <c r="CP521" i="7"/>
  <c r="CP517" i="7"/>
  <c r="CP513" i="7"/>
  <c r="CP501" i="7"/>
  <c r="CP497" i="7"/>
  <c r="CP491" i="7"/>
  <c r="CP485" i="7"/>
  <c r="CP479" i="7"/>
  <c r="CP480" i="7" s="1"/>
  <c r="CP468" i="7"/>
  <c r="CP469" i="7" s="1"/>
  <c r="CP462" i="7"/>
  <c r="CP457" i="7"/>
  <c r="CP453" i="7"/>
  <c r="CP449" i="7"/>
  <c r="CP442" i="7"/>
  <c r="CP434" i="7"/>
  <c r="CP424" i="7"/>
  <c r="CP420" i="7"/>
  <c r="CP413" i="7"/>
  <c r="CP400" i="7"/>
  <c r="CP387" i="7"/>
  <c r="CP383" i="7"/>
  <c r="CP374" i="7"/>
  <c r="CP362" i="7"/>
  <c r="CP363" i="7"/>
  <c r="CP356" i="7"/>
  <c r="CP357" i="7" s="1"/>
  <c r="CP345" i="7"/>
  <c r="CP346" i="7" s="1"/>
  <c r="CP347" i="7" s="1"/>
  <c r="CP333" i="7"/>
  <c r="CP327" i="7"/>
  <c r="CP320" i="7"/>
  <c r="CP311" i="7"/>
  <c r="CP300" i="7"/>
  <c r="CP291" i="7"/>
  <c r="CP286" i="7"/>
  <c r="CP271" i="7"/>
  <c r="CP267" i="7"/>
  <c r="CP263" i="7"/>
  <c r="CP256" i="7"/>
  <c r="CP250" i="7"/>
  <c r="CP243" i="7"/>
  <c r="CP229" i="7"/>
  <c r="CP224" i="7"/>
  <c r="CP218" i="7"/>
  <c r="CP214" i="7"/>
  <c r="CP210" i="7"/>
  <c r="CP197" i="7"/>
  <c r="CP193" i="7"/>
  <c r="CP185" i="7"/>
  <c r="CP186" i="7" s="1"/>
  <c r="CP177" i="7"/>
  <c r="CP172" i="7"/>
  <c r="CP162" i="7"/>
  <c r="CP157" i="7"/>
  <c r="CP151" i="7"/>
  <c r="CP134" i="7"/>
  <c r="CP142" i="7" s="1"/>
  <c r="CP120" i="7"/>
  <c r="CP121" i="7" s="1"/>
  <c r="CP114" i="7"/>
  <c r="CP115" i="7" s="1"/>
  <c r="CP101" i="7"/>
  <c r="CP89" i="7"/>
  <c r="CP77" i="7"/>
  <c r="CP78" i="7" s="1"/>
  <c r="CP79" i="7" s="1"/>
  <c r="CP80" i="7" s="1"/>
  <c r="CP30" i="7"/>
  <c r="CP34" i="7"/>
  <c r="CP40" i="7"/>
  <c r="CP41" i="7" s="1"/>
  <c r="CP63" i="7"/>
  <c r="CP64" i="7" s="1"/>
  <c r="CP20" i="7"/>
  <c r="CP21" i="7" s="1"/>
  <c r="CP22" i="7" s="1"/>
  <c r="CP23" i="7" s="1"/>
  <c r="CP719" i="7"/>
  <c r="CP720" i="7" s="1"/>
  <c r="CP713" i="7"/>
  <c r="CP709" i="7"/>
  <c r="CP701" i="7"/>
  <c r="CP695" i="7"/>
  <c r="CP691" i="7"/>
  <c r="CP687" i="7"/>
  <c r="CP736" i="7"/>
  <c r="CP729" i="7"/>
  <c r="CP748" i="7"/>
  <c r="CP749" i="7" s="1"/>
  <c r="CP750" i="7" s="1"/>
  <c r="CP751" i="7" s="1"/>
  <c r="CO674" i="7"/>
  <c r="CO675" i="7" s="1"/>
  <c r="CO666" i="7"/>
  <c r="CO661" i="7"/>
  <c r="CO656" i="7"/>
  <c r="CO650" i="7"/>
  <c r="CO646" i="7"/>
  <c r="CO638" i="7"/>
  <c r="CO639" i="7" s="1"/>
  <c r="CO624" i="7"/>
  <c r="CO618" i="7"/>
  <c r="CO613" i="7"/>
  <c r="CO606" i="7"/>
  <c r="CO600" i="7"/>
  <c r="CO595" i="7"/>
  <c r="CO590" i="7"/>
  <c r="CO582" i="7"/>
  <c r="CO576" i="7"/>
  <c r="CO570" i="7"/>
  <c r="CO563" i="7"/>
  <c r="CO556" i="7"/>
  <c r="CO557" i="7" s="1"/>
  <c r="CO544" i="7"/>
  <c r="CO545" i="7" s="1"/>
  <c r="CO546" i="7" s="1"/>
  <c r="CO547" i="7" s="1"/>
  <c r="CO534" i="7"/>
  <c r="CO535" i="7" s="1"/>
  <c r="CO525" i="7"/>
  <c r="CO521" i="7"/>
  <c r="CO517" i="7"/>
  <c r="CO513" i="7"/>
  <c r="CO501" i="7"/>
  <c r="CO497" i="7"/>
  <c r="CO491" i="7"/>
  <c r="CO485" i="7"/>
  <c r="CO479" i="7"/>
  <c r="CO480" i="7" s="1"/>
  <c r="CO468" i="7"/>
  <c r="CO469" i="7" s="1"/>
  <c r="CO462" i="7"/>
  <c r="CO457" i="7"/>
  <c r="CO453" i="7"/>
  <c r="CO449" i="7"/>
  <c r="CO442" i="7"/>
  <c r="CO434" i="7"/>
  <c r="CO424" i="7"/>
  <c r="CO420" i="7"/>
  <c r="CO413" i="7"/>
  <c r="CO400" i="7"/>
  <c r="CO387" i="7"/>
  <c r="CO383" i="7"/>
  <c r="CO374" i="7"/>
  <c r="CO362" i="7"/>
  <c r="CO363" i="7" s="1"/>
  <c r="CO356" i="7"/>
  <c r="CO357" i="7" s="1"/>
  <c r="CO345" i="7"/>
  <c r="CO346" i="7" s="1"/>
  <c r="CO347" i="7" s="1"/>
  <c r="CO333" i="7"/>
  <c r="CO327" i="7"/>
  <c r="CO320" i="7"/>
  <c r="CO311" i="7"/>
  <c r="CO300" i="7"/>
  <c r="CO291" i="7"/>
  <c r="CO286" i="7"/>
  <c r="CO271" i="7"/>
  <c r="CO267" i="7"/>
  <c r="CO263" i="7"/>
  <c r="CO256" i="7"/>
  <c r="CO250" i="7"/>
  <c r="CO243" i="7"/>
  <c r="CO229" i="7"/>
  <c r="CO224" i="7"/>
  <c r="CO218" i="7"/>
  <c r="CO214" i="7"/>
  <c r="CO210" i="7"/>
  <c r="CO197" i="7"/>
  <c r="CO193" i="7"/>
  <c r="CO185" i="7"/>
  <c r="CO186" i="7" s="1"/>
  <c r="CO177" i="7"/>
  <c r="CO172" i="7"/>
  <c r="CO162" i="7"/>
  <c r="CO157" i="7"/>
  <c r="CO151" i="7"/>
  <c r="CO134" i="7"/>
  <c r="CO142" i="7" s="1"/>
  <c r="CO120" i="7"/>
  <c r="CO121" i="7" s="1"/>
  <c r="CO114" i="7"/>
  <c r="CO115" i="7" s="1"/>
  <c r="CO101" i="7"/>
  <c r="CO89" i="7"/>
  <c r="CO77" i="7"/>
  <c r="CO78" i="7" s="1"/>
  <c r="CO79" i="7" s="1"/>
  <c r="CO80" i="7" s="1"/>
  <c r="CO30" i="7"/>
  <c r="CO34" i="7"/>
  <c r="CO40" i="7"/>
  <c r="CO41" i="7" s="1"/>
  <c r="CO63" i="7"/>
  <c r="CO64" i="7" s="1"/>
  <c r="CO20" i="7"/>
  <c r="CO21" i="7" s="1"/>
  <c r="CO22" i="7" s="1"/>
  <c r="CO23" i="7" s="1"/>
  <c r="CO719" i="7"/>
  <c r="CO720" i="7" s="1"/>
  <c r="CO713" i="7"/>
  <c r="CO709" i="7"/>
  <c r="CO701" i="7"/>
  <c r="CO695" i="7"/>
  <c r="CO691" i="7"/>
  <c r="CO687" i="7"/>
  <c r="CO736" i="7"/>
  <c r="CO729" i="7"/>
  <c r="CO748" i="7"/>
  <c r="CO749" i="7" s="1"/>
  <c r="CO750" i="7" s="1"/>
  <c r="CO751" i="7" s="1"/>
  <c r="CN674" i="7"/>
  <c r="CN675" i="7" s="1"/>
  <c r="CN666" i="7"/>
  <c r="CN661" i="7"/>
  <c r="CN656" i="7"/>
  <c r="CN650" i="7"/>
  <c r="CN646" i="7"/>
  <c r="CN638" i="7"/>
  <c r="CN634" i="7"/>
  <c r="CN630" i="7"/>
  <c r="CN624" i="7"/>
  <c r="CN618" i="7"/>
  <c r="CN613" i="7"/>
  <c r="CN606" i="7"/>
  <c r="CN600" i="7"/>
  <c r="CN595" i="7"/>
  <c r="CN590" i="7"/>
  <c r="CN582" i="7"/>
  <c r="CN576" i="7"/>
  <c r="CN570" i="7"/>
  <c r="CN563" i="7"/>
  <c r="CN556" i="7"/>
  <c r="CN557" i="7" s="1"/>
  <c r="CN544" i="7"/>
  <c r="CN545" i="7" s="1"/>
  <c r="CN546" i="7" s="1"/>
  <c r="CN547" i="7" s="1"/>
  <c r="CN534" i="7"/>
  <c r="CN535" i="7" s="1"/>
  <c r="CN525" i="7"/>
  <c r="CN521" i="7"/>
  <c r="CN517" i="7"/>
  <c r="CN513" i="7"/>
  <c r="CN508" i="7"/>
  <c r="CN501" i="7"/>
  <c r="CN497" i="7"/>
  <c r="CN491" i="7"/>
  <c r="CN485" i="7"/>
  <c r="CN479" i="7"/>
  <c r="CN480" i="7" s="1"/>
  <c r="CN468" i="7"/>
  <c r="CN469" i="7" s="1"/>
  <c r="CN462" i="7"/>
  <c r="CN457" i="7"/>
  <c r="CN453" i="7"/>
  <c r="CN449" i="7"/>
  <c r="CN442" i="7"/>
  <c r="CN434" i="7"/>
  <c r="CN424" i="7"/>
  <c r="CN420" i="7"/>
  <c r="CN413" i="7"/>
  <c r="CN400" i="7"/>
  <c r="CN387" i="7"/>
  <c r="CN383" i="7"/>
  <c r="CN374" i="7"/>
  <c r="CN362" i="7"/>
  <c r="CN363" i="7" s="1"/>
  <c r="CN356" i="7"/>
  <c r="CN357" i="7" s="1"/>
  <c r="CN345" i="7"/>
  <c r="CN346" i="7" s="1"/>
  <c r="CN347" i="7" s="1"/>
  <c r="CN333" i="7"/>
  <c r="CN327" i="7"/>
  <c r="CN320" i="7"/>
  <c r="CN311" i="7"/>
  <c r="CN300" i="7"/>
  <c r="CN291" i="7"/>
  <c r="CN286" i="7"/>
  <c r="CN271" i="7"/>
  <c r="CN267" i="7"/>
  <c r="CN263" i="7"/>
  <c r="CN256" i="7"/>
  <c r="CN250" i="7"/>
  <c r="CN243" i="7"/>
  <c r="CN229" i="7"/>
  <c r="CN224" i="7"/>
  <c r="CN218" i="7"/>
  <c r="CN214" i="7"/>
  <c r="CN210" i="7"/>
  <c r="CN197" i="7"/>
  <c r="CN193" i="7"/>
  <c r="CN185" i="7"/>
  <c r="CN186" i="7" s="1"/>
  <c r="CN177" i="7"/>
  <c r="CN172" i="7"/>
  <c r="CN162" i="7"/>
  <c r="CN157" i="7"/>
  <c r="CN151" i="7"/>
  <c r="CN134" i="7"/>
  <c r="CN142" i="7" s="1"/>
  <c r="CN120" i="7"/>
  <c r="CN121" i="7" s="1"/>
  <c r="CN114" i="7"/>
  <c r="CN115" i="7" s="1"/>
  <c r="CN101" i="7"/>
  <c r="CN89" i="7"/>
  <c r="CN77" i="7"/>
  <c r="CN78" i="7" s="1"/>
  <c r="CN79" i="7" s="1"/>
  <c r="CN80" i="7" s="1"/>
  <c r="CN30" i="7"/>
  <c r="CN34" i="7"/>
  <c r="CN40" i="7"/>
  <c r="CN41" i="7" s="1"/>
  <c r="CN63" i="7"/>
  <c r="CN64" i="7" s="1"/>
  <c r="CN20" i="7"/>
  <c r="CN21" i="7" s="1"/>
  <c r="CN22" i="7" s="1"/>
  <c r="CN23" i="7" s="1"/>
  <c r="CN719" i="7"/>
  <c r="CN720" i="7" s="1"/>
  <c r="CN713" i="7"/>
  <c r="CN709" i="7"/>
  <c r="CN701" i="7"/>
  <c r="CN695" i="7"/>
  <c r="CN691" i="7"/>
  <c r="CN687" i="7"/>
  <c r="CN736" i="7"/>
  <c r="CN729" i="7"/>
  <c r="CN748" i="7"/>
  <c r="CN749" i="7" s="1"/>
  <c r="CN750" i="7" s="1"/>
  <c r="CN751" i="7" s="1"/>
  <c r="CM674" i="7"/>
  <c r="CM675" i="7" s="1"/>
  <c r="CM666" i="7"/>
  <c r="CM661" i="7"/>
  <c r="CM656" i="7"/>
  <c r="CM650" i="7"/>
  <c r="CM646" i="7"/>
  <c r="CM638" i="7"/>
  <c r="CM639" i="7" s="1"/>
  <c r="CM624" i="7"/>
  <c r="CM618" i="7"/>
  <c r="CM613" i="7"/>
  <c r="CM606" i="7"/>
  <c r="CM600" i="7"/>
  <c r="CM595" i="7"/>
  <c r="CM590" i="7"/>
  <c r="CM582" i="7"/>
  <c r="CM576" i="7"/>
  <c r="CM570" i="7"/>
  <c r="CM563" i="7"/>
  <c r="CM556" i="7"/>
  <c r="CM557" i="7" s="1"/>
  <c r="CM544" i="7"/>
  <c r="CM545" i="7" s="1"/>
  <c r="CM546" i="7" s="1"/>
  <c r="CM547" i="7" s="1"/>
  <c r="CM534" i="7"/>
  <c r="CM535" i="7" s="1"/>
  <c r="CM525" i="7"/>
  <c r="CM521" i="7"/>
  <c r="CM517" i="7"/>
  <c r="CM513" i="7"/>
  <c r="CM501" i="7"/>
  <c r="CM497" i="7"/>
  <c r="CM491" i="7"/>
  <c r="CM485" i="7"/>
  <c r="CM479" i="7"/>
  <c r="CM480" i="7" s="1"/>
  <c r="CM468" i="7"/>
  <c r="CM469" i="7" s="1"/>
  <c r="CM462" i="7"/>
  <c r="CM457" i="7"/>
  <c r="CM453" i="7"/>
  <c r="CM449" i="7"/>
  <c r="CM442" i="7"/>
  <c r="CM434" i="7"/>
  <c r="CM424" i="7"/>
  <c r="CM420" i="7"/>
  <c r="CM413" i="7"/>
  <c r="CM400" i="7"/>
  <c r="CM387" i="7"/>
  <c r="CM383" i="7"/>
  <c r="CM374" i="7"/>
  <c r="CM362" i="7"/>
  <c r="CM363" i="7" s="1"/>
  <c r="CM356" i="7"/>
  <c r="CM357" i="7" s="1"/>
  <c r="CM345" i="7"/>
  <c r="CM346" i="7" s="1"/>
  <c r="CM347" i="7" s="1"/>
  <c r="CM333" i="7"/>
  <c r="CM327" i="7"/>
  <c r="CM320" i="7"/>
  <c r="CM311" i="7"/>
  <c r="CM300" i="7"/>
  <c r="CM291" i="7"/>
  <c r="CM286" i="7"/>
  <c r="CM267" i="7"/>
  <c r="CM263" i="7"/>
  <c r="CM256" i="7"/>
  <c r="CM250" i="7"/>
  <c r="CM243" i="7"/>
  <c r="CM229" i="7"/>
  <c r="CM224" i="7"/>
  <c r="CM218" i="7"/>
  <c r="CM214" i="7"/>
  <c r="CM210" i="7"/>
  <c r="CM197" i="7"/>
  <c r="CM193" i="7"/>
  <c r="CM185" i="7"/>
  <c r="CM186" i="7" s="1"/>
  <c r="CM177" i="7"/>
  <c r="CM172" i="7"/>
  <c r="CM162" i="7"/>
  <c r="CM157" i="7"/>
  <c r="CM151" i="7"/>
  <c r="CM134" i="7"/>
  <c r="CM142" i="7" s="1"/>
  <c r="CM120" i="7"/>
  <c r="CM121" i="7" s="1"/>
  <c r="CM114" i="7"/>
  <c r="CM115" i="7" s="1"/>
  <c r="CM101" i="7"/>
  <c r="CM89" i="7"/>
  <c r="CM77" i="7"/>
  <c r="CM78" i="7" s="1"/>
  <c r="CM79" i="7" s="1"/>
  <c r="CM80" i="7" s="1"/>
  <c r="CM30" i="7"/>
  <c r="CM34" i="7"/>
  <c r="CM40" i="7"/>
  <c r="CM41" i="7" s="1"/>
  <c r="CM63" i="7"/>
  <c r="CM64" i="7" s="1"/>
  <c r="CM20" i="7"/>
  <c r="CM21" i="7" s="1"/>
  <c r="CM22" i="7" s="1"/>
  <c r="CM23" i="7" s="1"/>
  <c r="CM719" i="7"/>
  <c r="CM720" i="7" s="1"/>
  <c r="CM713" i="7"/>
  <c r="CM709" i="7"/>
  <c r="CM701" i="7"/>
  <c r="CM695" i="7"/>
  <c r="CM691" i="7"/>
  <c r="CM687" i="7"/>
  <c r="CM736" i="7"/>
  <c r="CM729" i="7"/>
  <c r="CM748" i="7"/>
  <c r="CM749" i="7" s="1"/>
  <c r="CM750" i="7" s="1"/>
  <c r="CM751" i="7" s="1"/>
  <c r="CL674" i="7"/>
  <c r="CL675" i="7" s="1"/>
  <c r="CL666" i="7"/>
  <c r="CL661" i="7"/>
  <c r="CL656" i="7"/>
  <c r="CL650" i="7"/>
  <c r="CL646" i="7"/>
  <c r="CL638" i="7"/>
  <c r="CL639" i="7" s="1"/>
  <c r="CL624" i="7"/>
  <c r="CL618" i="7"/>
  <c r="CL613" i="7"/>
  <c r="CL606" i="7"/>
  <c r="CL600" i="7"/>
  <c r="CL595" i="7"/>
  <c r="CL590" i="7"/>
  <c r="CL582" i="7"/>
  <c r="CL576" i="7"/>
  <c r="CL570" i="7"/>
  <c r="CL563" i="7"/>
  <c r="CL556" i="7"/>
  <c r="CL557" i="7" s="1"/>
  <c r="CL544" i="7"/>
  <c r="CL545" i="7" s="1"/>
  <c r="CL546" i="7" s="1"/>
  <c r="CL547" i="7" s="1"/>
  <c r="CL534" i="7"/>
  <c r="CL535" i="7" s="1"/>
  <c r="CL525" i="7"/>
  <c r="CL521" i="7"/>
  <c r="CL517" i="7"/>
  <c r="CL513" i="7"/>
  <c r="CL501" i="7"/>
  <c r="CL497" i="7"/>
  <c r="CL491" i="7"/>
  <c r="CL485" i="7"/>
  <c r="CL479" i="7"/>
  <c r="CL480" i="7" s="1"/>
  <c r="CL468" i="7"/>
  <c r="CL469" i="7" s="1"/>
  <c r="CL462" i="7"/>
  <c r="CL457" i="7"/>
  <c r="CL453" i="7"/>
  <c r="CL449" i="7"/>
  <c r="CL442" i="7"/>
  <c r="CL434" i="7"/>
  <c r="CL424" i="7"/>
  <c r="CL420" i="7"/>
  <c r="CL413" i="7"/>
  <c r="CL400" i="7"/>
  <c r="CL387" i="7"/>
  <c r="CL383" i="7"/>
  <c r="CL374" i="7"/>
  <c r="CL362" i="7"/>
  <c r="CL363" i="7" s="1"/>
  <c r="CL356" i="7"/>
  <c r="CL357" i="7" s="1"/>
  <c r="CL345" i="7"/>
  <c r="CL346" i="7" s="1"/>
  <c r="CL347" i="7" s="1"/>
  <c r="CL333" i="7"/>
  <c r="CL327" i="7"/>
  <c r="CL320" i="7"/>
  <c r="CL311" i="7"/>
  <c r="CL300" i="7"/>
  <c r="CL291" i="7"/>
  <c r="CL286" i="7"/>
  <c r="CL271" i="7"/>
  <c r="CL267" i="7"/>
  <c r="CL263" i="7"/>
  <c r="CL256" i="7"/>
  <c r="CL250" i="7"/>
  <c r="CL243" i="7"/>
  <c r="CL229" i="7"/>
  <c r="CL224" i="7"/>
  <c r="CL218" i="7"/>
  <c r="CL214" i="7"/>
  <c r="CL210" i="7"/>
  <c r="CL197" i="7"/>
  <c r="CL193" i="7"/>
  <c r="CL185" i="7"/>
  <c r="CL186" i="7" s="1"/>
  <c r="CL177" i="7"/>
  <c r="CL172" i="7"/>
  <c r="CL162" i="7"/>
  <c r="CL157" i="7"/>
  <c r="CL151" i="7"/>
  <c r="CL134" i="7"/>
  <c r="CL142" i="7" s="1"/>
  <c r="CL120" i="7"/>
  <c r="CL121" i="7" s="1"/>
  <c r="CL114" i="7"/>
  <c r="CL115" i="7" s="1"/>
  <c r="CL101" i="7"/>
  <c r="CL89" i="7"/>
  <c r="CL77" i="7"/>
  <c r="CL78" i="7" s="1"/>
  <c r="CL79" i="7" s="1"/>
  <c r="CL80" i="7" s="1"/>
  <c r="CL30" i="7"/>
  <c r="CL34" i="7"/>
  <c r="CL40" i="7"/>
  <c r="CL41" i="7" s="1"/>
  <c r="CL63" i="7"/>
  <c r="CL64" i="7" s="1"/>
  <c r="CL20" i="7"/>
  <c r="CL21" i="7" s="1"/>
  <c r="CL22" i="7" s="1"/>
  <c r="CL23" i="7" s="1"/>
  <c r="CL719" i="7"/>
  <c r="CL720" i="7" s="1"/>
  <c r="CL713" i="7"/>
  <c r="CL709" i="7"/>
  <c r="CL701" i="7"/>
  <c r="CL695" i="7"/>
  <c r="CL691" i="7"/>
  <c r="CL687" i="7"/>
  <c r="CL736" i="7"/>
  <c r="CL729" i="7"/>
  <c r="CL748" i="7"/>
  <c r="CL749" i="7" s="1"/>
  <c r="CL750" i="7" s="1"/>
  <c r="CL751" i="7" s="1"/>
  <c r="CK674" i="7"/>
  <c r="CK675" i="7" s="1"/>
  <c r="CK666" i="7"/>
  <c r="CK661" i="7"/>
  <c r="CK656" i="7"/>
  <c r="CK650" i="7"/>
  <c r="CK646" i="7"/>
  <c r="CK638" i="7"/>
  <c r="CK634" i="7"/>
  <c r="CK630" i="7"/>
  <c r="CK624" i="7"/>
  <c r="CK618" i="7"/>
  <c r="CK613" i="7"/>
  <c r="CK606" i="7"/>
  <c r="CK600" i="7"/>
  <c r="CK595" i="7"/>
  <c r="CK590" i="7"/>
  <c r="CK582" i="7"/>
  <c r="CK576" i="7"/>
  <c r="CK570" i="7"/>
  <c r="CK563" i="7"/>
  <c r="CK556" i="7"/>
  <c r="CK557" i="7" s="1"/>
  <c r="CK544" i="7"/>
  <c r="CK545" i="7" s="1"/>
  <c r="CK546" i="7" s="1"/>
  <c r="CK547" i="7" s="1"/>
  <c r="CK534" i="7"/>
  <c r="CK535" i="7" s="1"/>
  <c r="CK525" i="7"/>
  <c r="CK521" i="7"/>
  <c r="CK517" i="7"/>
  <c r="CK513" i="7"/>
  <c r="CK508" i="7"/>
  <c r="CK501" i="7"/>
  <c r="CK497" i="7"/>
  <c r="CK491" i="7"/>
  <c r="CK485" i="7"/>
  <c r="CK479" i="7"/>
  <c r="CK480" i="7" s="1"/>
  <c r="CK468" i="7"/>
  <c r="CK469" i="7" s="1"/>
  <c r="CK462" i="7"/>
  <c r="CK457" i="7"/>
  <c r="CK453" i="7"/>
  <c r="CK449" i="7"/>
  <c r="CK442" i="7"/>
  <c r="CK434" i="7"/>
  <c r="CK424" i="7"/>
  <c r="CK420" i="7"/>
  <c r="CK413" i="7"/>
  <c r="CK400" i="7"/>
  <c r="CK387" i="7"/>
  <c r="CK383" i="7"/>
  <c r="CK374" i="7"/>
  <c r="CK362" i="7"/>
  <c r="CK363" i="7" s="1"/>
  <c r="CK356" i="7"/>
  <c r="CK357" i="7" s="1"/>
  <c r="CK345" i="7"/>
  <c r="CK346" i="7" s="1"/>
  <c r="CK347" i="7" s="1"/>
  <c r="CK333" i="7"/>
  <c r="CK327" i="7"/>
  <c r="CK320" i="7"/>
  <c r="CK311" i="7"/>
  <c r="CK300" i="7"/>
  <c r="CK291" i="7"/>
  <c r="CK286" i="7"/>
  <c r="CK271" i="7"/>
  <c r="CK267" i="7"/>
  <c r="CK263" i="7"/>
  <c r="CK256" i="7"/>
  <c r="CK250" i="7"/>
  <c r="CK243" i="7"/>
  <c r="CK229" i="7"/>
  <c r="CK224" i="7"/>
  <c r="CK218" i="7"/>
  <c r="CK214" i="7"/>
  <c r="CK210" i="7"/>
  <c r="CK197" i="7"/>
  <c r="CK193" i="7"/>
  <c r="CK185" i="7"/>
  <c r="CK186" i="7" s="1"/>
  <c r="CK177" i="7"/>
  <c r="CK172" i="7"/>
  <c r="CK162" i="7"/>
  <c r="CK157" i="7"/>
  <c r="CK151" i="7"/>
  <c r="CK134" i="7"/>
  <c r="CK142" i="7" s="1"/>
  <c r="CK120" i="7"/>
  <c r="CK121" i="7" s="1"/>
  <c r="CK114" i="7"/>
  <c r="CK115" i="7" s="1"/>
  <c r="CK101" i="7"/>
  <c r="CK89" i="7"/>
  <c r="CK77" i="7"/>
  <c r="CK78" i="7" s="1"/>
  <c r="CK79" i="7" s="1"/>
  <c r="CK80" i="7" s="1"/>
  <c r="CK30" i="7"/>
  <c r="CK34" i="7"/>
  <c r="CK40" i="7"/>
  <c r="CK41" i="7" s="1"/>
  <c r="CK63" i="7"/>
  <c r="CK64" i="7" s="1"/>
  <c r="CK20" i="7"/>
  <c r="CK21" i="7" s="1"/>
  <c r="CK22" i="7" s="1"/>
  <c r="CK23" i="7" s="1"/>
  <c r="CK713" i="7"/>
  <c r="CK709" i="7"/>
  <c r="CK701" i="7"/>
  <c r="CK695" i="7"/>
  <c r="CK691" i="7"/>
  <c r="CK687" i="7"/>
  <c r="CK729" i="7"/>
  <c r="CK748" i="7"/>
  <c r="CK749" i="7" s="1"/>
  <c r="CK750" i="7" s="1"/>
  <c r="CK751" i="7" s="1"/>
  <c r="CJ674" i="7"/>
  <c r="CJ675" i="7" s="1"/>
  <c r="CJ666" i="7"/>
  <c r="CJ661" i="7"/>
  <c r="CJ656" i="7"/>
  <c r="CJ650" i="7"/>
  <c r="CJ646" i="7"/>
  <c r="CJ638" i="7"/>
  <c r="CJ639" i="7" s="1"/>
  <c r="CJ624" i="7"/>
  <c r="CJ618" i="7"/>
  <c r="CJ613" i="7"/>
  <c r="CJ606" i="7"/>
  <c r="CJ600" i="7"/>
  <c r="CJ595" i="7"/>
  <c r="CJ590" i="7"/>
  <c r="CJ582" i="7"/>
  <c r="CJ576" i="7"/>
  <c r="CJ570" i="7"/>
  <c r="CJ563" i="7"/>
  <c r="CJ556" i="7"/>
  <c r="CJ557" i="7" s="1"/>
  <c r="CJ544" i="7"/>
  <c r="CJ545" i="7" s="1"/>
  <c r="CJ546" i="7" s="1"/>
  <c r="CJ547" i="7" s="1"/>
  <c r="CJ534" i="7"/>
  <c r="CJ535" i="7" s="1"/>
  <c r="CJ525" i="7"/>
  <c r="CJ521" i="7"/>
  <c r="CJ517" i="7"/>
  <c r="CJ513" i="7"/>
  <c r="CJ501" i="7"/>
  <c r="CJ497" i="7"/>
  <c r="CJ491" i="7"/>
  <c r="CJ485" i="7"/>
  <c r="CJ479" i="7"/>
  <c r="CJ480" i="7" s="1"/>
  <c r="CJ468" i="7"/>
  <c r="CJ469" i="7" s="1"/>
  <c r="CJ462" i="7"/>
  <c r="CJ457" i="7"/>
  <c r="CJ453" i="7"/>
  <c r="CJ449" i="7"/>
  <c r="CJ442" i="7"/>
  <c r="CJ434" i="7"/>
  <c r="CJ424" i="7"/>
  <c r="CJ420" i="7"/>
  <c r="CJ413" i="7"/>
  <c r="CJ400" i="7"/>
  <c r="CJ387" i="7"/>
  <c r="CJ383" i="7"/>
  <c r="CJ374" i="7"/>
  <c r="CJ362" i="7"/>
  <c r="CJ363" i="7" s="1"/>
  <c r="CJ356" i="7"/>
  <c r="CJ357" i="7" s="1"/>
  <c r="CJ345" i="7"/>
  <c r="CJ346" i="7" s="1"/>
  <c r="CJ347" i="7" s="1"/>
  <c r="CJ333" i="7"/>
  <c r="CJ327" i="7"/>
  <c r="CJ320" i="7"/>
  <c r="CJ311" i="7"/>
  <c r="CJ300" i="7"/>
  <c r="CJ291" i="7"/>
  <c r="CJ286" i="7"/>
  <c r="CJ271" i="7"/>
  <c r="CJ267" i="7"/>
  <c r="CJ263" i="7"/>
  <c r="CJ256" i="7"/>
  <c r="CJ250" i="7"/>
  <c r="CJ243" i="7"/>
  <c r="CJ229" i="7"/>
  <c r="CJ224" i="7"/>
  <c r="CJ218" i="7"/>
  <c r="CJ214" i="7"/>
  <c r="CJ210" i="7"/>
  <c r="CJ197" i="7"/>
  <c r="CJ193" i="7"/>
  <c r="CJ185" i="7"/>
  <c r="CJ186" i="7" s="1"/>
  <c r="CJ177" i="7"/>
  <c r="CJ172" i="7"/>
  <c r="CJ162" i="7"/>
  <c r="CJ157" i="7"/>
  <c r="CJ151" i="7"/>
  <c r="CJ134" i="7"/>
  <c r="CJ142" i="7" s="1"/>
  <c r="CJ120" i="7"/>
  <c r="CJ121" i="7" s="1"/>
  <c r="CJ114" i="7"/>
  <c r="CJ115" i="7" s="1"/>
  <c r="CJ101" i="7"/>
  <c r="CJ89" i="7"/>
  <c r="CJ77" i="7"/>
  <c r="CJ78" i="7" s="1"/>
  <c r="CJ79" i="7" s="1"/>
  <c r="CJ80" i="7" s="1"/>
  <c r="CJ30" i="7"/>
  <c r="CJ34" i="7"/>
  <c r="CJ40" i="7"/>
  <c r="CJ41" i="7" s="1"/>
  <c r="CJ63" i="7"/>
  <c r="CJ64" i="7" s="1"/>
  <c r="CJ20" i="7"/>
  <c r="CJ21" i="7" s="1"/>
  <c r="CJ22" i="7" s="1"/>
  <c r="CJ23" i="7" s="1"/>
  <c r="CJ719" i="7"/>
  <c r="CJ720" i="7" s="1"/>
  <c r="CJ713" i="7"/>
  <c r="CJ709" i="7"/>
  <c r="CJ701" i="7"/>
  <c r="CJ695" i="7"/>
  <c r="CJ691" i="7"/>
  <c r="CJ687" i="7"/>
  <c r="CJ736" i="7"/>
  <c r="CJ729" i="7"/>
  <c r="CI674" i="7"/>
  <c r="CI675" i="7" s="1"/>
  <c r="CI666" i="7"/>
  <c r="CI661" i="7"/>
  <c r="CI656" i="7"/>
  <c r="CI650" i="7"/>
  <c r="CI646" i="7"/>
  <c r="CI638" i="7"/>
  <c r="CI639" i="7" s="1"/>
  <c r="CI624" i="7"/>
  <c r="CI618" i="7"/>
  <c r="CI613" i="7"/>
  <c r="CI606" i="7"/>
  <c r="CI600" i="7"/>
  <c r="CI595" i="7"/>
  <c r="CI590" i="7"/>
  <c r="CI582" i="7"/>
  <c r="CI576" i="7"/>
  <c r="CI570" i="7"/>
  <c r="CI563" i="7"/>
  <c r="CI556" i="7"/>
  <c r="CI557" i="7" s="1"/>
  <c r="CI544" i="7"/>
  <c r="CI545" i="7" s="1"/>
  <c r="CI546" i="7" s="1"/>
  <c r="CI547" i="7" s="1"/>
  <c r="CI534" i="7"/>
  <c r="CI535" i="7" s="1"/>
  <c r="CI525" i="7"/>
  <c r="CI521" i="7"/>
  <c r="CI517" i="7"/>
  <c r="CI513" i="7"/>
  <c r="CI501" i="7"/>
  <c r="CI497" i="7"/>
  <c r="CI491" i="7"/>
  <c r="CI485" i="7"/>
  <c r="CI479" i="7"/>
  <c r="CI480" i="7" s="1"/>
  <c r="CI468" i="7"/>
  <c r="CI469" i="7" s="1"/>
  <c r="CI462" i="7"/>
  <c r="CI457" i="7"/>
  <c r="CI453" i="7"/>
  <c r="CI449" i="7"/>
  <c r="CI442" i="7"/>
  <c r="CI434" i="7"/>
  <c r="CI424" i="7"/>
  <c r="CI420" i="7"/>
  <c r="CI413" i="7"/>
  <c r="CI400" i="7"/>
  <c r="CI387" i="7"/>
  <c r="CI383" i="7"/>
  <c r="CI374" i="7"/>
  <c r="CI362" i="7"/>
  <c r="CI363" i="7" s="1"/>
  <c r="CI356" i="7"/>
  <c r="CI357" i="7" s="1"/>
  <c r="CI345" i="7"/>
  <c r="CI346" i="7" s="1"/>
  <c r="CI347" i="7" s="1"/>
  <c r="CI333" i="7"/>
  <c r="CI327" i="7"/>
  <c r="CI320" i="7"/>
  <c r="CI311" i="7"/>
  <c r="CI300" i="7"/>
  <c r="CI291" i="7"/>
  <c r="CI286" i="7"/>
  <c r="CI271" i="7"/>
  <c r="CI267" i="7"/>
  <c r="CI263" i="7"/>
  <c r="CI256" i="7"/>
  <c r="CI250" i="7"/>
  <c r="CI243" i="7"/>
  <c r="CI229" i="7"/>
  <c r="CI224" i="7"/>
  <c r="CI218" i="7"/>
  <c r="CI214" i="7"/>
  <c r="CI210" i="7"/>
  <c r="CI197" i="7"/>
  <c r="CI193" i="7"/>
  <c r="CI185" i="7"/>
  <c r="CI186" i="7" s="1"/>
  <c r="CI177" i="7"/>
  <c r="CI172" i="7"/>
  <c r="CI162" i="7"/>
  <c r="CI157" i="7"/>
  <c r="CI151" i="7"/>
  <c r="CI134" i="7"/>
  <c r="CI142" i="7" s="1"/>
  <c r="CI120" i="7"/>
  <c r="CI121" i="7" s="1"/>
  <c r="CI114" i="7"/>
  <c r="CI115" i="7" s="1"/>
  <c r="CI101" i="7"/>
  <c r="CI89" i="7"/>
  <c r="CI77" i="7"/>
  <c r="CI78" i="7" s="1"/>
  <c r="CI79" i="7" s="1"/>
  <c r="CI80" i="7" s="1"/>
  <c r="CI30" i="7"/>
  <c r="CI34" i="7"/>
  <c r="CI40" i="7"/>
  <c r="CI41" i="7" s="1"/>
  <c r="CI63" i="7"/>
  <c r="CI64" i="7" s="1"/>
  <c r="CI20" i="7"/>
  <c r="CI21" i="7" s="1"/>
  <c r="CI22" i="7" s="1"/>
  <c r="CI23" i="7" s="1"/>
  <c r="CI719" i="7"/>
  <c r="CI720" i="7" s="1"/>
  <c r="CI713" i="7"/>
  <c r="CI709" i="7"/>
  <c r="CI701" i="7"/>
  <c r="CI695" i="7"/>
  <c r="CI691" i="7"/>
  <c r="CI687" i="7"/>
  <c r="CI736" i="7"/>
  <c r="CI729" i="7"/>
  <c r="CH674" i="7"/>
  <c r="CH675" i="7" s="1"/>
  <c r="CH666" i="7"/>
  <c r="CH661" i="7"/>
  <c r="CH656" i="7"/>
  <c r="CH650" i="7"/>
  <c r="CH646" i="7"/>
  <c r="CH638" i="7"/>
  <c r="CH634" i="7"/>
  <c r="CH624" i="7"/>
  <c r="CH618" i="7"/>
  <c r="CH613" i="7"/>
  <c r="CH606" i="7"/>
  <c r="CH600" i="7"/>
  <c r="CH595" i="7"/>
  <c r="CH590" i="7"/>
  <c r="CH582" i="7"/>
  <c r="CH576" i="7"/>
  <c r="CH570" i="7"/>
  <c r="CH563" i="7"/>
  <c r="CH556" i="7"/>
  <c r="CH557" i="7" s="1"/>
  <c r="CH544" i="7"/>
  <c r="CH545" i="7" s="1"/>
  <c r="CH546" i="7" s="1"/>
  <c r="CH547" i="7" s="1"/>
  <c r="CH534" i="7"/>
  <c r="CH535" i="7" s="1"/>
  <c r="CH525" i="7"/>
  <c r="CH521" i="7"/>
  <c r="CH517" i="7"/>
  <c r="CH513" i="7"/>
  <c r="CH508" i="7"/>
  <c r="CH501" i="7"/>
  <c r="CH497" i="7"/>
  <c r="CH491" i="7"/>
  <c r="CH485" i="7"/>
  <c r="CH479" i="7"/>
  <c r="CH480" i="7" s="1"/>
  <c r="CH468" i="7"/>
  <c r="CH469" i="7" s="1"/>
  <c r="CH462" i="7"/>
  <c r="CH457" i="7"/>
  <c r="CH453" i="7"/>
  <c r="CH449" i="7"/>
  <c r="CH442" i="7"/>
  <c r="CH434" i="7"/>
  <c r="CH424" i="7"/>
  <c r="CH420" i="7"/>
  <c r="CH413" i="7"/>
  <c r="CH400" i="7"/>
  <c r="CH387" i="7"/>
  <c r="CH383" i="7"/>
  <c r="CH374" i="7"/>
  <c r="CH362" i="7"/>
  <c r="CH363" i="7" s="1"/>
  <c r="CH356" i="7"/>
  <c r="CH357" i="7" s="1"/>
  <c r="CH345" i="7"/>
  <c r="CH346" i="7" s="1"/>
  <c r="CH347" i="7" s="1"/>
  <c r="CH333" i="7"/>
  <c r="CH327" i="7"/>
  <c r="CH320" i="7"/>
  <c r="CH311" i="7"/>
  <c r="CH300" i="7"/>
  <c r="CH291" i="7"/>
  <c r="CH286" i="7"/>
  <c r="CH271" i="7"/>
  <c r="CH267" i="7"/>
  <c r="CH263" i="7"/>
  <c r="CH256" i="7"/>
  <c r="CH250" i="7"/>
  <c r="CH243" i="7"/>
  <c r="CH229" i="7"/>
  <c r="CH224" i="7"/>
  <c r="CH218" i="7"/>
  <c r="CH214" i="7"/>
  <c r="CH210" i="7"/>
  <c r="CH197" i="7"/>
  <c r="CH193" i="7"/>
  <c r="CH185" i="7"/>
  <c r="CH186" i="7" s="1"/>
  <c r="CH177" i="7"/>
  <c r="CH172" i="7"/>
  <c r="CH162" i="7"/>
  <c r="CH157" i="7"/>
  <c r="CH151" i="7"/>
  <c r="CH134" i="7"/>
  <c r="CH142" i="7" s="1"/>
  <c r="CH120" i="7"/>
  <c r="CH121" i="7" s="1"/>
  <c r="CH114" i="7"/>
  <c r="CH115" i="7" s="1"/>
  <c r="CH101" i="7"/>
  <c r="CH89" i="7"/>
  <c r="CH77" i="7"/>
  <c r="CH78" i="7" s="1"/>
  <c r="CH79" i="7" s="1"/>
  <c r="CH80" i="7" s="1"/>
  <c r="CH30" i="7"/>
  <c r="CH34" i="7"/>
  <c r="CH40" i="7"/>
  <c r="CH41" i="7" s="1"/>
  <c r="CH63" i="7"/>
  <c r="CH64" i="7" s="1"/>
  <c r="CH20" i="7"/>
  <c r="CH21" i="7" s="1"/>
  <c r="CH22" i="7" s="1"/>
  <c r="CH23" i="7" s="1"/>
  <c r="CH719" i="7"/>
  <c r="CH720" i="7" s="1"/>
  <c r="CH713" i="7"/>
  <c r="CH709" i="7"/>
  <c r="CH691" i="7"/>
  <c r="CH687" i="7"/>
  <c r="CH736" i="7"/>
  <c r="CH729" i="7"/>
  <c r="CH748" i="7"/>
  <c r="CH749" i="7" s="1"/>
  <c r="CH750" i="7" s="1"/>
  <c r="CH751" i="7" s="1"/>
  <c r="CG674" i="7"/>
  <c r="CG675" i="7" s="1"/>
  <c r="CG666" i="7"/>
  <c r="CG661" i="7"/>
  <c r="CG656" i="7"/>
  <c r="CG650" i="7"/>
  <c r="CG646" i="7"/>
  <c r="CG638" i="7"/>
  <c r="CG639" i="7" s="1"/>
  <c r="CG624" i="7"/>
  <c r="CG618" i="7"/>
  <c r="CG613" i="7"/>
  <c r="CG606" i="7"/>
  <c r="CG600" i="7"/>
  <c r="CG595" i="7"/>
  <c r="CG590" i="7"/>
  <c r="CG582" i="7"/>
  <c r="CG576" i="7"/>
  <c r="CG570" i="7"/>
  <c r="CG563" i="7"/>
  <c r="CG556" i="7"/>
  <c r="CG557" i="7" s="1"/>
  <c r="CG544" i="7"/>
  <c r="CG545" i="7" s="1"/>
  <c r="CG546" i="7" s="1"/>
  <c r="CG547" i="7" s="1"/>
  <c r="CG534" i="7"/>
  <c r="CG535" i="7" s="1"/>
  <c r="CG525" i="7"/>
  <c r="CG521" i="7"/>
  <c r="CG517" i="7"/>
  <c r="CG513" i="7"/>
  <c r="CG508" i="7"/>
  <c r="CG501" i="7"/>
  <c r="CG497" i="7"/>
  <c r="CG491" i="7"/>
  <c r="CG485" i="7"/>
  <c r="CG479" i="7"/>
  <c r="CG480" i="7" s="1"/>
  <c r="CG468" i="7"/>
  <c r="CG469" i="7" s="1"/>
  <c r="CG462" i="7"/>
  <c r="CG457" i="7"/>
  <c r="CG453" i="7"/>
  <c r="CG449" i="7"/>
  <c r="CG442" i="7"/>
  <c r="CG434" i="7"/>
  <c r="CG424" i="7"/>
  <c r="CG420" i="7"/>
  <c r="CG413" i="7"/>
  <c r="CG400" i="7"/>
  <c r="CG387" i="7"/>
  <c r="CG383" i="7"/>
  <c r="CG374" i="7"/>
  <c r="CG362" i="7"/>
  <c r="CG363" i="7" s="1"/>
  <c r="CG356" i="7"/>
  <c r="CG357" i="7" s="1"/>
  <c r="CG345" i="7"/>
  <c r="CG346" i="7" s="1"/>
  <c r="CG347" i="7" s="1"/>
  <c r="CG333" i="7"/>
  <c r="CG327" i="7"/>
  <c r="CG320" i="7"/>
  <c r="CG311" i="7"/>
  <c r="CG300" i="7"/>
  <c r="CG291" i="7"/>
  <c r="CG286" i="7"/>
  <c r="CG271" i="7"/>
  <c r="CG267" i="7"/>
  <c r="CG263" i="7"/>
  <c r="CG256" i="7"/>
  <c r="CG250" i="7"/>
  <c r="CG243" i="7"/>
  <c r="CG229" i="7"/>
  <c r="CG224" i="7"/>
  <c r="CG218" i="7"/>
  <c r="CG214" i="7"/>
  <c r="CG210" i="7"/>
  <c r="CG197" i="7"/>
  <c r="CG193" i="7"/>
  <c r="CG185" i="7"/>
  <c r="CG186" i="7" s="1"/>
  <c r="CG177" i="7"/>
  <c r="CG172" i="7"/>
  <c r="CG162" i="7"/>
  <c r="CG157" i="7"/>
  <c r="CG151" i="7"/>
  <c r="CG120" i="7"/>
  <c r="CG121" i="7" s="1"/>
  <c r="CG114" i="7"/>
  <c r="CG115" i="7" s="1"/>
  <c r="CG101" i="7"/>
  <c r="CG89" i="7"/>
  <c r="CG77" i="7"/>
  <c r="CG78" i="7" s="1"/>
  <c r="CG79" i="7" s="1"/>
  <c r="CG80" i="7" s="1"/>
  <c r="CG30" i="7"/>
  <c r="CG34" i="7"/>
  <c r="CG40" i="7"/>
  <c r="CG41" i="7" s="1"/>
  <c r="CG63" i="7"/>
  <c r="CG64" i="7" s="1"/>
  <c r="CG20" i="7"/>
  <c r="CG21" i="7" s="1"/>
  <c r="CG22" i="7" s="1"/>
  <c r="CG23" i="7" s="1"/>
  <c r="CG719" i="7"/>
  <c r="CG720" i="7" s="1"/>
  <c r="CG713" i="7"/>
  <c r="CG709" i="7"/>
  <c r="CG701" i="7"/>
  <c r="CG695" i="7"/>
  <c r="CG691" i="7"/>
  <c r="CG687" i="7"/>
  <c r="CG736" i="7"/>
  <c r="CG729" i="7"/>
  <c r="CF674" i="7"/>
  <c r="CF675" i="7" s="1"/>
  <c r="CF666" i="7"/>
  <c r="CF661" i="7"/>
  <c r="CF656" i="7"/>
  <c r="CF650" i="7"/>
  <c r="CF646" i="7"/>
  <c r="CF638" i="7"/>
  <c r="CF639" i="7" s="1"/>
  <c r="CF624" i="7"/>
  <c r="CF618" i="7"/>
  <c r="CF613" i="7"/>
  <c r="CF606" i="7"/>
  <c r="CF600" i="7"/>
  <c r="CF595" i="7"/>
  <c r="CF590" i="7"/>
  <c r="CF582" i="7"/>
  <c r="CF576" i="7"/>
  <c r="CF570" i="7"/>
  <c r="CF563" i="7"/>
  <c r="CF556" i="7"/>
  <c r="CF557" i="7" s="1"/>
  <c r="CF544" i="7"/>
  <c r="CF545" i="7" s="1"/>
  <c r="CF546" i="7" s="1"/>
  <c r="CF547" i="7" s="1"/>
  <c r="CF534" i="7"/>
  <c r="CF535" i="7" s="1"/>
  <c r="CF525" i="7"/>
  <c r="CF521" i="7"/>
  <c r="CF517" i="7"/>
  <c r="CF513" i="7"/>
  <c r="CF508" i="7"/>
  <c r="CF501" i="7"/>
  <c r="CF497" i="7"/>
  <c r="CF491" i="7"/>
  <c r="CF485" i="7"/>
  <c r="CF479" i="7"/>
  <c r="CF480" i="7" s="1"/>
  <c r="CF468" i="7"/>
  <c r="CF469" i="7" s="1"/>
  <c r="CF462" i="7"/>
  <c r="CF457" i="7"/>
  <c r="CF453" i="7"/>
  <c r="CF449" i="7"/>
  <c r="CF442" i="7"/>
  <c r="CF434" i="7"/>
  <c r="CF424" i="7"/>
  <c r="CF420" i="7"/>
  <c r="CF413" i="7"/>
  <c r="CF400" i="7"/>
  <c r="CF387" i="7"/>
  <c r="CF383" i="7"/>
  <c r="CF374" i="7"/>
  <c r="CF362" i="7"/>
  <c r="CF363" i="7" s="1"/>
  <c r="CF356" i="7"/>
  <c r="CF357" i="7" s="1"/>
  <c r="CF333" i="7"/>
  <c r="CF327" i="7"/>
  <c r="CF320" i="7"/>
  <c r="CF311" i="7"/>
  <c r="CF300" i="7"/>
  <c r="CF291" i="7"/>
  <c r="CF286" i="7"/>
  <c r="CF271" i="7"/>
  <c r="CF267" i="7"/>
  <c r="CF263" i="7"/>
  <c r="CF250" i="7"/>
  <c r="CF243" i="7"/>
  <c r="CF229" i="7"/>
  <c r="CF224" i="7"/>
  <c r="CF218" i="7"/>
  <c r="CF214" i="7"/>
  <c r="CF210" i="7"/>
  <c r="CF197" i="7"/>
  <c r="CF193" i="7"/>
  <c r="CF185" i="7"/>
  <c r="CF186" i="7" s="1"/>
  <c r="CF177" i="7"/>
  <c r="CF172" i="7"/>
  <c r="CF162" i="7"/>
  <c r="CF157" i="7"/>
  <c r="CF151" i="7"/>
  <c r="CF120" i="7"/>
  <c r="CF121" i="7" s="1"/>
  <c r="CF114" i="7"/>
  <c r="CF115" i="7" s="1"/>
  <c r="CF101" i="7"/>
  <c r="CF89" i="7"/>
  <c r="CF77" i="7"/>
  <c r="CF78" i="7" s="1"/>
  <c r="CF79" i="7" s="1"/>
  <c r="CF80" i="7" s="1"/>
  <c r="CF30" i="7"/>
  <c r="CF34" i="7"/>
  <c r="CF40" i="7"/>
  <c r="CF41" i="7" s="1"/>
  <c r="CF63" i="7"/>
  <c r="CF64" i="7" s="1"/>
  <c r="CF20" i="7"/>
  <c r="CF21" i="7" s="1"/>
  <c r="CF22" i="7" s="1"/>
  <c r="CF23" i="7" s="1"/>
  <c r="CF719" i="7"/>
  <c r="CF720" i="7" s="1"/>
  <c r="CF713" i="7"/>
  <c r="CF709" i="7"/>
  <c r="CF701" i="7"/>
  <c r="CF695" i="7"/>
  <c r="CF691" i="7"/>
  <c r="CF687" i="7"/>
  <c r="CF736" i="7"/>
  <c r="CF729" i="7"/>
  <c r="CE674" i="7"/>
  <c r="CE675" i="7" s="1"/>
  <c r="CE666" i="7"/>
  <c r="CE661" i="7"/>
  <c r="CE650" i="7"/>
  <c r="CE646" i="7"/>
  <c r="CE638" i="7"/>
  <c r="CE634" i="7"/>
  <c r="CE630" i="7"/>
  <c r="CE624" i="7"/>
  <c r="CE618" i="7"/>
  <c r="CE613" i="7"/>
  <c r="CE606" i="7"/>
  <c r="CE600" i="7"/>
  <c r="CE595" i="7"/>
  <c r="CE590" i="7"/>
  <c r="CE582" i="7"/>
  <c r="CE576" i="7"/>
  <c r="CE570" i="7"/>
  <c r="CE563" i="7"/>
  <c r="CE556" i="7"/>
  <c r="CE557" i="7" s="1"/>
  <c r="CE544" i="7"/>
  <c r="CE545" i="7" s="1"/>
  <c r="CE546" i="7" s="1"/>
  <c r="CE547" i="7" s="1"/>
  <c r="CE534" i="7"/>
  <c r="CE535" i="7" s="1"/>
  <c r="CE521" i="7"/>
  <c r="CE501" i="7"/>
  <c r="CE491" i="7"/>
  <c r="CE468" i="7"/>
  <c r="CE469" i="7" s="1"/>
  <c r="CE462" i="7"/>
  <c r="CE457" i="7"/>
  <c r="CE453" i="7"/>
  <c r="CE449" i="7"/>
  <c r="CE442" i="7"/>
  <c r="CE434" i="7"/>
  <c r="CE424" i="7"/>
  <c r="CE400" i="7"/>
  <c r="CE387" i="7"/>
  <c r="CE383" i="7"/>
  <c r="CE374" i="7"/>
  <c r="CE362" i="7"/>
  <c r="CE363" i="7" s="1"/>
  <c r="CE271" i="7"/>
  <c r="CE224" i="7"/>
  <c r="CE218" i="7"/>
  <c r="CE214" i="7"/>
  <c r="CE185" i="7"/>
  <c r="CE186" i="7" s="1"/>
  <c r="CE177" i="7"/>
  <c r="CE172" i="7"/>
  <c r="CE162" i="7"/>
  <c r="CE157" i="7"/>
  <c r="CE120" i="7"/>
  <c r="CE121" i="7" s="1"/>
  <c r="CE114" i="7"/>
  <c r="CE115" i="7" s="1"/>
  <c r="CE101" i="7"/>
  <c r="CE89" i="7"/>
  <c r="CE30" i="7"/>
  <c r="CE34" i="7"/>
  <c r="CE40" i="7"/>
  <c r="CE41" i="7" s="1"/>
  <c r="CE719" i="7"/>
  <c r="CE720" i="7" s="1"/>
  <c r="CE713" i="7"/>
  <c r="CE691" i="7"/>
  <c r="CE736" i="7"/>
  <c r="CE729" i="7"/>
  <c r="CE748" i="7"/>
  <c r="CE749" i="7" s="1"/>
  <c r="CE750" i="7" s="1"/>
  <c r="CE751" i="7" s="1"/>
  <c r="CD674" i="7"/>
  <c r="CD675" i="7" s="1"/>
  <c r="CD666" i="7"/>
  <c r="CD661" i="7"/>
  <c r="CD656" i="7"/>
  <c r="CD650" i="7"/>
  <c r="CD646" i="7"/>
  <c r="CD638" i="7"/>
  <c r="CD639" i="7" s="1"/>
  <c r="CD624" i="7"/>
  <c r="CD618" i="7"/>
  <c r="CD613" i="7"/>
  <c r="CD606" i="7"/>
  <c r="CD600" i="7"/>
  <c r="CD595" i="7"/>
  <c r="CD590" i="7"/>
  <c r="CD582" i="7"/>
  <c r="CD576" i="7"/>
  <c r="CD570" i="7"/>
  <c r="CD563" i="7"/>
  <c r="CD556" i="7"/>
  <c r="CD557" i="7" s="1"/>
  <c r="CD544" i="7"/>
  <c r="CD545" i="7" s="1"/>
  <c r="CD546" i="7" s="1"/>
  <c r="CD547" i="7" s="1"/>
  <c r="CD534" i="7"/>
  <c r="CD535" i="7" s="1"/>
  <c r="CD525" i="7"/>
  <c r="CD521" i="7"/>
  <c r="CD517" i="7"/>
  <c r="CD513" i="7"/>
  <c r="CD508" i="7"/>
  <c r="CD501" i="7"/>
  <c r="CD497" i="7"/>
  <c r="CD491" i="7"/>
  <c r="CD485" i="7"/>
  <c r="CD479" i="7"/>
  <c r="CD480" i="7" s="1"/>
  <c r="CD468" i="7"/>
  <c r="CD469" i="7" s="1"/>
  <c r="CD462" i="7"/>
  <c r="CD457" i="7"/>
  <c r="CD453" i="7"/>
  <c r="CD449" i="7"/>
  <c r="CD442" i="7"/>
  <c r="CD434" i="7"/>
  <c r="CD424" i="7"/>
  <c r="CD420" i="7"/>
  <c r="CD413" i="7"/>
  <c r="CD400" i="7"/>
  <c r="CD387" i="7"/>
  <c r="CD383" i="7"/>
  <c r="CD374" i="7"/>
  <c r="CD362" i="7"/>
  <c r="CD363" i="7" s="1"/>
  <c r="CD356" i="7"/>
  <c r="CD357" i="7" s="1"/>
  <c r="CD345" i="7"/>
  <c r="CD346" i="7" s="1"/>
  <c r="CD347" i="7" s="1"/>
  <c r="CD333" i="7"/>
  <c r="CD327" i="7"/>
  <c r="CD320" i="7"/>
  <c r="CD311" i="7"/>
  <c r="CD300" i="7"/>
  <c r="CD291" i="7"/>
  <c r="CD286" i="7"/>
  <c r="CD271" i="7"/>
  <c r="CD267" i="7"/>
  <c r="CD263" i="7"/>
  <c r="CD256" i="7"/>
  <c r="CD250" i="7"/>
  <c r="CD243" i="7"/>
  <c r="CD229" i="7"/>
  <c r="CD224" i="7"/>
  <c r="CD218" i="7"/>
  <c r="CD214" i="7"/>
  <c r="CD210" i="7"/>
  <c r="CD197" i="7"/>
  <c r="CD193" i="7"/>
  <c r="CD185" i="7"/>
  <c r="CD186" i="7" s="1"/>
  <c r="CD177" i="7"/>
  <c r="CD172" i="7"/>
  <c r="CD162" i="7"/>
  <c r="CD157" i="7"/>
  <c r="CD151" i="7"/>
  <c r="CD134" i="7"/>
  <c r="CD142" i="7" s="1"/>
  <c r="CD120" i="7"/>
  <c r="CD121" i="7" s="1"/>
  <c r="CD114" i="7"/>
  <c r="CD115" i="7" s="1"/>
  <c r="CD101" i="7"/>
  <c r="CD89" i="7"/>
  <c r="CD77" i="7"/>
  <c r="CD78" i="7" s="1"/>
  <c r="CD79" i="7" s="1"/>
  <c r="CD80" i="7" s="1"/>
  <c r="CD30" i="7"/>
  <c r="CD34" i="7"/>
  <c r="CD40" i="7"/>
  <c r="CD41" i="7" s="1"/>
  <c r="CD63" i="7"/>
  <c r="CD64" i="7" s="1"/>
  <c r="CD20" i="7"/>
  <c r="CD21" i="7" s="1"/>
  <c r="CD22" i="7" s="1"/>
  <c r="CD23" i="7" s="1"/>
  <c r="CD719" i="7"/>
  <c r="CD720" i="7" s="1"/>
  <c r="CD713" i="7"/>
  <c r="CD709" i="7"/>
  <c r="CD701" i="7"/>
  <c r="CD695" i="7"/>
  <c r="CD691" i="7"/>
  <c r="CD687" i="7"/>
  <c r="CD736" i="7"/>
  <c r="CD729" i="7"/>
  <c r="CC674" i="7"/>
  <c r="CC675" i="7" s="1"/>
  <c r="CC666" i="7"/>
  <c r="CC661" i="7"/>
  <c r="CC656" i="7"/>
  <c r="CC650" i="7"/>
  <c r="CC646" i="7"/>
  <c r="CC638" i="7"/>
  <c r="CC639" i="7" s="1"/>
  <c r="CC624" i="7"/>
  <c r="CC618" i="7"/>
  <c r="CC613" i="7"/>
  <c r="CC606" i="7"/>
  <c r="CC600" i="7"/>
  <c r="CC595" i="7"/>
  <c r="CC590" i="7"/>
  <c r="CC582" i="7"/>
  <c r="CC576" i="7"/>
  <c r="CC570" i="7"/>
  <c r="CC563" i="7"/>
  <c r="CC556" i="7"/>
  <c r="CC557" i="7" s="1"/>
  <c r="CC544" i="7"/>
  <c r="CC545" i="7" s="1"/>
  <c r="CC546" i="7" s="1"/>
  <c r="CC547" i="7" s="1"/>
  <c r="CC534" i="7"/>
  <c r="CC535" i="7" s="1"/>
  <c r="CC525" i="7"/>
  <c r="CC521" i="7"/>
  <c r="CC517" i="7"/>
  <c r="CC513" i="7"/>
  <c r="CC508" i="7"/>
  <c r="CC501" i="7"/>
  <c r="CC497" i="7"/>
  <c r="CC491" i="7"/>
  <c r="CC485" i="7"/>
  <c r="CC479" i="7"/>
  <c r="CC480" i="7" s="1"/>
  <c r="CC468" i="7"/>
  <c r="CC469" i="7" s="1"/>
  <c r="CC462" i="7"/>
  <c r="CC457" i="7"/>
  <c r="CC453" i="7"/>
  <c r="CC449" i="7"/>
  <c r="CC442" i="7"/>
  <c r="CC434" i="7"/>
  <c r="CC424" i="7"/>
  <c r="CC420" i="7"/>
  <c r="CC413" i="7"/>
  <c r="CC400" i="7"/>
  <c r="CC387" i="7"/>
  <c r="CC383" i="7"/>
  <c r="CC374" i="7"/>
  <c r="CC362" i="7"/>
  <c r="CC363" i="7" s="1"/>
  <c r="CC356" i="7"/>
  <c r="CC357" i="7" s="1"/>
  <c r="CC345" i="7"/>
  <c r="CC346" i="7" s="1"/>
  <c r="CC347" i="7" s="1"/>
  <c r="CC333" i="7"/>
  <c r="CC327" i="7"/>
  <c r="CC320" i="7"/>
  <c r="CC311" i="7"/>
  <c r="CC300" i="7"/>
  <c r="CC291" i="7"/>
  <c r="CC286" i="7"/>
  <c r="CC271" i="7"/>
  <c r="CC267" i="7"/>
  <c r="CC263" i="7"/>
  <c r="CC256" i="7"/>
  <c r="CC250" i="7"/>
  <c r="CC243" i="7"/>
  <c r="CC229" i="7"/>
  <c r="CC224" i="7"/>
  <c r="CC218" i="7"/>
  <c r="CC214" i="7"/>
  <c r="CC210" i="7"/>
  <c r="CC197" i="7"/>
  <c r="CC193" i="7"/>
  <c r="CC185" i="7"/>
  <c r="CC186" i="7" s="1"/>
  <c r="CC177" i="7"/>
  <c r="CC172" i="7"/>
  <c r="CC162" i="7"/>
  <c r="CC157" i="7"/>
  <c r="CC151" i="7"/>
  <c r="CC134" i="7"/>
  <c r="CC142" i="7" s="1"/>
  <c r="CC120" i="7"/>
  <c r="CC121" i="7"/>
  <c r="CC114" i="7"/>
  <c r="CC115" i="7" s="1"/>
  <c r="CC101" i="7"/>
  <c r="CC89" i="7"/>
  <c r="CC77" i="7"/>
  <c r="CC78" i="7" s="1"/>
  <c r="CC79" i="7" s="1"/>
  <c r="CC80" i="7" s="1"/>
  <c r="CC30" i="7"/>
  <c r="CC34" i="7"/>
  <c r="CC40" i="7"/>
  <c r="CC41" i="7" s="1"/>
  <c r="CC63" i="7"/>
  <c r="CC64" i="7" s="1"/>
  <c r="CC20" i="7"/>
  <c r="CC21" i="7" s="1"/>
  <c r="CC22" i="7" s="1"/>
  <c r="CC23" i="7" s="1"/>
  <c r="CC719" i="7"/>
  <c r="CC720" i="7" s="1"/>
  <c r="CC713" i="7"/>
  <c r="CC709" i="7"/>
  <c r="CC701" i="7"/>
  <c r="CC695" i="7"/>
  <c r="CC691" i="7"/>
  <c r="CC687" i="7"/>
  <c r="CC736" i="7"/>
  <c r="CC729" i="7"/>
  <c r="CB674" i="7"/>
  <c r="CB675" i="7" s="1"/>
  <c r="CB666" i="7"/>
  <c r="CB661" i="7"/>
  <c r="CB656" i="7"/>
  <c r="CB650" i="7"/>
  <c r="CB646" i="7"/>
  <c r="CB638" i="7"/>
  <c r="CB634" i="7"/>
  <c r="CB630" i="7"/>
  <c r="CB624" i="7"/>
  <c r="CB618" i="7"/>
  <c r="CB613" i="7"/>
  <c r="CB606" i="7"/>
  <c r="CB600" i="7"/>
  <c r="CB595" i="7"/>
  <c r="CB590" i="7"/>
  <c r="CB582" i="7"/>
  <c r="CB576" i="7"/>
  <c r="CB570" i="7"/>
  <c r="CB563" i="7"/>
  <c r="CB556" i="7"/>
  <c r="CB557" i="7" s="1"/>
  <c r="CB544" i="7"/>
  <c r="CB545" i="7" s="1"/>
  <c r="CB546" i="7" s="1"/>
  <c r="CB547" i="7" s="1"/>
  <c r="CB534" i="7"/>
  <c r="CB535" i="7" s="1"/>
  <c r="CB525" i="7"/>
  <c r="CB521" i="7"/>
  <c r="CB517" i="7"/>
  <c r="CB513" i="7"/>
  <c r="CB508" i="7"/>
  <c r="CB501" i="7"/>
  <c r="CB497" i="7"/>
  <c r="CB491" i="7"/>
  <c r="CB485" i="7"/>
  <c r="CB479" i="7"/>
  <c r="CB480" i="7" s="1"/>
  <c r="CB468" i="7"/>
  <c r="CB469" i="7" s="1"/>
  <c r="CB462" i="7"/>
  <c r="CB457" i="7"/>
  <c r="CB453" i="7"/>
  <c r="CB449" i="7"/>
  <c r="CB442" i="7"/>
  <c r="CB434" i="7"/>
  <c r="CB424" i="7"/>
  <c r="CB420" i="7"/>
  <c r="CB413" i="7"/>
  <c r="CB400" i="7"/>
  <c r="CB387" i="7"/>
  <c r="CB383" i="7"/>
  <c r="CB374" i="7"/>
  <c r="CB362" i="7"/>
  <c r="CB363" i="7" s="1"/>
  <c r="CB356" i="7"/>
  <c r="CB357" i="7" s="1"/>
  <c r="CB345" i="7"/>
  <c r="CB346" i="7" s="1"/>
  <c r="CB347" i="7" s="1"/>
  <c r="CB333" i="7"/>
  <c r="CB327" i="7"/>
  <c r="CB320" i="7"/>
  <c r="CB311" i="7"/>
  <c r="CB300" i="7"/>
  <c r="CB291" i="7"/>
  <c r="CB286" i="7"/>
  <c r="CB271" i="7"/>
  <c r="CB267" i="7"/>
  <c r="CB263" i="7"/>
  <c r="CB256" i="7"/>
  <c r="CB250" i="7"/>
  <c r="CB243" i="7"/>
  <c r="CB229" i="7"/>
  <c r="CB224" i="7"/>
  <c r="CB218" i="7"/>
  <c r="CB214" i="7"/>
  <c r="CB210" i="7"/>
  <c r="CB197" i="7"/>
  <c r="CB193" i="7"/>
  <c r="CB185" i="7"/>
  <c r="CB186" i="7" s="1"/>
  <c r="CB177" i="7"/>
  <c r="CB172" i="7"/>
  <c r="CB162" i="7"/>
  <c r="CB157" i="7"/>
  <c r="CB151" i="7"/>
  <c r="CB134" i="7"/>
  <c r="CB142" i="7" s="1"/>
  <c r="CB120" i="7"/>
  <c r="CB121" i="7" s="1"/>
  <c r="CB101" i="7"/>
  <c r="CB89" i="7"/>
  <c r="CB77" i="7"/>
  <c r="CB78" i="7" s="1"/>
  <c r="CB79" i="7" s="1"/>
  <c r="CB80" i="7" s="1"/>
  <c r="CB30" i="7"/>
  <c r="CB34" i="7"/>
  <c r="CB40" i="7"/>
  <c r="CB41" i="7" s="1"/>
  <c r="CB63" i="7"/>
  <c r="CB64" i="7" s="1"/>
  <c r="CB20" i="7"/>
  <c r="CB21" i="7" s="1"/>
  <c r="CB22" i="7" s="1"/>
  <c r="CB23" i="7" s="1"/>
  <c r="CB719" i="7"/>
  <c r="CB720" i="7" s="1"/>
  <c r="CB713" i="7"/>
  <c r="CB709" i="7"/>
  <c r="CB701" i="7"/>
  <c r="CB695" i="7"/>
  <c r="CB691" i="7"/>
  <c r="CB687" i="7"/>
  <c r="CB736" i="7"/>
  <c r="CB729" i="7"/>
  <c r="CB748" i="7"/>
  <c r="CB749" i="7" s="1"/>
  <c r="CB750" i="7" s="1"/>
  <c r="CB751" i="7" s="1"/>
  <c r="CA674" i="7"/>
  <c r="CA675" i="7" s="1"/>
  <c r="CA666" i="7"/>
  <c r="CA661" i="7"/>
  <c r="CA656" i="7"/>
  <c r="CA650" i="7"/>
  <c r="CA646" i="7"/>
  <c r="CA638" i="7"/>
  <c r="CA639" i="7" s="1"/>
  <c r="CA624" i="7"/>
  <c r="CA618" i="7"/>
  <c r="CA613" i="7"/>
  <c r="CA606" i="7"/>
  <c r="CA600" i="7"/>
  <c r="CA595" i="7"/>
  <c r="CA590" i="7"/>
  <c r="CA582" i="7"/>
  <c r="CA576" i="7"/>
  <c r="CA570" i="7"/>
  <c r="CA563" i="7"/>
  <c r="CA556" i="7"/>
  <c r="CA557" i="7" s="1"/>
  <c r="CA544" i="7"/>
  <c r="CA545" i="7" s="1"/>
  <c r="CA546" i="7" s="1"/>
  <c r="CA547" i="7" s="1"/>
  <c r="CA534" i="7"/>
  <c r="CA535" i="7" s="1"/>
  <c r="CA525" i="7"/>
  <c r="CA521" i="7"/>
  <c r="CA517" i="7"/>
  <c r="CA513" i="7"/>
  <c r="CA508" i="7"/>
  <c r="CA501" i="7"/>
  <c r="CA497" i="7"/>
  <c r="CA491" i="7"/>
  <c r="CA485" i="7"/>
  <c r="CA479" i="7"/>
  <c r="CA480" i="7" s="1"/>
  <c r="CA468" i="7"/>
  <c r="CA469" i="7" s="1"/>
  <c r="CA462" i="7"/>
  <c r="CA457" i="7"/>
  <c r="CA453" i="7"/>
  <c r="CA449" i="7"/>
  <c r="CA442" i="7"/>
  <c r="CA434" i="7"/>
  <c r="CA424" i="7"/>
  <c r="CA420" i="7"/>
  <c r="CA413" i="7"/>
  <c r="CA400" i="7"/>
  <c r="CA387" i="7"/>
  <c r="CA383" i="7"/>
  <c r="CA374" i="7"/>
  <c r="CA362" i="7"/>
  <c r="CA363" i="7" s="1"/>
  <c r="CA356" i="7"/>
  <c r="CA357" i="7" s="1"/>
  <c r="CA345" i="7"/>
  <c r="CA346" i="7" s="1"/>
  <c r="CA347" i="7" s="1"/>
  <c r="CA333" i="7"/>
  <c r="CA327" i="7"/>
  <c r="CA320" i="7"/>
  <c r="CA311" i="7"/>
  <c r="CA300" i="7"/>
  <c r="CA291" i="7"/>
  <c r="CA286" i="7"/>
  <c r="CA271" i="7"/>
  <c r="CA267" i="7"/>
  <c r="CA263" i="7"/>
  <c r="CA256" i="7"/>
  <c r="CA250" i="7"/>
  <c r="CA243" i="7"/>
  <c r="CA229" i="7"/>
  <c r="CA224" i="7"/>
  <c r="CA218" i="7"/>
  <c r="CA214" i="7"/>
  <c r="CA210" i="7"/>
  <c r="CA197" i="7"/>
  <c r="CA193" i="7"/>
  <c r="CA185" i="7"/>
  <c r="CA186" i="7" s="1"/>
  <c r="CA177" i="7"/>
  <c r="CA172" i="7"/>
  <c r="CA162" i="7"/>
  <c r="CA157" i="7"/>
  <c r="CA151" i="7"/>
  <c r="CA134" i="7"/>
  <c r="CA142" i="7" s="1"/>
  <c r="CA120" i="7"/>
  <c r="CA121" i="7" s="1"/>
  <c r="CA114" i="7"/>
  <c r="CA115" i="7" s="1"/>
  <c r="CA101" i="7"/>
  <c r="CA89" i="7"/>
  <c r="CA77" i="7"/>
  <c r="CA78" i="7" s="1"/>
  <c r="CA79" i="7" s="1"/>
  <c r="CA80" i="7" s="1"/>
  <c r="CA30" i="7"/>
  <c r="CA34" i="7"/>
  <c r="CA40" i="7"/>
  <c r="CA41" i="7" s="1"/>
  <c r="CA63" i="7"/>
  <c r="CA64" i="7" s="1"/>
  <c r="CA20" i="7"/>
  <c r="CA21" i="7" s="1"/>
  <c r="CA22" i="7" s="1"/>
  <c r="CA23" i="7" s="1"/>
  <c r="CA719" i="7"/>
  <c r="CA720" i="7" s="1"/>
  <c r="CA713" i="7"/>
  <c r="CA709" i="7"/>
  <c r="CA701" i="7"/>
  <c r="CA695" i="7"/>
  <c r="CA691" i="7"/>
  <c r="CA687" i="7"/>
  <c r="CA736" i="7"/>
  <c r="CA729" i="7"/>
  <c r="BZ674" i="7"/>
  <c r="BZ675" i="7" s="1"/>
  <c r="BZ666" i="7"/>
  <c r="BZ661" i="7"/>
  <c r="BZ656" i="7"/>
  <c r="BZ650" i="7"/>
  <c r="BZ646" i="7"/>
  <c r="BZ638" i="7"/>
  <c r="BZ639" i="7" s="1"/>
  <c r="BZ624" i="7"/>
  <c r="BZ618" i="7"/>
  <c r="BZ613" i="7"/>
  <c r="BZ606" i="7"/>
  <c r="BZ600" i="7"/>
  <c r="BZ595" i="7"/>
  <c r="BZ590" i="7"/>
  <c r="BZ582" i="7"/>
  <c r="BZ576" i="7"/>
  <c r="BZ570" i="7"/>
  <c r="BZ563" i="7"/>
  <c r="BZ556" i="7"/>
  <c r="BZ557" i="7" s="1"/>
  <c r="BZ544" i="7"/>
  <c r="BZ545" i="7" s="1"/>
  <c r="BZ546" i="7" s="1"/>
  <c r="BZ547" i="7" s="1"/>
  <c r="BZ534" i="7"/>
  <c r="BZ535" i="7" s="1"/>
  <c r="BZ525" i="7"/>
  <c r="BZ521" i="7"/>
  <c r="BZ517" i="7"/>
  <c r="BZ513" i="7"/>
  <c r="BZ508" i="7"/>
  <c r="BZ501" i="7"/>
  <c r="BZ497" i="7"/>
  <c r="BZ491" i="7"/>
  <c r="BZ485" i="7"/>
  <c r="BZ479" i="7"/>
  <c r="BZ480" i="7" s="1"/>
  <c r="BZ468" i="7"/>
  <c r="BZ469" i="7" s="1"/>
  <c r="BZ462" i="7"/>
  <c r="BZ457" i="7"/>
  <c r="BZ453" i="7"/>
  <c r="BZ449" i="7"/>
  <c r="BZ442" i="7"/>
  <c r="BZ434" i="7"/>
  <c r="BZ424" i="7"/>
  <c r="BZ420" i="7"/>
  <c r="BZ413" i="7"/>
  <c r="BZ400" i="7"/>
  <c r="BZ387" i="7"/>
  <c r="BZ383" i="7"/>
  <c r="BZ374" i="7"/>
  <c r="BZ362" i="7"/>
  <c r="BZ363" i="7" s="1"/>
  <c r="BZ356" i="7"/>
  <c r="BZ357" i="7" s="1"/>
  <c r="BZ345" i="7"/>
  <c r="BZ346" i="7" s="1"/>
  <c r="BZ347" i="7" s="1"/>
  <c r="BZ333" i="7"/>
  <c r="BZ327" i="7"/>
  <c r="BZ320" i="7"/>
  <c r="BZ311" i="7"/>
  <c r="BZ300" i="7"/>
  <c r="BZ291" i="7"/>
  <c r="BZ286" i="7"/>
  <c r="BZ271" i="7"/>
  <c r="BZ267" i="7"/>
  <c r="BZ263" i="7"/>
  <c r="BZ256" i="7"/>
  <c r="BZ250" i="7"/>
  <c r="BZ243" i="7"/>
  <c r="BZ229" i="7"/>
  <c r="BZ224" i="7"/>
  <c r="BZ218" i="7"/>
  <c r="BZ214" i="7"/>
  <c r="BZ210" i="7"/>
  <c r="BZ197" i="7"/>
  <c r="BZ193" i="7"/>
  <c r="BZ185" i="7"/>
  <c r="BZ186" i="7" s="1"/>
  <c r="BZ177" i="7"/>
  <c r="BZ172" i="7"/>
  <c r="BZ162" i="7"/>
  <c r="BZ157" i="7"/>
  <c r="BZ151" i="7"/>
  <c r="BZ134" i="7"/>
  <c r="BZ142" i="7" s="1"/>
  <c r="BZ120" i="7"/>
  <c r="BZ121" i="7" s="1"/>
  <c r="BZ114" i="7"/>
  <c r="BZ115" i="7" s="1"/>
  <c r="BZ101" i="7"/>
  <c r="BZ89" i="7"/>
  <c r="BZ77" i="7"/>
  <c r="BZ78" i="7" s="1"/>
  <c r="BZ79" i="7" s="1"/>
  <c r="BZ80" i="7" s="1"/>
  <c r="BZ30" i="7"/>
  <c r="BZ34" i="7"/>
  <c r="BZ40" i="7"/>
  <c r="BZ41" i="7" s="1"/>
  <c r="BZ63" i="7"/>
  <c r="BZ64" i="7" s="1"/>
  <c r="BZ20" i="7"/>
  <c r="BZ21" i="7" s="1"/>
  <c r="BZ22" i="7" s="1"/>
  <c r="BZ23" i="7" s="1"/>
  <c r="BZ719" i="7"/>
  <c r="BZ720" i="7" s="1"/>
  <c r="BZ713" i="7"/>
  <c r="BZ709" i="7"/>
  <c r="BZ701" i="7"/>
  <c r="BZ695" i="7"/>
  <c r="BZ691" i="7"/>
  <c r="BZ687" i="7"/>
  <c r="BZ736" i="7"/>
  <c r="BZ729" i="7"/>
  <c r="BY674" i="7"/>
  <c r="BY675" i="7" s="1"/>
  <c r="BY666" i="7"/>
  <c r="BY661" i="7"/>
  <c r="BY656" i="7"/>
  <c r="BY650" i="7"/>
  <c r="BY646" i="7"/>
  <c r="BY638" i="7"/>
  <c r="BY634" i="7"/>
  <c r="BY630" i="7"/>
  <c r="BY624" i="7"/>
  <c r="BY618" i="7"/>
  <c r="BY613" i="7"/>
  <c r="BY606" i="7"/>
  <c r="BY600" i="7"/>
  <c r="BY595" i="7"/>
  <c r="BY590" i="7"/>
  <c r="BY582" i="7"/>
  <c r="BY576" i="7"/>
  <c r="BY570" i="7"/>
  <c r="BY563" i="7"/>
  <c r="BY556" i="7"/>
  <c r="BY557" i="7" s="1"/>
  <c r="BY544" i="7"/>
  <c r="BY545" i="7" s="1"/>
  <c r="BY546" i="7" s="1"/>
  <c r="BY547" i="7" s="1"/>
  <c r="BY534" i="7"/>
  <c r="BY535" i="7" s="1"/>
  <c r="BY525" i="7"/>
  <c r="BY521" i="7"/>
  <c r="BY517" i="7"/>
  <c r="BY513" i="7"/>
  <c r="BY508" i="7"/>
  <c r="BY501" i="7"/>
  <c r="BY497" i="7"/>
  <c r="BY491" i="7"/>
  <c r="BY485" i="7"/>
  <c r="BY479" i="7"/>
  <c r="BY480" i="7" s="1"/>
  <c r="BY468" i="7"/>
  <c r="BY469" i="7" s="1"/>
  <c r="BY462" i="7"/>
  <c r="BY457" i="7"/>
  <c r="BY453" i="7"/>
  <c r="BY449" i="7"/>
  <c r="BY442" i="7"/>
  <c r="BY434" i="7"/>
  <c r="BY424" i="7"/>
  <c r="BY420" i="7"/>
  <c r="BY413" i="7"/>
  <c r="BY400" i="7"/>
  <c r="BY387" i="7"/>
  <c r="BY383" i="7"/>
  <c r="BY374" i="7"/>
  <c r="BY362" i="7"/>
  <c r="BY363" i="7" s="1"/>
  <c r="BY356" i="7"/>
  <c r="BY357" i="7" s="1"/>
  <c r="BY345" i="7"/>
  <c r="BY346" i="7" s="1"/>
  <c r="BY347" i="7" s="1"/>
  <c r="BY333" i="7"/>
  <c r="BY327" i="7"/>
  <c r="BY320" i="7"/>
  <c r="BY311" i="7"/>
  <c r="BY300" i="7"/>
  <c r="BY291" i="7"/>
  <c r="BY286" i="7"/>
  <c r="BY271" i="7"/>
  <c r="BY267" i="7"/>
  <c r="BY263" i="7"/>
  <c r="BY256" i="7"/>
  <c r="BY250" i="7"/>
  <c r="BY243" i="7"/>
  <c r="BY229" i="7"/>
  <c r="BY224" i="7"/>
  <c r="BY218" i="7"/>
  <c r="BY214" i="7"/>
  <c r="BY210" i="7"/>
  <c r="BY197" i="7"/>
  <c r="BY193" i="7"/>
  <c r="BY185" i="7"/>
  <c r="BY186" i="7" s="1"/>
  <c r="BY177" i="7"/>
  <c r="BY172" i="7"/>
  <c r="BY162" i="7"/>
  <c r="BY157" i="7"/>
  <c r="BY151" i="7"/>
  <c r="BY134" i="7"/>
  <c r="BY142" i="7" s="1"/>
  <c r="BY120" i="7"/>
  <c r="BY121" i="7" s="1"/>
  <c r="BY114" i="7"/>
  <c r="BY115" i="7" s="1"/>
  <c r="BY101" i="7"/>
  <c r="BY89" i="7"/>
  <c r="BY77" i="7"/>
  <c r="BY78" i="7" s="1"/>
  <c r="BY79" i="7" s="1"/>
  <c r="BY80" i="7" s="1"/>
  <c r="BY30" i="7"/>
  <c r="BY34" i="7"/>
  <c r="BY40" i="7"/>
  <c r="BY41" i="7" s="1"/>
  <c r="BY63" i="7"/>
  <c r="BY64" i="7" s="1"/>
  <c r="BY20" i="7"/>
  <c r="BY21" i="7" s="1"/>
  <c r="BY22" i="7" s="1"/>
  <c r="BY23" i="7" s="1"/>
  <c r="BY719" i="7"/>
  <c r="BY720" i="7" s="1"/>
  <c r="BY713" i="7"/>
  <c r="BY709" i="7"/>
  <c r="BY701" i="7"/>
  <c r="BY695" i="7"/>
  <c r="BY691" i="7"/>
  <c r="BY687" i="7"/>
  <c r="BY736" i="7"/>
  <c r="BY729" i="7"/>
  <c r="BY748" i="7"/>
  <c r="BY749" i="7" s="1"/>
  <c r="BY750" i="7" s="1"/>
  <c r="BY751" i="7" s="1"/>
  <c r="BX674" i="7"/>
  <c r="BX675" i="7" s="1"/>
  <c r="BX666" i="7"/>
  <c r="BX661" i="7"/>
  <c r="BX656" i="7"/>
  <c r="BX650" i="7"/>
  <c r="BX646" i="7"/>
  <c r="BX638" i="7"/>
  <c r="BX639" i="7" s="1"/>
  <c r="BX624" i="7"/>
  <c r="BX618" i="7"/>
  <c r="BX613" i="7"/>
  <c r="BX606" i="7"/>
  <c r="BX600" i="7"/>
  <c r="BX595" i="7"/>
  <c r="BX590" i="7"/>
  <c r="BX582" i="7"/>
  <c r="BX576" i="7"/>
  <c r="BX570" i="7"/>
  <c r="BX563" i="7"/>
  <c r="BX556" i="7"/>
  <c r="BX557" i="7" s="1"/>
  <c r="BX544" i="7"/>
  <c r="BX545" i="7" s="1"/>
  <c r="BX546" i="7" s="1"/>
  <c r="BX547" i="7" s="1"/>
  <c r="BX534" i="7"/>
  <c r="BX535" i="7" s="1"/>
  <c r="BX525" i="7"/>
  <c r="BX521" i="7"/>
  <c r="BX517" i="7"/>
  <c r="BX513" i="7"/>
  <c r="BX508" i="7"/>
  <c r="BX501" i="7"/>
  <c r="BX497" i="7"/>
  <c r="BX491" i="7"/>
  <c r="BX485" i="7"/>
  <c r="BX479" i="7"/>
  <c r="BX480" i="7" s="1"/>
  <c r="BX468" i="7"/>
  <c r="BX469" i="7" s="1"/>
  <c r="BX462" i="7"/>
  <c r="BX457" i="7"/>
  <c r="BX453" i="7"/>
  <c r="BX449" i="7"/>
  <c r="BX442" i="7"/>
  <c r="BX434" i="7"/>
  <c r="BX424" i="7"/>
  <c r="BX420" i="7"/>
  <c r="BX413" i="7"/>
  <c r="BX400" i="7"/>
  <c r="BX387" i="7"/>
  <c r="BX383" i="7"/>
  <c r="BX374" i="7"/>
  <c r="BX362" i="7"/>
  <c r="BX363" i="7" s="1"/>
  <c r="BX356" i="7"/>
  <c r="BX357" i="7" s="1"/>
  <c r="BX345" i="7"/>
  <c r="BX346" i="7" s="1"/>
  <c r="BX347" i="7" s="1"/>
  <c r="BX333" i="7"/>
  <c r="BX327" i="7"/>
  <c r="BX320" i="7"/>
  <c r="BX311" i="7"/>
  <c r="BX300" i="7"/>
  <c r="BX291" i="7"/>
  <c r="BX286" i="7"/>
  <c r="BX271" i="7"/>
  <c r="BX267" i="7"/>
  <c r="BX263" i="7"/>
  <c r="BX256" i="7"/>
  <c r="BX250" i="7"/>
  <c r="BX243" i="7"/>
  <c r="BX229" i="7"/>
  <c r="BX224" i="7"/>
  <c r="BX230" i="7" s="1"/>
  <c r="BX218" i="7"/>
  <c r="BX214" i="7"/>
  <c r="BX210" i="7"/>
  <c r="BX197" i="7"/>
  <c r="BX193" i="7"/>
  <c r="BX185" i="7"/>
  <c r="BX186" i="7" s="1"/>
  <c r="BX177" i="7"/>
  <c r="BX172" i="7"/>
  <c r="BX162" i="7"/>
  <c r="BX157" i="7"/>
  <c r="BX151" i="7"/>
  <c r="BX134" i="7"/>
  <c r="BX142" i="7" s="1"/>
  <c r="BX120" i="7"/>
  <c r="BX121" i="7" s="1"/>
  <c r="BX114" i="7"/>
  <c r="BX115" i="7" s="1"/>
  <c r="BX101" i="7"/>
  <c r="BX89" i="7"/>
  <c r="BX102" i="7" s="1"/>
  <c r="BX103" i="7" s="1"/>
  <c r="BX77" i="7"/>
  <c r="BX78" i="7" s="1"/>
  <c r="BX79" i="7" s="1"/>
  <c r="BX80" i="7" s="1"/>
  <c r="BX30" i="7"/>
  <c r="BX34" i="7"/>
  <c r="BX40" i="7"/>
  <c r="BX41" i="7" s="1"/>
  <c r="BX63" i="7"/>
  <c r="BX64" i="7" s="1"/>
  <c r="BX20" i="7"/>
  <c r="BX21" i="7" s="1"/>
  <c r="BX22" i="7" s="1"/>
  <c r="BX23" i="7" s="1"/>
  <c r="BX719" i="7"/>
  <c r="BX720" i="7" s="1"/>
  <c r="BX713" i="7"/>
  <c r="BX709" i="7"/>
  <c r="BX701" i="7"/>
  <c r="BX695" i="7"/>
  <c r="BX691" i="7"/>
  <c r="BX687" i="7"/>
  <c r="BX736" i="7"/>
  <c r="BX729" i="7"/>
  <c r="BW674" i="7"/>
  <c r="BW675" i="7" s="1"/>
  <c r="BW666" i="7"/>
  <c r="BW661" i="7"/>
  <c r="BW656" i="7"/>
  <c r="BW650" i="7"/>
  <c r="BW646" i="7"/>
  <c r="BW638" i="7"/>
  <c r="BW639" i="7"/>
  <c r="BW624" i="7"/>
  <c r="BW618" i="7"/>
  <c r="BW613" i="7"/>
  <c r="BW606" i="7"/>
  <c r="BW600" i="7"/>
  <c r="BW595" i="7"/>
  <c r="BW590" i="7"/>
  <c r="BW582" i="7"/>
  <c r="BW576" i="7"/>
  <c r="BW570" i="7"/>
  <c r="BW563" i="7"/>
  <c r="BW556" i="7"/>
  <c r="BW557" i="7" s="1"/>
  <c r="BW544" i="7"/>
  <c r="BW545" i="7" s="1"/>
  <c r="BW546" i="7" s="1"/>
  <c r="BW547" i="7" s="1"/>
  <c r="BW534" i="7"/>
  <c r="BW535" i="7" s="1"/>
  <c r="BW525" i="7"/>
  <c r="BW521" i="7"/>
  <c r="BW517" i="7"/>
  <c r="BW513" i="7"/>
  <c r="BW508" i="7"/>
  <c r="BW501" i="7"/>
  <c r="BW497" i="7"/>
  <c r="BW491" i="7"/>
  <c r="BW485" i="7"/>
  <c r="BW479" i="7"/>
  <c r="BW480" i="7" s="1"/>
  <c r="BW468" i="7"/>
  <c r="BW469" i="7" s="1"/>
  <c r="BW462" i="7"/>
  <c r="BW457" i="7"/>
  <c r="BW453" i="7"/>
  <c r="BW449" i="7"/>
  <c r="BW442" i="7"/>
  <c r="BW434" i="7"/>
  <c r="BW424" i="7"/>
  <c r="BW420" i="7"/>
  <c r="BW413" i="7"/>
  <c r="BW400" i="7"/>
  <c r="BW387" i="7"/>
  <c r="BW383" i="7"/>
  <c r="BW374" i="7"/>
  <c r="BW362" i="7"/>
  <c r="BW363" i="7" s="1"/>
  <c r="BW356" i="7"/>
  <c r="BW357" i="7" s="1"/>
  <c r="BW345" i="7"/>
  <c r="BW346" i="7" s="1"/>
  <c r="BW347" i="7" s="1"/>
  <c r="BW333" i="7"/>
  <c r="BW327" i="7"/>
  <c r="BW320" i="7"/>
  <c r="BW311" i="7"/>
  <c r="BW300" i="7"/>
  <c r="BW291" i="7"/>
  <c r="BW286" i="7"/>
  <c r="BW271" i="7"/>
  <c r="BW267" i="7"/>
  <c r="BW263" i="7"/>
  <c r="BW256" i="7"/>
  <c r="BW250" i="7"/>
  <c r="BW243" i="7"/>
  <c r="BW229" i="7"/>
  <c r="BW224" i="7"/>
  <c r="BW230" i="7" s="1"/>
  <c r="BW218" i="7"/>
  <c r="BW214" i="7"/>
  <c r="BW210" i="7"/>
  <c r="BW197" i="7"/>
  <c r="BW193" i="7"/>
  <c r="BW185" i="7"/>
  <c r="BW186" i="7" s="1"/>
  <c r="BW177" i="7"/>
  <c r="BW172" i="7"/>
  <c r="BW162" i="7"/>
  <c r="BW157" i="7"/>
  <c r="BW151" i="7"/>
  <c r="BW134" i="7"/>
  <c r="BW142" i="7" s="1"/>
  <c r="BW120" i="7"/>
  <c r="BW121" i="7" s="1"/>
  <c r="BW114" i="7"/>
  <c r="BW115" i="7" s="1"/>
  <c r="BW101" i="7"/>
  <c r="BW89" i="7"/>
  <c r="BW77" i="7"/>
  <c r="BW78" i="7" s="1"/>
  <c r="BW79" i="7" s="1"/>
  <c r="BW80" i="7" s="1"/>
  <c r="BW30" i="7"/>
  <c r="BW34" i="7"/>
  <c r="BW40" i="7"/>
  <c r="BW41" i="7" s="1"/>
  <c r="BW63" i="7"/>
  <c r="BW64" i="7" s="1"/>
  <c r="BW20" i="7"/>
  <c r="BW21" i="7" s="1"/>
  <c r="BW22" i="7" s="1"/>
  <c r="BW23" i="7" s="1"/>
  <c r="BW719" i="7"/>
  <c r="BW720" i="7"/>
  <c r="BW713" i="7"/>
  <c r="BW709" i="7"/>
  <c r="BW701" i="7"/>
  <c r="BW695" i="7"/>
  <c r="BW691" i="7"/>
  <c r="BW687" i="7"/>
  <c r="BW736" i="7"/>
  <c r="BW729" i="7"/>
  <c r="BV674" i="7"/>
  <c r="BV675" i="7" s="1"/>
  <c r="BV666" i="7"/>
  <c r="BV661" i="7"/>
  <c r="BV656" i="7"/>
  <c r="BV650" i="7"/>
  <c r="BV646" i="7"/>
  <c r="BV638" i="7"/>
  <c r="BV634" i="7"/>
  <c r="BV630" i="7"/>
  <c r="BV624" i="7"/>
  <c r="BV618" i="7"/>
  <c r="BV613" i="7"/>
  <c r="BV606" i="7"/>
  <c r="BV600" i="7"/>
  <c r="BV595" i="7"/>
  <c r="BV590" i="7"/>
  <c r="BV582" i="7"/>
  <c r="BV576" i="7"/>
  <c r="BV570" i="7"/>
  <c r="BV563" i="7"/>
  <c r="BV556" i="7"/>
  <c r="BV557" i="7" s="1"/>
  <c r="BV544" i="7"/>
  <c r="BV545" i="7" s="1"/>
  <c r="BV546" i="7" s="1"/>
  <c r="BV547" i="7" s="1"/>
  <c r="BV534" i="7"/>
  <c r="BV535" i="7"/>
  <c r="BV525" i="7"/>
  <c r="BV521" i="7"/>
  <c r="BV517" i="7"/>
  <c r="BV513" i="7"/>
  <c r="BV508" i="7"/>
  <c r="BV501" i="7"/>
  <c r="BV497" i="7"/>
  <c r="BV491" i="7"/>
  <c r="BV485" i="7"/>
  <c r="BV479" i="7"/>
  <c r="BV480" i="7" s="1"/>
  <c r="BV468" i="7"/>
  <c r="BV469" i="7" s="1"/>
  <c r="BV462" i="7"/>
  <c r="BV457" i="7"/>
  <c r="BV453" i="7"/>
  <c r="BV449" i="7"/>
  <c r="BV442" i="7"/>
  <c r="BV434" i="7"/>
  <c r="BV424" i="7"/>
  <c r="BV420" i="7"/>
  <c r="BV413" i="7"/>
  <c r="BV400" i="7"/>
  <c r="BV387" i="7"/>
  <c r="BV383" i="7"/>
  <c r="BV374" i="7"/>
  <c r="BV362" i="7"/>
  <c r="BV363" i="7" s="1"/>
  <c r="BV356" i="7"/>
  <c r="BV357" i="7" s="1"/>
  <c r="BV345" i="7"/>
  <c r="BV346" i="7" s="1"/>
  <c r="BV347" i="7" s="1"/>
  <c r="BV333" i="7"/>
  <c r="BV327" i="7"/>
  <c r="BV320" i="7"/>
  <c r="BV311" i="7"/>
  <c r="BV300" i="7"/>
  <c r="BV291" i="7"/>
  <c r="BV286" i="7"/>
  <c r="BV271" i="7"/>
  <c r="BV267" i="7"/>
  <c r="BV263" i="7"/>
  <c r="BV256" i="7"/>
  <c r="BV250" i="7"/>
  <c r="BV243" i="7"/>
  <c r="BV229" i="7"/>
  <c r="BV224" i="7"/>
  <c r="BV218" i="7"/>
  <c r="BV214" i="7"/>
  <c r="BV210" i="7"/>
  <c r="BV197" i="7"/>
  <c r="BV193" i="7"/>
  <c r="BV185" i="7"/>
  <c r="BV186" i="7" s="1"/>
  <c r="BV177" i="7"/>
  <c r="BV172" i="7"/>
  <c r="BV162" i="7"/>
  <c r="BV157" i="7"/>
  <c r="BV151" i="7"/>
  <c r="BV134" i="7"/>
  <c r="BV142" i="7" s="1"/>
  <c r="BV120" i="7"/>
  <c r="BV121" i="7" s="1"/>
  <c r="BV114" i="7"/>
  <c r="BV115" i="7"/>
  <c r="BV101" i="7"/>
  <c r="BV89" i="7"/>
  <c r="BV77" i="7"/>
  <c r="BV78" i="7"/>
  <c r="BV79" i="7" s="1"/>
  <c r="BV80" i="7" s="1"/>
  <c r="BV30" i="7"/>
  <c r="BV34" i="7"/>
  <c r="BV40" i="7"/>
  <c r="BV41" i="7"/>
  <c r="BV63" i="7"/>
  <c r="BV64" i="7" s="1"/>
  <c r="BV20" i="7"/>
  <c r="BV21" i="7" s="1"/>
  <c r="BV22" i="7" s="1"/>
  <c r="BV23" i="7" s="1"/>
  <c r="BV719" i="7"/>
  <c r="BV720" i="7"/>
  <c r="BV713" i="7"/>
  <c r="BV709" i="7"/>
  <c r="BV701" i="7"/>
  <c r="BV695" i="7"/>
  <c r="BV691" i="7"/>
  <c r="BV687" i="7"/>
  <c r="BV736" i="7"/>
  <c r="BV729" i="7"/>
  <c r="BV737" i="7" s="1"/>
  <c r="BV738" i="7" s="1"/>
  <c r="BV739" i="7" s="1"/>
  <c r="BV748" i="7"/>
  <c r="BV749" i="7" s="1"/>
  <c r="BV750" i="7" s="1"/>
  <c r="BV751" i="7" s="1"/>
  <c r="BU674" i="7"/>
  <c r="BU675" i="7" s="1"/>
  <c r="BU666" i="7"/>
  <c r="BU661" i="7"/>
  <c r="BU656" i="7"/>
  <c r="BU650" i="7"/>
  <c r="BU646" i="7"/>
  <c r="BU638" i="7"/>
  <c r="BU639" i="7" s="1"/>
  <c r="BU624" i="7"/>
  <c r="BU618" i="7"/>
  <c r="BU613" i="7"/>
  <c r="BU606" i="7"/>
  <c r="BU600" i="7"/>
  <c r="BU595" i="7"/>
  <c r="BU590" i="7"/>
  <c r="BU582" i="7"/>
  <c r="BU576" i="7"/>
  <c r="BU570" i="7"/>
  <c r="BU563" i="7"/>
  <c r="BU556" i="7"/>
  <c r="BU557" i="7" s="1"/>
  <c r="BU544" i="7"/>
  <c r="BU545" i="7" s="1"/>
  <c r="BU546" i="7" s="1"/>
  <c r="BU547" i="7" s="1"/>
  <c r="BU534" i="7"/>
  <c r="BU535" i="7" s="1"/>
  <c r="BU525" i="7"/>
  <c r="BU521" i="7"/>
  <c r="BU517" i="7"/>
  <c r="BU513" i="7"/>
  <c r="BU508" i="7"/>
  <c r="BU501" i="7"/>
  <c r="BU497" i="7"/>
  <c r="BU491" i="7"/>
  <c r="BU485" i="7"/>
  <c r="BU479" i="7"/>
  <c r="BU480" i="7" s="1"/>
  <c r="BU468" i="7"/>
  <c r="BU469" i="7"/>
  <c r="BU462" i="7"/>
  <c r="BU457" i="7"/>
  <c r="BU453" i="7"/>
  <c r="BU449" i="7"/>
  <c r="BU442" i="7"/>
  <c r="BU434" i="7"/>
  <c r="BU424" i="7"/>
  <c r="BU420" i="7"/>
  <c r="BU413" i="7"/>
  <c r="BU400" i="7"/>
  <c r="BU387" i="7"/>
  <c r="BU383" i="7"/>
  <c r="BU374" i="7"/>
  <c r="BU362" i="7"/>
  <c r="BU363" i="7" s="1"/>
  <c r="BU356" i="7"/>
  <c r="BU357" i="7" s="1"/>
  <c r="BU345" i="7"/>
  <c r="BU346" i="7" s="1"/>
  <c r="BU347" i="7" s="1"/>
  <c r="BU333" i="7"/>
  <c r="BU327" i="7"/>
  <c r="BU320" i="7"/>
  <c r="BU311" i="7"/>
  <c r="BU300" i="7"/>
  <c r="BU291" i="7"/>
  <c r="BU286" i="7"/>
  <c r="BU271" i="7"/>
  <c r="BU267" i="7"/>
  <c r="BU263" i="7"/>
  <c r="BU256" i="7"/>
  <c r="BU250" i="7"/>
  <c r="BU243" i="7"/>
  <c r="BU229" i="7"/>
  <c r="BU224" i="7"/>
  <c r="BU218" i="7"/>
  <c r="BU214" i="7"/>
  <c r="BU210" i="7"/>
  <c r="BU197" i="7"/>
  <c r="BU193" i="7"/>
  <c r="BU185" i="7"/>
  <c r="BU186" i="7" s="1"/>
  <c r="BU177" i="7"/>
  <c r="BU172" i="7"/>
  <c r="BU162" i="7"/>
  <c r="BU157" i="7"/>
  <c r="BU151" i="7"/>
  <c r="BU134" i="7"/>
  <c r="BU142" i="7" s="1"/>
  <c r="BU120" i="7"/>
  <c r="BU121" i="7" s="1"/>
  <c r="BU114" i="7"/>
  <c r="BU115" i="7"/>
  <c r="BU101" i="7"/>
  <c r="BU89" i="7"/>
  <c r="BU77" i="7"/>
  <c r="BU78" i="7" s="1"/>
  <c r="BU79" i="7" s="1"/>
  <c r="BU80" i="7" s="1"/>
  <c r="BU30" i="7"/>
  <c r="BU34" i="7"/>
  <c r="BU40" i="7"/>
  <c r="BU41" i="7" s="1"/>
  <c r="BU63" i="7"/>
  <c r="BU64" i="7" s="1"/>
  <c r="BU20" i="7"/>
  <c r="BU21" i="7" s="1"/>
  <c r="BU22" i="7" s="1"/>
  <c r="BU23" i="7" s="1"/>
  <c r="BU719" i="7"/>
  <c r="BU720" i="7" s="1"/>
  <c r="BU713" i="7"/>
  <c r="BU709" i="7"/>
  <c r="BU701" i="7"/>
  <c r="BU695" i="7"/>
  <c r="BU691" i="7"/>
  <c r="BU687" i="7"/>
  <c r="BU736" i="7"/>
  <c r="BU729" i="7"/>
  <c r="BT674" i="7"/>
  <c r="BT675" i="7" s="1"/>
  <c r="BT666" i="7"/>
  <c r="BT661" i="7"/>
  <c r="BT656" i="7"/>
  <c r="BT650" i="7"/>
  <c r="BT646" i="7"/>
  <c r="BT638" i="7"/>
  <c r="BT639" i="7" s="1"/>
  <c r="BT624" i="7"/>
  <c r="BT618" i="7"/>
  <c r="BT613" i="7"/>
  <c r="BT606" i="7"/>
  <c r="BT600" i="7"/>
  <c r="BT595" i="7"/>
  <c r="BT590" i="7"/>
  <c r="BT582" i="7"/>
  <c r="BT576" i="7"/>
  <c r="BT570" i="7"/>
  <c r="BT563" i="7"/>
  <c r="BT556" i="7"/>
  <c r="BT557" i="7" s="1"/>
  <c r="BT544" i="7"/>
  <c r="BT545" i="7" s="1"/>
  <c r="BT546" i="7" s="1"/>
  <c r="BT547" i="7" s="1"/>
  <c r="BT534" i="7"/>
  <c r="BT535" i="7" s="1"/>
  <c r="BT525" i="7"/>
  <c r="BT521" i="7"/>
  <c r="BT517" i="7"/>
  <c r="BT513" i="7"/>
  <c r="BT508" i="7"/>
  <c r="BT501" i="7"/>
  <c r="BT497" i="7"/>
  <c r="BT491" i="7"/>
  <c r="BT485" i="7"/>
  <c r="BT479" i="7"/>
  <c r="BT480" i="7" s="1"/>
  <c r="BT468" i="7"/>
  <c r="BT469" i="7" s="1"/>
  <c r="BT462" i="7"/>
  <c r="BT457" i="7"/>
  <c r="BT453" i="7"/>
  <c r="BT449" i="7"/>
  <c r="BT442" i="7"/>
  <c r="BT434" i="7"/>
  <c r="BT424" i="7"/>
  <c r="BT420" i="7"/>
  <c r="BT413" i="7"/>
  <c r="BT400" i="7"/>
  <c r="BT387" i="7"/>
  <c r="BT383" i="7"/>
  <c r="BT374" i="7"/>
  <c r="BT362" i="7"/>
  <c r="BT363" i="7" s="1"/>
  <c r="BT356" i="7"/>
  <c r="BT357" i="7" s="1"/>
  <c r="BT345" i="7"/>
  <c r="BT346" i="7" s="1"/>
  <c r="BT347" i="7" s="1"/>
  <c r="BT333" i="7"/>
  <c r="BT327" i="7"/>
  <c r="BT320" i="7"/>
  <c r="BT311" i="7"/>
  <c r="BT300" i="7"/>
  <c r="BT291" i="7"/>
  <c r="BT286" i="7"/>
  <c r="BT271" i="7"/>
  <c r="BT267" i="7"/>
  <c r="BT263" i="7"/>
  <c r="BT256" i="7"/>
  <c r="BT250" i="7"/>
  <c r="BT243" i="7"/>
  <c r="BT229" i="7"/>
  <c r="BT224" i="7"/>
  <c r="BT218" i="7"/>
  <c r="BT214" i="7"/>
  <c r="BT210" i="7"/>
  <c r="BT197" i="7"/>
  <c r="BT193" i="7"/>
  <c r="BT185" i="7"/>
  <c r="BT186" i="7" s="1"/>
  <c r="BT177" i="7"/>
  <c r="BT172" i="7"/>
  <c r="BT162" i="7"/>
  <c r="BT157" i="7"/>
  <c r="BT151" i="7"/>
  <c r="BT134" i="7"/>
  <c r="BT142" i="7" s="1"/>
  <c r="BT120" i="7"/>
  <c r="BT121" i="7" s="1"/>
  <c r="BT114" i="7"/>
  <c r="BT115" i="7"/>
  <c r="BT101" i="7"/>
  <c r="BT89" i="7"/>
  <c r="BT77" i="7"/>
  <c r="BT78" i="7" s="1"/>
  <c r="BT79" i="7" s="1"/>
  <c r="BT80" i="7" s="1"/>
  <c r="BT30" i="7"/>
  <c r="BT34" i="7"/>
  <c r="BT40" i="7"/>
  <c r="BT41" i="7" s="1"/>
  <c r="BT63" i="7"/>
  <c r="BT64" i="7" s="1"/>
  <c r="BT20" i="7"/>
  <c r="BT21" i="7" s="1"/>
  <c r="BT22" i="7" s="1"/>
  <c r="BT23" i="7" s="1"/>
  <c r="BT719" i="7"/>
  <c r="BT720" i="7" s="1"/>
  <c r="BT713" i="7"/>
  <c r="BT709" i="7"/>
  <c r="BT701" i="7"/>
  <c r="BT695" i="7"/>
  <c r="BT691" i="7"/>
  <c r="BT687" i="7"/>
  <c r="BT736" i="7"/>
  <c r="BT729" i="7"/>
  <c r="BS674" i="7"/>
  <c r="BS675" i="7" s="1"/>
  <c r="BS666" i="7"/>
  <c r="BS661" i="7"/>
  <c r="BS656" i="7"/>
  <c r="BS650" i="7"/>
  <c r="BS646" i="7"/>
  <c r="BS638" i="7"/>
  <c r="BS634" i="7"/>
  <c r="BS630" i="7"/>
  <c r="BS624" i="7"/>
  <c r="BS618" i="7"/>
  <c r="BS613" i="7"/>
  <c r="BS606" i="7"/>
  <c r="BS600" i="7"/>
  <c r="BS595" i="7"/>
  <c r="BS590" i="7"/>
  <c r="BS582" i="7"/>
  <c r="BS576" i="7"/>
  <c r="BS570" i="7"/>
  <c r="BS563" i="7"/>
  <c r="BS556" i="7"/>
  <c r="BS557" i="7" s="1"/>
  <c r="BS544" i="7"/>
  <c r="BS545" i="7" s="1"/>
  <c r="BS546" i="7" s="1"/>
  <c r="BS547" i="7" s="1"/>
  <c r="BS534" i="7"/>
  <c r="BS535" i="7" s="1"/>
  <c r="BS525" i="7"/>
  <c r="BS521" i="7"/>
  <c r="BS517" i="7"/>
  <c r="BS513" i="7"/>
  <c r="BS508" i="7"/>
  <c r="BS501" i="7"/>
  <c r="BS497" i="7"/>
  <c r="BS491" i="7"/>
  <c r="BS485" i="7"/>
  <c r="BS479" i="7"/>
  <c r="BS480" i="7" s="1"/>
  <c r="BS468" i="7"/>
  <c r="BS469" i="7" s="1"/>
  <c r="BS462" i="7"/>
  <c r="BS457" i="7"/>
  <c r="BS453" i="7"/>
  <c r="BS449" i="7"/>
  <c r="BS442" i="7"/>
  <c r="BS434" i="7"/>
  <c r="BS424" i="7"/>
  <c r="BS420" i="7"/>
  <c r="BS413" i="7"/>
  <c r="BS400" i="7"/>
  <c r="BS387" i="7"/>
  <c r="BS383" i="7"/>
  <c r="BS374" i="7"/>
  <c r="BS362" i="7"/>
  <c r="BS363" i="7" s="1"/>
  <c r="BS356" i="7"/>
  <c r="BS357" i="7" s="1"/>
  <c r="BS345" i="7"/>
  <c r="BS346" i="7" s="1"/>
  <c r="BS347" i="7" s="1"/>
  <c r="BS333" i="7"/>
  <c r="BS327" i="7"/>
  <c r="BS320" i="7"/>
  <c r="BS311" i="7"/>
  <c r="BS300" i="7"/>
  <c r="BS291" i="7"/>
  <c r="BS286" i="7"/>
  <c r="BS271" i="7"/>
  <c r="BS267" i="7"/>
  <c r="BS263" i="7"/>
  <c r="BS256" i="7"/>
  <c r="BS250" i="7"/>
  <c r="BS243" i="7"/>
  <c r="BS229" i="7"/>
  <c r="BS224" i="7"/>
  <c r="BS218" i="7"/>
  <c r="BS214" i="7"/>
  <c r="BS210" i="7"/>
  <c r="BS197" i="7"/>
  <c r="BS193" i="7"/>
  <c r="BS185" i="7"/>
  <c r="BS186" i="7" s="1"/>
  <c r="BS177" i="7"/>
  <c r="BS172" i="7"/>
  <c r="BS162" i="7"/>
  <c r="BS157" i="7"/>
  <c r="BS151" i="7"/>
  <c r="BS134" i="7"/>
  <c r="BS142" i="7" s="1"/>
  <c r="BS120" i="7"/>
  <c r="BS121" i="7" s="1"/>
  <c r="BS114" i="7"/>
  <c r="BS115" i="7" s="1"/>
  <c r="BS101" i="7"/>
  <c r="BS89" i="7"/>
  <c r="BS77" i="7"/>
  <c r="BS78" i="7" s="1"/>
  <c r="BS79" i="7" s="1"/>
  <c r="BS80" i="7" s="1"/>
  <c r="BS30" i="7"/>
  <c r="BS34" i="7"/>
  <c r="BS40" i="7"/>
  <c r="BS41" i="7" s="1"/>
  <c r="BS63" i="7"/>
  <c r="BS64" i="7" s="1"/>
  <c r="BS20" i="7"/>
  <c r="BS21" i="7" s="1"/>
  <c r="BS22" i="7" s="1"/>
  <c r="BS23" i="7" s="1"/>
  <c r="BS719" i="7"/>
  <c r="BS720" i="7" s="1"/>
  <c r="BS713" i="7"/>
  <c r="BS709" i="7"/>
  <c r="BS701" i="7"/>
  <c r="BS695" i="7"/>
  <c r="BS691" i="7"/>
  <c r="BS687" i="7"/>
  <c r="BS736" i="7"/>
  <c r="BS729" i="7"/>
  <c r="BS748" i="7"/>
  <c r="BS749" i="7" s="1"/>
  <c r="BS750" i="7" s="1"/>
  <c r="BS751" i="7" s="1"/>
  <c r="BR674" i="7"/>
  <c r="BR675" i="7" s="1"/>
  <c r="BR666" i="7"/>
  <c r="BR661" i="7"/>
  <c r="BR656" i="7"/>
  <c r="BR650" i="7"/>
  <c r="BR646" i="7"/>
  <c r="BR638" i="7"/>
  <c r="BR639" i="7" s="1"/>
  <c r="BR624" i="7"/>
  <c r="BR618" i="7"/>
  <c r="BR613" i="7"/>
  <c r="BR606" i="7"/>
  <c r="BR600" i="7"/>
  <c r="BR595" i="7"/>
  <c r="BR590" i="7"/>
  <c r="BR582" i="7"/>
  <c r="BR576" i="7"/>
  <c r="BR570" i="7"/>
  <c r="BR563" i="7"/>
  <c r="BR556" i="7"/>
  <c r="BR557" i="7" s="1"/>
  <c r="BR544" i="7"/>
  <c r="BR545" i="7" s="1"/>
  <c r="BR546" i="7" s="1"/>
  <c r="BR547" i="7" s="1"/>
  <c r="BR534" i="7"/>
  <c r="BR535" i="7" s="1"/>
  <c r="BR525" i="7"/>
  <c r="BR521" i="7"/>
  <c r="BR517" i="7"/>
  <c r="BR513" i="7"/>
  <c r="BR508" i="7"/>
  <c r="BR501" i="7"/>
  <c r="BR497" i="7"/>
  <c r="BR491" i="7"/>
  <c r="BR485" i="7"/>
  <c r="BR479" i="7"/>
  <c r="BR480" i="7" s="1"/>
  <c r="BR468" i="7"/>
  <c r="BR469" i="7" s="1"/>
  <c r="BR462" i="7"/>
  <c r="BR457" i="7"/>
  <c r="BR453" i="7"/>
  <c r="BR449" i="7"/>
  <c r="BR442" i="7"/>
  <c r="BR434" i="7"/>
  <c r="BR424" i="7"/>
  <c r="BR420" i="7"/>
  <c r="BR413" i="7"/>
  <c r="BR400" i="7"/>
  <c r="BR387" i="7"/>
  <c r="BR383" i="7"/>
  <c r="BR374" i="7"/>
  <c r="BR362" i="7"/>
  <c r="BR363" i="7" s="1"/>
  <c r="BR356" i="7"/>
  <c r="BR357" i="7" s="1"/>
  <c r="BR345" i="7"/>
  <c r="BR346" i="7" s="1"/>
  <c r="BR347" i="7" s="1"/>
  <c r="BR333" i="7"/>
  <c r="BR327" i="7"/>
  <c r="BR320" i="7"/>
  <c r="BR311" i="7"/>
  <c r="BR300" i="7"/>
  <c r="BR291" i="7"/>
  <c r="BR286" i="7"/>
  <c r="BR271" i="7"/>
  <c r="BR267" i="7"/>
  <c r="BR263" i="7"/>
  <c r="BR256" i="7"/>
  <c r="BR250" i="7"/>
  <c r="BR243" i="7"/>
  <c r="BR229" i="7"/>
  <c r="BR224" i="7"/>
  <c r="BR218" i="7"/>
  <c r="BR214" i="7"/>
  <c r="BR210" i="7"/>
  <c r="BR197" i="7"/>
  <c r="BR193" i="7"/>
  <c r="BR185" i="7"/>
  <c r="BR186" i="7" s="1"/>
  <c r="BR177" i="7"/>
  <c r="BR172" i="7"/>
  <c r="BR162" i="7"/>
  <c r="BR157" i="7"/>
  <c r="BR151" i="7"/>
  <c r="BR134" i="7"/>
  <c r="BR142" i="7" s="1"/>
  <c r="BR120" i="7"/>
  <c r="BR121" i="7" s="1"/>
  <c r="BR114" i="7"/>
  <c r="BR115" i="7" s="1"/>
  <c r="BR101" i="7"/>
  <c r="BR89" i="7"/>
  <c r="BR77" i="7"/>
  <c r="BR78" i="7" s="1"/>
  <c r="BR79" i="7" s="1"/>
  <c r="BR80" i="7" s="1"/>
  <c r="BR30" i="7"/>
  <c r="BR34" i="7"/>
  <c r="BR40" i="7"/>
  <c r="BR41" i="7" s="1"/>
  <c r="BR63" i="7"/>
  <c r="BR64" i="7" s="1"/>
  <c r="BR20" i="7"/>
  <c r="BR21" i="7" s="1"/>
  <c r="BR22" i="7" s="1"/>
  <c r="BR23" i="7" s="1"/>
  <c r="BR719" i="7"/>
  <c r="BR720" i="7" s="1"/>
  <c r="BR713" i="7"/>
  <c r="BR709" i="7"/>
  <c r="BR701" i="7"/>
  <c r="BR695" i="7"/>
  <c r="BR691" i="7"/>
  <c r="BR687" i="7"/>
  <c r="BR736" i="7"/>
  <c r="BR729" i="7"/>
  <c r="BQ674" i="7"/>
  <c r="BQ675" i="7" s="1"/>
  <c r="BQ666" i="7"/>
  <c r="BQ661" i="7"/>
  <c r="BQ656" i="7"/>
  <c r="BQ650" i="7"/>
  <c r="BQ646" i="7"/>
  <c r="BQ638" i="7"/>
  <c r="BQ639" i="7" s="1"/>
  <c r="BQ624" i="7"/>
  <c r="BQ618" i="7"/>
  <c r="BQ613" i="7"/>
  <c r="BQ606" i="7"/>
  <c r="BQ600" i="7"/>
  <c r="BQ595" i="7"/>
  <c r="BQ590" i="7"/>
  <c r="BQ582" i="7"/>
  <c r="BQ576" i="7"/>
  <c r="BQ570" i="7"/>
  <c r="BQ563" i="7"/>
  <c r="BQ556" i="7"/>
  <c r="BQ557" i="7" s="1"/>
  <c r="BQ544" i="7"/>
  <c r="BQ545" i="7" s="1"/>
  <c r="BQ546" i="7" s="1"/>
  <c r="BQ547" i="7" s="1"/>
  <c r="BQ534" i="7"/>
  <c r="BQ535" i="7" s="1"/>
  <c r="BQ525" i="7"/>
  <c r="BQ521" i="7"/>
  <c r="BQ517" i="7"/>
  <c r="BQ513" i="7"/>
  <c r="BQ508" i="7"/>
  <c r="BQ501" i="7"/>
  <c r="BQ497" i="7"/>
  <c r="BQ491" i="7"/>
  <c r="BQ485" i="7"/>
  <c r="BQ479" i="7"/>
  <c r="BQ480" i="7" s="1"/>
  <c r="BQ468" i="7"/>
  <c r="BQ469" i="7" s="1"/>
  <c r="BQ462" i="7"/>
  <c r="BQ457" i="7"/>
  <c r="BQ453" i="7"/>
  <c r="BQ449" i="7"/>
  <c r="BQ442" i="7"/>
  <c r="BQ434" i="7"/>
  <c r="BQ424" i="7"/>
  <c r="BQ420" i="7"/>
  <c r="BQ413" i="7"/>
  <c r="BQ400" i="7"/>
  <c r="BQ387" i="7"/>
  <c r="BQ383" i="7"/>
  <c r="BQ374" i="7"/>
  <c r="BQ362" i="7"/>
  <c r="BQ363" i="7" s="1"/>
  <c r="BQ356" i="7"/>
  <c r="BQ357" i="7" s="1"/>
  <c r="BQ345" i="7"/>
  <c r="BQ346" i="7" s="1"/>
  <c r="BQ347" i="7" s="1"/>
  <c r="BQ333" i="7"/>
  <c r="BQ327" i="7"/>
  <c r="BQ320" i="7"/>
  <c r="BQ311" i="7"/>
  <c r="BQ300" i="7"/>
  <c r="BQ291" i="7"/>
  <c r="BQ286" i="7"/>
  <c r="BQ271" i="7"/>
  <c r="BQ267" i="7"/>
  <c r="BQ263" i="7"/>
  <c r="BQ256" i="7"/>
  <c r="BQ250" i="7"/>
  <c r="BQ243" i="7"/>
  <c r="BQ229" i="7"/>
  <c r="BQ224" i="7"/>
  <c r="BQ218" i="7"/>
  <c r="BQ214" i="7"/>
  <c r="BQ210" i="7"/>
  <c r="BQ197" i="7"/>
  <c r="BQ193" i="7"/>
  <c r="BQ185" i="7"/>
  <c r="BQ186" i="7" s="1"/>
  <c r="BQ177" i="7"/>
  <c r="BQ172" i="7"/>
  <c r="BQ162" i="7"/>
  <c r="BQ157" i="7"/>
  <c r="BQ151" i="7"/>
  <c r="BQ134" i="7"/>
  <c r="BQ142" i="7" s="1"/>
  <c r="BQ120" i="7"/>
  <c r="BQ121" i="7" s="1"/>
  <c r="BQ114" i="7"/>
  <c r="BQ115" i="7" s="1"/>
  <c r="BQ101" i="7"/>
  <c r="BQ89" i="7"/>
  <c r="BQ77" i="7"/>
  <c r="BQ78" i="7" s="1"/>
  <c r="BQ79" i="7" s="1"/>
  <c r="BQ80" i="7" s="1"/>
  <c r="BQ30" i="7"/>
  <c r="BQ34" i="7"/>
  <c r="BQ40" i="7"/>
  <c r="BQ41" i="7" s="1"/>
  <c r="BQ63" i="7"/>
  <c r="BQ64" i="7" s="1"/>
  <c r="BQ20" i="7"/>
  <c r="BQ21" i="7" s="1"/>
  <c r="BQ22" i="7" s="1"/>
  <c r="BQ23" i="7" s="1"/>
  <c r="BQ719" i="7"/>
  <c r="BQ720" i="7" s="1"/>
  <c r="BQ713" i="7"/>
  <c r="BQ709" i="7"/>
  <c r="BQ701" i="7"/>
  <c r="BQ695" i="7"/>
  <c r="BQ691" i="7"/>
  <c r="BQ687" i="7"/>
  <c r="BQ736" i="7"/>
  <c r="BQ729" i="7"/>
  <c r="BP674" i="7"/>
  <c r="BP675" i="7" s="1"/>
  <c r="BP666" i="7"/>
  <c r="BP661" i="7"/>
  <c r="BP656" i="7"/>
  <c r="BP650" i="7"/>
  <c r="BP646" i="7"/>
  <c r="BP638" i="7"/>
  <c r="BP634" i="7"/>
  <c r="BP630" i="7"/>
  <c r="BP624" i="7"/>
  <c r="BP618" i="7"/>
  <c r="BP613" i="7"/>
  <c r="BP606" i="7"/>
  <c r="BP600" i="7"/>
  <c r="BP595" i="7"/>
  <c r="BP590" i="7"/>
  <c r="BP582" i="7"/>
  <c r="BP576" i="7"/>
  <c r="BP570" i="7"/>
  <c r="BP563" i="7"/>
  <c r="BP556" i="7"/>
  <c r="BP557" i="7" s="1"/>
  <c r="BP544" i="7"/>
  <c r="BP545" i="7" s="1"/>
  <c r="BP546" i="7" s="1"/>
  <c r="BP547" i="7" s="1"/>
  <c r="BP534" i="7"/>
  <c r="BP535" i="7" s="1"/>
  <c r="BP525" i="7"/>
  <c r="BP521" i="7"/>
  <c r="BP517" i="7"/>
  <c r="BP513" i="7"/>
  <c r="BP508" i="7"/>
  <c r="BP501" i="7"/>
  <c r="BP497" i="7"/>
  <c r="BP491" i="7"/>
  <c r="BP485" i="7"/>
  <c r="BP479" i="7"/>
  <c r="BP480" i="7" s="1"/>
  <c r="BP468" i="7"/>
  <c r="BP469" i="7" s="1"/>
  <c r="BP462" i="7"/>
  <c r="BP457" i="7"/>
  <c r="BP453" i="7"/>
  <c r="BP449" i="7"/>
  <c r="BP442" i="7"/>
  <c r="BP434" i="7"/>
  <c r="BP424" i="7"/>
  <c r="BP420" i="7"/>
  <c r="BP413" i="7"/>
  <c r="BP400" i="7"/>
  <c r="BP387" i="7"/>
  <c r="BP383" i="7"/>
  <c r="BP374" i="7"/>
  <c r="BP362" i="7"/>
  <c r="BP363" i="7" s="1"/>
  <c r="BP356" i="7"/>
  <c r="BP357" i="7" s="1"/>
  <c r="BP345" i="7"/>
  <c r="BP346" i="7" s="1"/>
  <c r="BP347" i="7" s="1"/>
  <c r="BP333" i="7"/>
  <c r="BP327" i="7"/>
  <c r="BP320" i="7"/>
  <c r="BP311" i="7"/>
  <c r="BP300" i="7"/>
  <c r="BP291" i="7"/>
  <c r="BP286" i="7"/>
  <c r="BP271" i="7"/>
  <c r="BP267" i="7"/>
  <c r="BP263" i="7"/>
  <c r="BP256" i="7"/>
  <c r="BP250" i="7"/>
  <c r="BP243" i="7"/>
  <c r="BP229" i="7"/>
  <c r="BP224" i="7"/>
  <c r="BP218" i="7"/>
  <c r="BP214" i="7"/>
  <c r="BP210" i="7"/>
  <c r="BP197" i="7"/>
  <c r="BP193" i="7"/>
  <c r="BP185" i="7"/>
  <c r="BP186" i="7" s="1"/>
  <c r="BP177" i="7"/>
  <c r="BP172" i="7"/>
  <c r="BP162" i="7"/>
  <c r="BP157" i="7"/>
  <c r="BP151" i="7"/>
  <c r="BP134" i="7"/>
  <c r="BP142" i="7" s="1"/>
  <c r="BP120" i="7"/>
  <c r="BP121" i="7" s="1"/>
  <c r="BP114" i="7"/>
  <c r="BP115" i="7" s="1"/>
  <c r="BP101" i="7"/>
  <c r="BP89" i="7"/>
  <c r="BP77" i="7"/>
  <c r="BP78" i="7"/>
  <c r="BP79" i="7" s="1"/>
  <c r="BP80" i="7" s="1"/>
  <c r="BP30" i="7"/>
  <c r="BP34" i="7"/>
  <c r="BP40" i="7"/>
  <c r="BP41" i="7" s="1"/>
  <c r="BP63" i="7"/>
  <c r="BP64" i="7" s="1"/>
  <c r="BP20" i="7"/>
  <c r="BP21" i="7" s="1"/>
  <c r="BP22" i="7" s="1"/>
  <c r="BP23" i="7" s="1"/>
  <c r="BP719" i="7"/>
  <c r="BP720" i="7" s="1"/>
  <c r="BP713" i="7"/>
  <c r="BP709" i="7"/>
  <c r="BP714" i="7" s="1"/>
  <c r="BP701" i="7"/>
  <c r="BP695" i="7"/>
  <c r="BP691" i="7"/>
  <c r="BP687" i="7"/>
  <c r="BP736" i="7"/>
  <c r="BP729" i="7"/>
  <c r="BP748" i="7"/>
  <c r="BP749" i="7"/>
  <c r="BP750" i="7" s="1"/>
  <c r="BP751" i="7" s="1"/>
  <c r="BO674" i="7"/>
  <c r="BO675" i="7" s="1"/>
  <c r="BO666" i="7"/>
  <c r="BO661" i="7"/>
  <c r="BO656" i="7"/>
  <c r="BO650" i="7"/>
  <c r="BO646" i="7"/>
  <c r="BO638" i="7"/>
  <c r="BO639" i="7" s="1"/>
  <c r="BO624" i="7"/>
  <c r="BO618" i="7"/>
  <c r="BO613" i="7"/>
  <c r="BO606" i="7"/>
  <c r="BO600" i="7"/>
  <c r="BO595" i="7"/>
  <c r="BO590" i="7"/>
  <c r="BO582" i="7"/>
  <c r="BO576" i="7"/>
  <c r="BO570" i="7"/>
  <c r="BO563" i="7"/>
  <c r="BO556" i="7"/>
  <c r="BO557" i="7" s="1"/>
  <c r="BO544" i="7"/>
  <c r="BO545" i="7" s="1"/>
  <c r="BO546" i="7" s="1"/>
  <c r="BO547" i="7" s="1"/>
  <c r="BO534" i="7"/>
  <c r="BO535" i="7" s="1"/>
  <c r="BO525" i="7"/>
  <c r="BO521" i="7"/>
  <c r="BO517" i="7"/>
  <c r="BO513" i="7"/>
  <c r="BO508" i="7"/>
  <c r="BO501" i="7"/>
  <c r="BO497" i="7"/>
  <c r="BO491" i="7"/>
  <c r="BO485" i="7"/>
  <c r="BO479" i="7"/>
  <c r="BO480" i="7"/>
  <c r="BO468" i="7"/>
  <c r="BO469" i="7" s="1"/>
  <c r="BO462" i="7"/>
  <c r="BO457" i="7"/>
  <c r="BO453" i="7"/>
  <c r="BO449" i="7"/>
  <c r="BO442" i="7"/>
  <c r="BO434" i="7"/>
  <c r="BO424" i="7"/>
  <c r="BO420" i="7"/>
  <c r="BO413" i="7"/>
  <c r="BO400" i="7"/>
  <c r="BO387" i="7"/>
  <c r="BO383" i="7"/>
  <c r="BO374" i="7"/>
  <c r="BO362" i="7"/>
  <c r="BO363" i="7"/>
  <c r="BO356" i="7"/>
  <c r="BO357" i="7" s="1"/>
  <c r="BO345" i="7"/>
  <c r="BO346" i="7" s="1"/>
  <c r="BO347" i="7" s="1"/>
  <c r="BO333" i="7"/>
  <c r="BO327" i="7"/>
  <c r="BO320" i="7"/>
  <c r="BO311" i="7"/>
  <c r="BO300" i="7"/>
  <c r="BO291" i="7"/>
  <c r="BO286" i="7"/>
  <c r="BO271" i="7"/>
  <c r="BO267" i="7"/>
  <c r="BO263" i="7"/>
  <c r="BO256" i="7"/>
  <c r="BO250" i="7"/>
  <c r="BO243" i="7"/>
  <c r="BO229" i="7"/>
  <c r="BO224" i="7"/>
  <c r="BO218" i="7"/>
  <c r="BO214" i="7"/>
  <c r="BO210" i="7"/>
  <c r="BO197" i="7"/>
  <c r="BO193" i="7"/>
  <c r="BO185" i="7"/>
  <c r="BO186" i="7" s="1"/>
  <c r="BO177" i="7"/>
  <c r="BO172" i="7"/>
  <c r="BO162" i="7"/>
  <c r="BO157" i="7"/>
  <c r="BO151" i="7"/>
  <c r="BO134" i="7"/>
  <c r="BO142" i="7" s="1"/>
  <c r="BO120" i="7"/>
  <c r="BO121" i="7" s="1"/>
  <c r="BO114" i="7"/>
  <c r="BO115" i="7" s="1"/>
  <c r="BO101" i="7"/>
  <c r="BO89" i="7"/>
  <c r="BO77" i="7"/>
  <c r="BO78" i="7" s="1"/>
  <c r="BO79" i="7" s="1"/>
  <c r="BO80" i="7" s="1"/>
  <c r="BO30" i="7"/>
  <c r="BO34" i="7"/>
  <c r="BO40" i="7"/>
  <c r="BO41" i="7" s="1"/>
  <c r="BO63" i="7"/>
  <c r="BO64" i="7" s="1"/>
  <c r="BO20" i="7"/>
  <c r="BO21" i="7" s="1"/>
  <c r="BO22" i="7" s="1"/>
  <c r="BO23" i="7" s="1"/>
  <c r="BO719" i="7"/>
  <c r="BO720" i="7" s="1"/>
  <c r="BO713" i="7"/>
  <c r="BO709" i="7"/>
  <c r="BO701" i="7"/>
  <c r="BO695" i="7"/>
  <c r="BO691" i="7"/>
  <c r="BO687" i="7"/>
  <c r="BO736" i="7"/>
  <c r="BO729" i="7"/>
  <c r="BN674" i="7"/>
  <c r="BN675" i="7" s="1"/>
  <c r="BN666" i="7"/>
  <c r="BN661" i="7"/>
  <c r="BN656" i="7"/>
  <c r="BN650" i="7"/>
  <c r="BN646" i="7"/>
  <c r="BN638" i="7"/>
  <c r="BN639" i="7" s="1"/>
  <c r="BN624" i="7"/>
  <c r="BN618" i="7"/>
  <c r="BN613" i="7"/>
  <c r="BN606" i="7"/>
  <c r="BN600" i="7"/>
  <c r="BN595" i="7"/>
  <c r="BN590" i="7"/>
  <c r="BN582" i="7"/>
  <c r="BN576" i="7"/>
  <c r="BN570" i="7"/>
  <c r="BN563" i="7"/>
  <c r="BN556" i="7"/>
  <c r="BN557" i="7" s="1"/>
  <c r="BN544" i="7"/>
  <c r="BN545" i="7" s="1"/>
  <c r="BN546" i="7" s="1"/>
  <c r="BN547" i="7" s="1"/>
  <c r="BN534" i="7"/>
  <c r="BN535" i="7" s="1"/>
  <c r="BN525" i="7"/>
  <c r="BN521" i="7"/>
  <c r="BN517" i="7"/>
  <c r="BN513" i="7"/>
  <c r="BN508" i="7"/>
  <c r="BN501" i="7"/>
  <c r="BN497" i="7"/>
  <c r="BN491" i="7"/>
  <c r="BN485" i="7"/>
  <c r="BN479" i="7"/>
  <c r="BN480" i="7" s="1"/>
  <c r="BN468" i="7"/>
  <c r="BN469" i="7" s="1"/>
  <c r="BN462" i="7"/>
  <c r="BN457" i="7"/>
  <c r="BN453" i="7"/>
  <c r="BN449" i="7"/>
  <c r="BN442" i="7"/>
  <c r="BN434" i="7"/>
  <c r="BN424" i="7"/>
  <c r="BN420" i="7"/>
  <c r="BN413" i="7"/>
  <c r="BN400" i="7"/>
  <c r="BN387" i="7"/>
  <c r="BN383" i="7"/>
  <c r="BN374" i="7"/>
  <c r="BN362" i="7"/>
  <c r="BN363" i="7" s="1"/>
  <c r="BN356" i="7"/>
  <c r="BN357" i="7" s="1"/>
  <c r="BN345" i="7"/>
  <c r="BN346" i="7" s="1"/>
  <c r="BN347" i="7" s="1"/>
  <c r="BN333" i="7"/>
  <c r="BN327" i="7"/>
  <c r="BN320" i="7"/>
  <c r="BN311" i="7"/>
  <c r="BN300" i="7"/>
  <c r="BN291" i="7"/>
  <c r="BN286" i="7"/>
  <c r="BN271" i="7"/>
  <c r="BN267" i="7"/>
  <c r="BN263" i="7"/>
  <c r="BN256" i="7"/>
  <c r="BN250" i="7"/>
  <c r="BN243" i="7"/>
  <c r="BN229" i="7"/>
  <c r="BN224" i="7"/>
  <c r="BN218" i="7"/>
  <c r="BN214" i="7"/>
  <c r="BN210" i="7"/>
  <c r="BN197" i="7"/>
  <c r="BN193" i="7"/>
  <c r="BN185" i="7"/>
  <c r="BN186" i="7" s="1"/>
  <c r="BN177" i="7"/>
  <c r="BN172" i="7"/>
  <c r="BN162" i="7"/>
  <c r="BN157" i="7"/>
  <c r="BN151" i="7"/>
  <c r="BN134" i="7"/>
  <c r="BN142" i="7" s="1"/>
  <c r="BN120" i="7"/>
  <c r="BN121" i="7" s="1"/>
  <c r="BN114" i="7"/>
  <c r="BN115" i="7" s="1"/>
  <c r="BN101" i="7"/>
  <c r="BN89" i="7"/>
  <c r="BN77" i="7"/>
  <c r="BN78" i="7" s="1"/>
  <c r="BN79" i="7" s="1"/>
  <c r="BN80" i="7" s="1"/>
  <c r="BN30" i="7"/>
  <c r="BN34" i="7"/>
  <c r="BN40" i="7"/>
  <c r="BN41" i="7" s="1"/>
  <c r="BN63" i="7"/>
  <c r="BN64" i="7" s="1"/>
  <c r="BN20" i="7"/>
  <c r="BN21" i="7" s="1"/>
  <c r="BN22" i="7" s="1"/>
  <c r="BN23" i="7" s="1"/>
  <c r="BN719" i="7"/>
  <c r="BN720" i="7" s="1"/>
  <c r="BN713" i="7"/>
  <c r="BN709" i="7"/>
  <c r="BN701" i="7"/>
  <c r="BN695" i="7"/>
  <c r="BN691" i="7"/>
  <c r="BN687" i="7"/>
  <c r="BN736" i="7"/>
  <c r="BN729" i="7"/>
  <c r="BM674" i="7"/>
  <c r="BM675" i="7" s="1"/>
  <c r="BM666" i="7"/>
  <c r="BM661" i="7"/>
  <c r="BM656" i="7"/>
  <c r="BM650" i="7"/>
  <c r="BM646" i="7"/>
  <c r="BM638" i="7"/>
  <c r="BM634" i="7"/>
  <c r="BM624" i="7"/>
  <c r="BM618" i="7"/>
  <c r="BM613" i="7"/>
  <c r="BM606" i="7"/>
  <c r="BM600" i="7"/>
  <c r="BM595" i="7"/>
  <c r="BM590" i="7"/>
  <c r="BM582" i="7"/>
  <c r="BM576" i="7"/>
  <c r="BM570" i="7"/>
  <c r="BM563" i="7"/>
  <c r="BM556" i="7"/>
  <c r="BM557" i="7" s="1"/>
  <c r="BM544" i="7"/>
  <c r="BM545" i="7" s="1"/>
  <c r="BM546" i="7" s="1"/>
  <c r="BM547" i="7" s="1"/>
  <c r="BM534" i="7"/>
  <c r="BM535" i="7" s="1"/>
  <c r="BM525" i="7"/>
  <c r="BM521" i="7"/>
  <c r="BM517" i="7"/>
  <c r="BM513" i="7"/>
  <c r="BM508" i="7"/>
  <c r="BM501" i="7"/>
  <c r="BM497" i="7"/>
  <c r="BM491" i="7"/>
  <c r="BM485" i="7"/>
  <c r="BM479" i="7"/>
  <c r="BM480" i="7" s="1"/>
  <c r="BM468" i="7"/>
  <c r="BM469" i="7" s="1"/>
  <c r="BM462" i="7"/>
  <c r="BM457" i="7"/>
  <c r="BM453" i="7"/>
  <c r="BM449" i="7"/>
  <c r="BM442" i="7"/>
  <c r="BM434" i="7"/>
  <c r="BM424" i="7"/>
  <c r="BM420" i="7"/>
  <c r="BM413" i="7"/>
  <c r="BM400" i="7"/>
  <c r="BM387" i="7"/>
  <c r="BM383" i="7"/>
  <c r="BM374" i="7"/>
  <c r="BM362" i="7"/>
  <c r="BM363" i="7" s="1"/>
  <c r="BM356" i="7"/>
  <c r="BM357" i="7" s="1"/>
  <c r="BM345" i="7"/>
  <c r="BM346" i="7" s="1"/>
  <c r="BM347" i="7" s="1"/>
  <c r="BM333" i="7"/>
  <c r="BM327" i="7"/>
  <c r="BM320" i="7"/>
  <c r="BM311" i="7"/>
  <c r="BM300" i="7"/>
  <c r="BM291" i="7"/>
  <c r="BM286" i="7"/>
  <c r="BM271" i="7"/>
  <c r="BM267" i="7"/>
  <c r="BM263" i="7"/>
  <c r="BM256" i="7"/>
  <c r="BM250" i="7"/>
  <c r="BM243" i="7"/>
  <c r="BM229" i="7"/>
  <c r="BM224" i="7"/>
  <c r="BM218" i="7"/>
  <c r="BM214" i="7"/>
  <c r="BM210" i="7"/>
  <c r="BM197" i="7"/>
  <c r="BM193" i="7"/>
  <c r="BM185" i="7"/>
  <c r="BM186" i="7" s="1"/>
  <c r="BM177" i="7"/>
  <c r="BM172" i="7"/>
  <c r="BM162" i="7"/>
  <c r="BM157" i="7"/>
  <c r="BM151" i="7"/>
  <c r="BM134" i="7"/>
  <c r="BM142" i="7" s="1"/>
  <c r="BM120" i="7"/>
  <c r="BM121" i="7" s="1"/>
  <c r="BM114" i="7"/>
  <c r="BM115" i="7" s="1"/>
  <c r="BM101" i="7"/>
  <c r="BM89" i="7"/>
  <c r="BM77" i="7"/>
  <c r="BM78" i="7" s="1"/>
  <c r="BM79" i="7" s="1"/>
  <c r="BM80" i="7" s="1"/>
  <c r="BM30" i="7"/>
  <c r="BM34" i="7"/>
  <c r="BM40" i="7"/>
  <c r="BM41" i="7" s="1"/>
  <c r="BM63" i="7"/>
  <c r="BM64" i="7" s="1"/>
  <c r="BM20" i="7"/>
  <c r="BM21" i="7" s="1"/>
  <c r="BM22" i="7" s="1"/>
  <c r="BM23" i="7" s="1"/>
  <c r="BM719" i="7"/>
  <c r="BM720" i="7" s="1"/>
  <c r="BM713" i="7"/>
  <c r="BM709" i="7"/>
  <c r="BM701" i="7"/>
  <c r="BM695" i="7"/>
  <c r="BM691" i="7"/>
  <c r="BM687" i="7"/>
  <c r="BM736" i="7"/>
  <c r="BM729" i="7"/>
  <c r="BM748" i="7"/>
  <c r="BM749" i="7" s="1"/>
  <c r="BM750" i="7" s="1"/>
  <c r="BM751" i="7" s="1"/>
  <c r="BL674" i="7"/>
  <c r="BL675" i="7" s="1"/>
  <c r="BL666" i="7"/>
  <c r="BL661" i="7"/>
  <c r="BL656" i="7"/>
  <c r="BL650" i="7"/>
  <c r="BL646" i="7"/>
  <c r="BL638" i="7"/>
  <c r="BL639" i="7" s="1"/>
  <c r="BL624" i="7"/>
  <c r="BL618" i="7"/>
  <c r="BL613" i="7"/>
  <c r="BL606" i="7"/>
  <c r="BL600" i="7"/>
  <c r="BL595" i="7"/>
  <c r="BL590" i="7"/>
  <c r="BL582" i="7"/>
  <c r="BL576" i="7"/>
  <c r="BL570" i="7"/>
  <c r="BL563" i="7"/>
  <c r="BL556" i="7"/>
  <c r="BL557" i="7" s="1"/>
  <c r="BL544" i="7"/>
  <c r="BL545" i="7" s="1"/>
  <c r="BL546" i="7" s="1"/>
  <c r="BL547" i="7" s="1"/>
  <c r="BL534" i="7"/>
  <c r="BL535" i="7" s="1"/>
  <c r="BL525" i="7"/>
  <c r="BL521" i="7"/>
  <c r="BL517" i="7"/>
  <c r="BL513" i="7"/>
  <c r="BL508" i="7"/>
  <c r="BL501" i="7"/>
  <c r="BL497" i="7"/>
  <c r="BL491" i="7"/>
  <c r="BL485" i="7"/>
  <c r="BL479" i="7"/>
  <c r="BL480" i="7" s="1"/>
  <c r="BL468" i="7"/>
  <c r="BL469" i="7" s="1"/>
  <c r="BL462" i="7"/>
  <c r="BL457" i="7"/>
  <c r="BL453" i="7"/>
  <c r="BL449" i="7"/>
  <c r="BL442" i="7"/>
  <c r="BL434" i="7"/>
  <c r="BL424" i="7"/>
  <c r="BL420" i="7"/>
  <c r="BL413" i="7"/>
  <c r="BL400" i="7"/>
  <c r="BL387" i="7"/>
  <c r="BL383" i="7"/>
  <c r="BL374" i="7"/>
  <c r="BL362" i="7"/>
  <c r="BL363" i="7" s="1"/>
  <c r="BL356" i="7"/>
  <c r="BL357" i="7" s="1"/>
  <c r="BL345" i="7"/>
  <c r="BL346" i="7"/>
  <c r="BL347" i="7" s="1"/>
  <c r="BL333" i="7"/>
  <c r="BL327" i="7"/>
  <c r="BL320" i="7"/>
  <c r="BL311" i="7"/>
  <c r="BL300" i="7"/>
  <c r="BL291" i="7"/>
  <c r="BL286" i="7"/>
  <c r="BL271" i="7"/>
  <c r="BL267" i="7"/>
  <c r="BL263" i="7"/>
  <c r="BL256" i="7"/>
  <c r="BL250" i="7"/>
  <c r="BL243" i="7"/>
  <c r="BL229" i="7"/>
  <c r="BL224" i="7"/>
  <c r="BL218" i="7"/>
  <c r="BL214" i="7"/>
  <c r="BL210" i="7"/>
  <c r="BL197" i="7"/>
  <c r="BL193" i="7"/>
  <c r="BL198" i="7" s="1"/>
  <c r="BL185" i="7"/>
  <c r="BL186" i="7" s="1"/>
  <c r="BL177" i="7"/>
  <c r="BL172" i="7"/>
  <c r="BL162" i="7"/>
  <c r="BL157" i="7"/>
  <c r="BL151" i="7"/>
  <c r="BL134" i="7"/>
  <c r="BL142" i="7" s="1"/>
  <c r="BL120" i="7"/>
  <c r="BL121" i="7" s="1"/>
  <c r="BL114" i="7"/>
  <c r="BL115" i="7" s="1"/>
  <c r="BL101" i="7"/>
  <c r="BL89" i="7"/>
  <c r="BL77" i="7"/>
  <c r="BL78" i="7" s="1"/>
  <c r="BL79" i="7" s="1"/>
  <c r="BL80" i="7" s="1"/>
  <c r="BL30" i="7"/>
  <c r="BL34" i="7"/>
  <c r="BL40" i="7"/>
  <c r="BL41" i="7" s="1"/>
  <c r="BL63" i="7"/>
  <c r="BL64" i="7" s="1"/>
  <c r="BL20" i="7"/>
  <c r="BL21" i="7" s="1"/>
  <c r="BL22" i="7" s="1"/>
  <c r="BL23" i="7" s="1"/>
  <c r="BL719" i="7"/>
  <c r="BL720" i="7" s="1"/>
  <c r="BL713" i="7"/>
  <c r="BL709" i="7"/>
  <c r="BL701" i="7"/>
  <c r="BL695" i="7"/>
  <c r="BL691" i="7"/>
  <c r="BL687" i="7"/>
  <c r="BL736" i="7"/>
  <c r="BL729" i="7"/>
  <c r="BK674" i="7"/>
  <c r="BK675" i="7" s="1"/>
  <c r="BK666" i="7"/>
  <c r="BK661" i="7"/>
  <c r="BK656" i="7"/>
  <c r="BK650" i="7"/>
  <c r="BK646" i="7"/>
  <c r="BK638" i="7"/>
  <c r="BK639" i="7" s="1"/>
  <c r="BK624" i="7"/>
  <c r="BK618" i="7"/>
  <c r="BK613" i="7"/>
  <c r="BK606" i="7"/>
  <c r="BK600" i="7"/>
  <c r="BK595" i="7"/>
  <c r="BK590" i="7"/>
  <c r="BK582" i="7"/>
  <c r="BK576" i="7"/>
  <c r="BK570" i="7"/>
  <c r="BK563" i="7"/>
  <c r="BK556" i="7"/>
  <c r="BK557" i="7" s="1"/>
  <c r="BK544" i="7"/>
  <c r="BK545" i="7" s="1"/>
  <c r="BK546" i="7" s="1"/>
  <c r="BK547" i="7" s="1"/>
  <c r="BK534" i="7"/>
  <c r="BK535" i="7" s="1"/>
  <c r="BK525" i="7"/>
  <c r="BK521" i="7"/>
  <c r="BK517" i="7"/>
  <c r="BK513" i="7"/>
  <c r="BK508" i="7"/>
  <c r="BK501" i="7"/>
  <c r="BK497" i="7"/>
  <c r="BK491" i="7"/>
  <c r="BK485" i="7"/>
  <c r="BK479" i="7"/>
  <c r="BK480" i="7" s="1"/>
  <c r="BK468" i="7"/>
  <c r="BK469" i="7" s="1"/>
  <c r="BK462" i="7"/>
  <c r="BK457" i="7"/>
  <c r="BK453" i="7"/>
  <c r="BK449" i="7"/>
  <c r="BK442" i="7"/>
  <c r="BK434" i="7"/>
  <c r="BK424" i="7"/>
  <c r="BK420" i="7"/>
  <c r="BK413" i="7"/>
  <c r="BK400" i="7"/>
  <c r="BK387" i="7"/>
  <c r="BK383" i="7"/>
  <c r="BK374" i="7"/>
  <c r="BK362" i="7"/>
  <c r="BK363" i="7" s="1"/>
  <c r="BK356" i="7"/>
  <c r="BK357" i="7" s="1"/>
  <c r="BK345" i="7"/>
  <c r="BK346" i="7" s="1"/>
  <c r="BK347" i="7" s="1"/>
  <c r="BK333" i="7"/>
  <c r="BK327" i="7"/>
  <c r="BK320" i="7"/>
  <c r="BK311" i="7"/>
  <c r="BK300" i="7"/>
  <c r="BK291" i="7"/>
  <c r="BK286" i="7"/>
  <c r="BK271" i="7"/>
  <c r="BK267" i="7"/>
  <c r="BK263" i="7"/>
  <c r="BK256" i="7"/>
  <c r="BK250" i="7"/>
  <c r="BK243" i="7"/>
  <c r="BK229" i="7"/>
  <c r="BK224" i="7"/>
  <c r="BK218" i="7"/>
  <c r="BK214" i="7"/>
  <c r="BK210" i="7"/>
  <c r="BK197" i="7"/>
  <c r="BK193" i="7"/>
  <c r="BK185" i="7"/>
  <c r="BK186" i="7" s="1"/>
  <c r="BK177" i="7"/>
  <c r="BK172" i="7"/>
  <c r="BK162" i="7"/>
  <c r="BK157" i="7"/>
  <c r="BK151" i="7"/>
  <c r="BK134" i="7"/>
  <c r="BK142" i="7" s="1"/>
  <c r="BK120" i="7"/>
  <c r="BK121" i="7" s="1"/>
  <c r="BK114" i="7"/>
  <c r="BK115" i="7" s="1"/>
  <c r="BK101" i="7"/>
  <c r="BK89" i="7"/>
  <c r="BK77" i="7"/>
  <c r="BK78" i="7" s="1"/>
  <c r="BK79" i="7" s="1"/>
  <c r="BK80" i="7" s="1"/>
  <c r="BK30" i="7"/>
  <c r="BK34" i="7"/>
  <c r="BK40" i="7"/>
  <c r="BK41" i="7" s="1"/>
  <c r="BK63" i="7"/>
  <c r="BK64" i="7" s="1"/>
  <c r="BK20" i="7"/>
  <c r="BK21" i="7" s="1"/>
  <c r="BK22" i="7" s="1"/>
  <c r="BK23" i="7" s="1"/>
  <c r="BK719" i="7"/>
  <c r="BK720" i="7" s="1"/>
  <c r="BK713" i="7"/>
  <c r="BK709" i="7"/>
  <c r="BK701" i="7"/>
  <c r="BK695" i="7"/>
  <c r="BK691" i="7"/>
  <c r="BK687" i="7"/>
  <c r="BK736" i="7"/>
  <c r="BK729" i="7"/>
  <c r="BK737" i="7" s="1"/>
  <c r="BK738" i="7" s="1"/>
  <c r="BK739" i="7" s="1"/>
  <c r="BJ674" i="7"/>
  <c r="BJ675" i="7" s="1"/>
  <c r="BJ666" i="7"/>
  <c r="BJ661" i="7"/>
  <c r="BJ656" i="7"/>
  <c r="BJ650" i="7"/>
  <c r="BJ646" i="7"/>
  <c r="BJ638" i="7"/>
  <c r="BJ634" i="7"/>
  <c r="BJ630" i="7"/>
  <c r="BJ624" i="7"/>
  <c r="BJ618" i="7"/>
  <c r="BJ613" i="7"/>
  <c r="BJ606" i="7"/>
  <c r="BJ600" i="7"/>
  <c r="BJ595" i="7"/>
  <c r="BJ590" i="7"/>
  <c r="BJ582" i="7"/>
  <c r="BJ576" i="7"/>
  <c r="BJ570" i="7"/>
  <c r="BJ563" i="7"/>
  <c r="BJ556" i="7"/>
  <c r="BJ557" i="7" s="1"/>
  <c r="BJ544" i="7"/>
  <c r="BJ545" i="7" s="1"/>
  <c r="BJ546" i="7" s="1"/>
  <c r="BJ547" i="7" s="1"/>
  <c r="BJ534" i="7"/>
  <c r="BJ535" i="7" s="1"/>
  <c r="BJ525" i="7"/>
  <c r="BJ521" i="7"/>
  <c r="BJ517" i="7"/>
  <c r="BJ513" i="7"/>
  <c r="BJ508" i="7"/>
  <c r="BJ501" i="7"/>
  <c r="BJ497" i="7"/>
  <c r="BJ491" i="7"/>
  <c r="BJ485" i="7"/>
  <c r="BJ479" i="7"/>
  <c r="BJ480" i="7" s="1"/>
  <c r="BJ468" i="7"/>
  <c r="BJ469" i="7" s="1"/>
  <c r="BJ462" i="7"/>
  <c r="BJ457" i="7"/>
  <c r="BJ453" i="7"/>
  <c r="BJ449" i="7"/>
  <c r="BJ442" i="7"/>
  <c r="BJ434" i="7"/>
  <c r="BJ424" i="7"/>
  <c r="BJ420" i="7"/>
  <c r="BJ413" i="7"/>
  <c r="BJ400" i="7"/>
  <c r="BJ387" i="7"/>
  <c r="BJ383" i="7"/>
  <c r="BJ374" i="7"/>
  <c r="BJ362" i="7"/>
  <c r="BJ363" i="7" s="1"/>
  <c r="BJ356" i="7"/>
  <c r="BJ357" i="7" s="1"/>
  <c r="BJ345" i="7"/>
  <c r="BJ346" i="7"/>
  <c r="BJ347" i="7" s="1"/>
  <c r="BJ333" i="7"/>
  <c r="BJ327" i="7"/>
  <c r="BJ320" i="7"/>
  <c r="BJ311" i="7"/>
  <c r="BJ300" i="7"/>
  <c r="BJ291" i="7"/>
  <c r="BJ286" i="7"/>
  <c r="BJ271" i="7"/>
  <c r="BJ267" i="7"/>
  <c r="BJ263" i="7"/>
  <c r="BJ256" i="7"/>
  <c r="BJ250" i="7"/>
  <c r="BJ243" i="7"/>
  <c r="BJ229" i="7"/>
  <c r="BJ224" i="7"/>
  <c r="BJ218" i="7"/>
  <c r="BJ214" i="7"/>
  <c r="BJ210" i="7"/>
  <c r="BJ197" i="7"/>
  <c r="BJ193" i="7"/>
  <c r="BJ185" i="7"/>
  <c r="BJ186" i="7" s="1"/>
  <c r="BJ177" i="7"/>
  <c r="BJ172" i="7"/>
  <c r="BJ162" i="7"/>
  <c r="BJ157" i="7"/>
  <c r="BJ151" i="7"/>
  <c r="BJ134" i="7"/>
  <c r="BJ142" i="7" s="1"/>
  <c r="BJ120" i="7"/>
  <c r="BJ121" i="7" s="1"/>
  <c r="BJ114" i="7"/>
  <c r="BJ115" i="7" s="1"/>
  <c r="BJ101" i="7"/>
  <c r="BJ89" i="7"/>
  <c r="BJ77" i="7"/>
  <c r="BJ78" i="7" s="1"/>
  <c r="BJ79" i="7" s="1"/>
  <c r="BJ80" i="7" s="1"/>
  <c r="BJ30" i="7"/>
  <c r="BJ34" i="7"/>
  <c r="BJ40" i="7"/>
  <c r="BJ41" i="7" s="1"/>
  <c r="BJ63" i="7"/>
  <c r="BJ64" i="7"/>
  <c r="BJ20" i="7"/>
  <c r="BJ21" i="7" s="1"/>
  <c r="BJ22" i="7" s="1"/>
  <c r="BJ23" i="7" s="1"/>
  <c r="BJ719" i="7"/>
  <c r="BJ720" i="7" s="1"/>
  <c r="BJ713" i="7"/>
  <c r="BJ709" i="7"/>
  <c r="BJ701" i="7"/>
  <c r="BJ695" i="7"/>
  <c r="BJ691" i="7"/>
  <c r="BJ687" i="7"/>
  <c r="BJ736" i="7"/>
  <c r="BJ729" i="7"/>
  <c r="BJ748" i="7"/>
  <c r="BJ749" i="7" s="1"/>
  <c r="BJ750" i="7" s="1"/>
  <c r="BJ751" i="7" s="1"/>
  <c r="BI674" i="7"/>
  <c r="BI675" i="7" s="1"/>
  <c r="BI666" i="7"/>
  <c r="BI661" i="7"/>
  <c r="BI656" i="7"/>
  <c r="BI650" i="7"/>
  <c r="BI646" i="7"/>
  <c r="BI638" i="7"/>
  <c r="BI639" i="7" s="1"/>
  <c r="BI624" i="7"/>
  <c r="BI618" i="7"/>
  <c r="BI613" i="7"/>
  <c r="BI606" i="7"/>
  <c r="BI600" i="7"/>
  <c r="BI595" i="7"/>
  <c r="BI590" i="7"/>
  <c r="BI582" i="7"/>
  <c r="BI576" i="7"/>
  <c r="BI570" i="7"/>
  <c r="BI563" i="7"/>
  <c r="BI556" i="7"/>
  <c r="BI557" i="7" s="1"/>
  <c r="BI544" i="7"/>
  <c r="BI545" i="7"/>
  <c r="BI546" i="7" s="1"/>
  <c r="BI547" i="7" s="1"/>
  <c r="BI534" i="7"/>
  <c r="BI535" i="7" s="1"/>
  <c r="BI525" i="7"/>
  <c r="BI521" i="7"/>
  <c r="BI517" i="7"/>
  <c r="BI513" i="7"/>
  <c r="BI508" i="7"/>
  <c r="BI501" i="7"/>
  <c r="BI497" i="7"/>
  <c r="BI491" i="7"/>
  <c r="BI485" i="7"/>
  <c r="BI479" i="7"/>
  <c r="BI480" i="7" s="1"/>
  <c r="BI468" i="7"/>
  <c r="BI469" i="7" s="1"/>
  <c r="BI462" i="7"/>
  <c r="BI457" i="7"/>
  <c r="BI453" i="7"/>
  <c r="BI449" i="7"/>
  <c r="BI442" i="7"/>
  <c r="BI434" i="7"/>
  <c r="BI424" i="7"/>
  <c r="BI420" i="7"/>
  <c r="BI413" i="7"/>
  <c r="BI400" i="7"/>
  <c r="BI387" i="7"/>
  <c r="BI383" i="7"/>
  <c r="BI374" i="7"/>
  <c r="BI362" i="7"/>
  <c r="BI363" i="7" s="1"/>
  <c r="BI356" i="7"/>
  <c r="BI357" i="7" s="1"/>
  <c r="BI345" i="7"/>
  <c r="BI346" i="7" s="1"/>
  <c r="BI347" i="7" s="1"/>
  <c r="BI333" i="7"/>
  <c r="BI327" i="7"/>
  <c r="BI320" i="7"/>
  <c r="BI311" i="7"/>
  <c r="BI300" i="7"/>
  <c r="BI291" i="7"/>
  <c r="BI286" i="7"/>
  <c r="BI271" i="7"/>
  <c r="BI267" i="7"/>
  <c r="BI263" i="7"/>
  <c r="BI256" i="7"/>
  <c r="BI250" i="7"/>
  <c r="BI243" i="7"/>
  <c r="BI229" i="7"/>
  <c r="BI224" i="7"/>
  <c r="BI218" i="7"/>
  <c r="BI214" i="7"/>
  <c r="BI210" i="7"/>
  <c r="BI197" i="7"/>
  <c r="BI193" i="7"/>
  <c r="BI185" i="7"/>
  <c r="BI186" i="7" s="1"/>
  <c r="BI177" i="7"/>
  <c r="BI172" i="7"/>
  <c r="BI162" i="7"/>
  <c r="BI157" i="7"/>
  <c r="BI151" i="7"/>
  <c r="BI134" i="7"/>
  <c r="BI142" i="7" s="1"/>
  <c r="BI120" i="7"/>
  <c r="BI121" i="7" s="1"/>
  <c r="BI114" i="7"/>
  <c r="BI115" i="7" s="1"/>
  <c r="BI101" i="7"/>
  <c r="BI89" i="7"/>
  <c r="BI77" i="7"/>
  <c r="BI78" i="7" s="1"/>
  <c r="BI79" i="7" s="1"/>
  <c r="BI80" i="7" s="1"/>
  <c r="BI30" i="7"/>
  <c r="BI34" i="7"/>
  <c r="BI40" i="7"/>
  <c r="BI41" i="7" s="1"/>
  <c r="BI63" i="7"/>
  <c r="BI64" i="7" s="1"/>
  <c r="BI20" i="7"/>
  <c r="BI21" i="7" s="1"/>
  <c r="BI22" i="7" s="1"/>
  <c r="BI23" i="7" s="1"/>
  <c r="BI719" i="7"/>
  <c r="BI720" i="7" s="1"/>
  <c r="BI713" i="7"/>
  <c r="BI709" i="7"/>
  <c r="BI701" i="7"/>
  <c r="BI695" i="7"/>
  <c r="BI691" i="7"/>
  <c r="BI687" i="7"/>
  <c r="BI736" i="7"/>
  <c r="BI729" i="7"/>
  <c r="BH674" i="7"/>
  <c r="BH675" i="7" s="1"/>
  <c r="BH666" i="7"/>
  <c r="BH661" i="7"/>
  <c r="BH656" i="7"/>
  <c r="BH650" i="7"/>
  <c r="BH646" i="7"/>
  <c r="BH638" i="7"/>
  <c r="BH639" i="7" s="1"/>
  <c r="BH624" i="7"/>
  <c r="BH618" i="7"/>
  <c r="BH613" i="7"/>
  <c r="BH606" i="7"/>
  <c r="BH600" i="7"/>
  <c r="BH595" i="7"/>
  <c r="BH590" i="7"/>
  <c r="BH582" i="7"/>
  <c r="BH576" i="7"/>
  <c r="BH570" i="7"/>
  <c r="BH563" i="7"/>
  <c r="BH556" i="7"/>
  <c r="BH557" i="7" s="1"/>
  <c r="BH544" i="7"/>
  <c r="BH545" i="7" s="1"/>
  <c r="BH546" i="7" s="1"/>
  <c r="BH547" i="7" s="1"/>
  <c r="BH534" i="7"/>
  <c r="BH535" i="7" s="1"/>
  <c r="BH525" i="7"/>
  <c r="BH521" i="7"/>
  <c r="BH517" i="7"/>
  <c r="BH513" i="7"/>
  <c r="BH508" i="7"/>
  <c r="BH501" i="7"/>
  <c r="BH497" i="7"/>
  <c r="BH491" i="7"/>
  <c r="BH485" i="7"/>
  <c r="BH479" i="7"/>
  <c r="BH480" i="7" s="1"/>
  <c r="BH468" i="7"/>
  <c r="BH469" i="7" s="1"/>
  <c r="BH462" i="7"/>
  <c r="BH457" i="7"/>
  <c r="BH453" i="7"/>
  <c r="BH449" i="7"/>
  <c r="BH442" i="7"/>
  <c r="BH434" i="7"/>
  <c r="BH424" i="7"/>
  <c r="BH420" i="7"/>
  <c r="BH413" i="7"/>
  <c r="BH400" i="7"/>
  <c r="BH387" i="7"/>
  <c r="BH383" i="7"/>
  <c r="BH374" i="7"/>
  <c r="BH362" i="7"/>
  <c r="BH363" i="7" s="1"/>
  <c r="BH356" i="7"/>
  <c r="BH357" i="7" s="1"/>
  <c r="BH345" i="7"/>
  <c r="BH346" i="7" s="1"/>
  <c r="BH347" i="7" s="1"/>
  <c r="BH333" i="7"/>
  <c r="BH327" i="7"/>
  <c r="BH320" i="7"/>
  <c r="BH311" i="7"/>
  <c r="BH300" i="7"/>
  <c r="BH291" i="7"/>
  <c r="BH286" i="7"/>
  <c r="BH271" i="7"/>
  <c r="BH267" i="7"/>
  <c r="BH263" i="7"/>
  <c r="BH256" i="7"/>
  <c r="BH250" i="7"/>
  <c r="BH243" i="7"/>
  <c r="BH229" i="7"/>
  <c r="BH224" i="7"/>
  <c r="BH218" i="7"/>
  <c r="BH214" i="7"/>
  <c r="BH210" i="7"/>
  <c r="BH197" i="7"/>
  <c r="BH193" i="7"/>
  <c r="BH185" i="7"/>
  <c r="BH186" i="7" s="1"/>
  <c r="BH177" i="7"/>
  <c r="BH172" i="7"/>
  <c r="BH162" i="7"/>
  <c r="BH157" i="7"/>
  <c r="BH151" i="7"/>
  <c r="BH134" i="7"/>
  <c r="BH142" i="7" s="1"/>
  <c r="BH120" i="7"/>
  <c r="BH121" i="7" s="1"/>
  <c r="BH114" i="7"/>
  <c r="BH115" i="7" s="1"/>
  <c r="BH101" i="7"/>
  <c r="BH89" i="7"/>
  <c r="BH77" i="7"/>
  <c r="BH78" i="7" s="1"/>
  <c r="BH79" i="7" s="1"/>
  <c r="BH80" i="7" s="1"/>
  <c r="BH30" i="7"/>
  <c r="BH34" i="7"/>
  <c r="BH40" i="7"/>
  <c r="BH41" i="7" s="1"/>
  <c r="BH63" i="7"/>
  <c r="BH64" i="7" s="1"/>
  <c r="BH20" i="7"/>
  <c r="BH21" i="7" s="1"/>
  <c r="BH22" i="7" s="1"/>
  <c r="BH23" i="7" s="1"/>
  <c r="BH719" i="7"/>
  <c r="BH720" i="7" s="1"/>
  <c r="BH713" i="7"/>
  <c r="BH709" i="7"/>
  <c r="BH701" i="7"/>
  <c r="BH695" i="7"/>
  <c r="BH691" i="7"/>
  <c r="BH687" i="7"/>
  <c r="BH736" i="7"/>
  <c r="BH729" i="7"/>
  <c r="BG674" i="7"/>
  <c r="BG675" i="7" s="1"/>
  <c r="BG666" i="7"/>
  <c r="BG661" i="7"/>
  <c r="BG656" i="7"/>
  <c r="BG650" i="7"/>
  <c r="BG646" i="7"/>
  <c r="BG638" i="7"/>
  <c r="BG634" i="7"/>
  <c r="BG630" i="7"/>
  <c r="BG624" i="7"/>
  <c r="BG618" i="7"/>
  <c r="BG613" i="7"/>
  <c r="BG606" i="7"/>
  <c r="BG600" i="7"/>
  <c r="BG595" i="7"/>
  <c r="BG590" i="7"/>
  <c r="BG582" i="7"/>
  <c r="BG576" i="7"/>
  <c r="BG570" i="7"/>
  <c r="BG563" i="7"/>
  <c r="BG556" i="7"/>
  <c r="BG557" i="7" s="1"/>
  <c r="BG544" i="7"/>
  <c r="BG545" i="7" s="1"/>
  <c r="BG546" i="7" s="1"/>
  <c r="BG547" i="7" s="1"/>
  <c r="BG534" i="7"/>
  <c r="BG535" i="7" s="1"/>
  <c r="BG525" i="7"/>
  <c r="BG521" i="7"/>
  <c r="BG517" i="7"/>
  <c r="BG513" i="7"/>
  <c r="BG508" i="7"/>
  <c r="BG501" i="7"/>
  <c r="BG497" i="7"/>
  <c r="BG491" i="7"/>
  <c r="BG485" i="7"/>
  <c r="BG479" i="7"/>
  <c r="BG480" i="7" s="1"/>
  <c r="BG468" i="7"/>
  <c r="BG469" i="7"/>
  <c r="BG462" i="7"/>
  <c r="BG457" i="7"/>
  <c r="BG453" i="7"/>
  <c r="BG449" i="7"/>
  <c r="BG442" i="7"/>
  <c r="BG434" i="7"/>
  <c r="BG424" i="7"/>
  <c r="BG420" i="7"/>
  <c r="BG413" i="7"/>
  <c r="BG400" i="7"/>
  <c r="BG387" i="7"/>
  <c r="BG383" i="7"/>
  <c r="BG374" i="7"/>
  <c r="BG362" i="7"/>
  <c r="BG363" i="7" s="1"/>
  <c r="BG356" i="7"/>
  <c r="BG357" i="7" s="1"/>
  <c r="BG345" i="7"/>
  <c r="BG346" i="7" s="1"/>
  <c r="BG347" i="7" s="1"/>
  <c r="BG333" i="7"/>
  <c r="BG327" i="7"/>
  <c r="BG320" i="7"/>
  <c r="BG311" i="7"/>
  <c r="BG300" i="7"/>
  <c r="BG291" i="7"/>
  <c r="BG286" i="7"/>
  <c r="BG271" i="7"/>
  <c r="BG267" i="7"/>
  <c r="BG263" i="7"/>
  <c r="BG256" i="7"/>
  <c r="BG250" i="7"/>
  <c r="BG243" i="7"/>
  <c r="BG229" i="7"/>
  <c r="BG224" i="7"/>
  <c r="BG218" i="7"/>
  <c r="BG214" i="7"/>
  <c r="BG210" i="7"/>
  <c r="BG197" i="7"/>
  <c r="BG193" i="7"/>
  <c r="BG185" i="7"/>
  <c r="BG186" i="7" s="1"/>
  <c r="BG177" i="7"/>
  <c r="BG172" i="7"/>
  <c r="BG162" i="7"/>
  <c r="BG157" i="7"/>
  <c r="BG151" i="7"/>
  <c r="BG134" i="7"/>
  <c r="BG142" i="7" s="1"/>
  <c r="BG120" i="7"/>
  <c r="BG121" i="7" s="1"/>
  <c r="BG114" i="7"/>
  <c r="BG115" i="7" s="1"/>
  <c r="BG101" i="7"/>
  <c r="BG89" i="7"/>
  <c r="BG77" i="7"/>
  <c r="BG78" i="7" s="1"/>
  <c r="BG79" i="7" s="1"/>
  <c r="BG80" i="7" s="1"/>
  <c r="BG30" i="7"/>
  <c r="BG34" i="7"/>
  <c r="BG40" i="7"/>
  <c r="BG41" i="7" s="1"/>
  <c r="BG63" i="7"/>
  <c r="BG64" i="7" s="1"/>
  <c r="BG20" i="7"/>
  <c r="BG21" i="7" s="1"/>
  <c r="BG22" i="7" s="1"/>
  <c r="BG23" i="7" s="1"/>
  <c r="BG719" i="7"/>
  <c r="BG720" i="7" s="1"/>
  <c r="BG713" i="7"/>
  <c r="BG709" i="7"/>
  <c r="BG701" i="7"/>
  <c r="BG695" i="7"/>
  <c r="BG691" i="7"/>
  <c r="BG687" i="7"/>
  <c r="BG736" i="7"/>
  <c r="BG729" i="7"/>
  <c r="BG748" i="7"/>
  <c r="BG749" i="7" s="1"/>
  <c r="BG750" i="7" s="1"/>
  <c r="BG751" i="7" s="1"/>
  <c r="BF674" i="7"/>
  <c r="BF675" i="7" s="1"/>
  <c r="BF666" i="7"/>
  <c r="BF661" i="7"/>
  <c r="BF656" i="7"/>
  <c r="BF650" i="7"/>
  <c r="BF646" i="7"/>
  <c r="BF638" i="7"/>
  <c r="BF634" i="7"/>
  <c r="BF624" i="7"/>
  <c r="BF618" i="7"/>
  <c r="BF613" i="7"/>
  <c r="BF606" i="7"/>
  <c r="BF600" i="7"/>
  <c r="BF595" i="7"/>
  <c r="BF590" i="7"/>
  <c r="BF582" i="7"/>
  <c r="BF576" i="7"/>
  <c r="BF570" i="7"/>
  <c r="BF563" i="7"/>
  <c r="BF556" i="7"/>
  <c r="BF557" i="7" s="1"/>
  <c r="BF544" i="7"/>
  <c r="BF545" i="7" s="1"/>
  <c r="BF546" i="7" s="1"/>
  <c r="BF547" i="7" s="1"/>
  <c r="BF534" i="7"/>
  <c r="BF535" i="7" s="1"/>
  <c r="BF525" i="7"/>
  <c r="BF521" i="7"/>
  <c r="BF517" i="7"/>
  <c r="BF513" i="7"/>
  <c r="BF508" i="7"/>
  <c r="BF501" i="7"/>
  <c r="BF497" i="7"/>
  <c r="BF491" i="7"/>
  <c r="BF485" i="7"/>
  <c r="BF479" i="7"/>
  <c r="BF480" i="7" s="1"/>
  <c r="BF468" i="7"/>
  <c r="BF469" i="7" s="1"/>
  <c r="BF462" i="7"/>
  <c r="BF457" i="7"/>
  <c r="BF453" i="7"/>
  <c r="BF449" i="7"/>
  <c r="BF442" i="7"/>
  <c r="BF434" i="7"/>
  <c r="BF424" i="7"/>
  <c r="BF420" i="7"/>
  <c r="BF413" i="7"/>
  <c r="BF400" i="7"/>
  <c r="BF387" i="7"/>
  <c r="BF383" i="7"/>
  <c r="BF374" i="7"/>
  <c r="BF362" i="7"/>
  <c r="BF363" i="7" s="1"/>
  <c r="BF356" i="7"/>
  <c r="BF357" i="7" s="1"/>
  <c r="BF345" i="7"/>
  <c r="BF346" i="7" s="1"/>
  <c r="BF347" i="7" s="1"/>
  <c r="BF333" i="7"/>
  <c r="BF327" i="7"/>
  <c r="BF320" i="7"/>
  <c r="BF311" i="7"/>
  <c r="BF300" i="7"/>
  <c r="BF291" i="7"/>
  <c r="BF286" i="7"/>
  <c r="BF271" i="7"/>
  <c r="BF267" i="7"/>
  <c r="BF263" i="7"/>
  <c r="BF256" i="7"/>
  <c r="BF250" i="7"/>
  <c r="BF243" i="7"/>
  <c r="BF229" i="7"/>
  <c r="BF224" i="7"/>
  <c r="BF218" i="7"/>
  <c r="BF214" i="7"/>
  <c r="BF210" i="7"/>
  <c r="BF197" i="7"/>
  <c r="BF193" i="7"/>
  <c r="BF185" i="7"/>
  <c r="BF186" i="7" s="1"/>
  <c r="BF177" i="7"/>
  <c r="BF172" i="7"/>
  <c r="BF162" i="7"/>
  <c r="BF157" i="7"/>
  <c r="BF151" i="7"/>
  <c r="BF134" i="7"/>
  <c r="BF142" i="7"/>
  <c r="BF120" i="7"/>
  <c r="BF121" i="7" s="1"/>
  <c r="BF114" i="7"/>
  <c r="BF115" i="7" s="1"/>
  <c r="BF101" i="7"/>
  <c r="BF89" i="7"/>
  <c r="BF77" i="7"/>
  <c r="BF78" i="7" s="1"/>
  <c r="BF79" i="7" s="1"/>
  <c r="BF80" i="7" s="1"/>
  <c r="BF30" i="7"/>
  <c r="BF34" i="7"/>
  <c r="BF40" i="7"/>
  <c r="BF41" i="7" s="1"/>
  <c r="BF63" i="7"/>
  <c r="BF64" i="7" s="1"/>
  <c r="BF20" i="7"/>
  <c r="BF21" i="7" s="1"/>
  <c r="BF22" i="7" s="1"/>
  <c r="BF23" i="7" s="1"/>
  <c r="BF719" i="7"/>
  <c r="BF720" i="7" s="1"/>
  <c r="BF713" i="7"/>
  <c r="BF709" i="7"/>
  <c r="BF701" i="7"/>
  <c r="BF695" i="7"/>
  <c r="BF691" i="7"/>
  <c r="BF687" i="7"/>
  <c r="BF736" i="7"/>
  <c r="BF729" i="7"/>
  <c r="BE674" i="7"/>
  <c r="BE675" i="7" s="1"/>
  <c r="BE666" i="7"/>
  <c r="BE661" i="7"/>
  <c r="BE656" i="7"/>
  <c r="BE650" i="7"/>
  <c r="BE646" i="7"/>
  <c r="BE638" i="7"/>
  <c r="BE634" i="7"/>
  <c r="BE624" i="7"/>
  <c r="BE618" i="7"/>
  <c r="BE613" i="7"/>
  <c r="BE606" i="7"/>
  <c r="BE600" i="7"/>
  <c r="BE595" i="7"/>
  <c r="BE590" i="7"/>
  <c r="BE582" i="7"/>
  <c r="BE576" i="7"/>
  <c r="BE570" i="7"/>
  <c r="BE563" i="7"/>
  <c r="BE556" i="7"/>
  <c r="BE557" i="7" s="1"/>
  <c r="BE544" i="7"/>
  <c r="BE545" i="7" s="1"/>
  <c r="BE546" i="7" s="1"/>
  <c r="BE547" i="7" s="1"/>
  <c r="BE534" i="7"/>
  <c r="BE535" i="7" s="1"/>
  <c r="BE525" i="7"/>
  <c r="BE521" i="7"/>
  <c r="BE517" i="7"/>
  <c r="BE513" i="7"/>
  <c r="BE508" i="7"/>
  <c r="BE501" i="7"/>
  <c r="BE497" i="7"/>
  <c r="BE491" i="7"/>
  <c r="BE485" i="7"/>
  <c r="BE479" i="7"/>
  <c r="BE480" i="7" s="1"/>
  <c r="BE468" i="7"/>
  <c r="BE469" i="7" s="1"/>
  <c r="BE462" i="7"/>
  <c r="BE457" i="7"/>
  <c r="BE453" i="7"/>
  <c r="BE449" i="7"/>
  <c r="BE442" i="7"/>
  <c r="BE434" i="7"/>
  <c r="BE424" i="7"/>
  <c r="BE420" i="7"/>
  <c r="BE413" i="7"/>
  <c r="BE400" i="7"/>
  <c r="BE387" i="7"/>
  <c r="BE383" i="7"/>
  <c r="BE374" i="7"/>
  <c r="BE362" i="7"/>
  <c r="BE363" i="7" s="1"/>
  <c r="BE356" i="7"/>
  <c r="BE357" i="7" s="1"/>
  <c r="BE345" i="7"/>
  <c r="BE346" i="7" s="1"/>
  <c r="BE347" i="7" s="1"/>
  <c r="BE333" i="7"/>
  <c r="BE327" i="7"/>
  <c r="BE320" i="7"/>
  <c r="BE311" i="7"/>
  <c r="BE300" i="7"/>
  <c r="BE291" i="7"/>
  <c r="BE286" i="7"/>
  <c r="BE271" i="7"/>
  <c r="BE267" i="7"/>
  <c r="BE263" i="7"/>
  <c r="BE256" i="7"/>
  <c r="BE250" i="7"/>
  <c r="BE243" i="7"/>
  <c r="BE229" i="7"/>
  <c r="BE224" i="7"/>
  <c r="BE218" i="7"/>
  <c r="BE214" i="7"/>
  <c r="BE210" i="7"/>
  <c r="BE197" i="7"/>
  <c r="BE193" i="7"/>
  <c r="BE185" i="7"/>
  <c r="BE186" i="7" s="1"/>
  <c r="BE177" i="7"/>
  <c r="BE172" i="7"/>
  <c r="BE162" i="7"/>
  <c r="BE157" i="7"/>
  <c r="BE151" i="7"/>
  <c r="BE134" i="7"/>
  <c r="BE142" i="7" s="1"/>
  <c r="BE120" i="7"/>
  <c r="BE121" i="7" s="1"/>
  <c r="BE114" i="7"/>
  <c r="BE115" i="7" s="1"/>
  <c r="BE101" i="7"/>
  <c r="BE89" i="7"/>
  <c r="BE77" i="7"/>
  <c r="BE78" i="7" s="1"/>
  <c r="BE79" i="7" s="1"/>
  <c r="BE80" i="7" s="1"/>
  <c r="BE30" i="7"/>
  <c r="BE34" i="7"/>
  <c r="BE40" i="7"/>
  <c r="BE41" i="7" s="1"/>
  <c r="BE63" i="7"/>
  <c r="BE64" i="7" s="1"/>
  <c r="BE20" i="7"/>
  <c r="BE21" i="7" s="1"/>
  <c r="BE22" i="7" s="1"/>
  <c r="BE23" i="7" s="1"/>
  <c r="BE719" i="7"/>
  <c r="BE720" i="7" s="1"/>
  <c r="BE713" i="7"/>
  <c r="BE709" i="7"/>
  <c r="BE701" i="7"/>
  <c r="BE695" i="7"/>
  <c r="BE691" i="7"/>
  <c r="BE687" i="7"/>
  <c r="BE736" i="7"/>
  <c r="BE729" i="7"/>
  <c r="BD674" i="7"/>
  <c r="BD675" i="7" s="1"/>
  <c r="BD666" i="7"/>
  <c r="BD661" i="7"/>
  <c r="BD656" i="7"/>
  <c r="BD650" i="7"/>
  <c r="BD646" i="7"/>
  <c r="BD638" i="7"/>
  <c r="BD634" i="7"/>
  <c r="BD630" i="7"/>
  <c r="BD624" i="7"/>
  <c r="BD618" i="7"/>
  <c r="BD613" i="7"/>
  <c r="BD606" i="7"/>
  <c r="BD600" i="7"/>
  <c r="BD595" i="7"/>
  <c r="BD590" i="7"/>
  <c r="BD582" i="7"/>
  <c r="BD576" i="7"/>
  <c r="BD570" i="7"/>
  <c r="BD563" i="7"/>
  <c r="BD556" i="7"/>
  <c r="BD557" i="7" s="1"/>
  <c r="BD544" i="7"/>
  <c r="BD545" i="7" s="1"/>
  <c r="BD546" i="7" s="1"/>
  <c r="BD547" i="7" s="1"/>
  <c r="BD534" i="7"/>
  <c r="BD535" i="7" s="1"/>
  <c r="BD525" i="7"/>
  <c r="BD521" i="7"/>
  <c r="BD517" i="7"/>
  <c r="BD513" i="7"/>
  <c r="BD508" i="7"/>
  <c r="BD501" i="7"/>
  <c r="BD497" i="7"/>
  <c r="BD491" i="7"/>
  <c r="BD485" i="7"/>
  <c r="BD479" i="7"/>
  <c r="BD480" i="7" s="1"/>
  <c r="BD468" i="7"/>
  <c r="BD469" i="7" s="1"/>
  <c r="BD462" i="7"/>
  <c r="BD457" i="7"/>
  <c r="BD453" i="7"/>
  <c r="BD449" i="7"/>
  <c r="BD442" i="7"/>
  <c r="BD434" i="7"/>
  <c r="BD424" i="7"/>
  <c r="BD420" i="7"/>
  <c r="BD413" i="7"/>
  <c r="BD400" i="7"/>
  <c r="BD387" i="7"/>
  <c r="BD383" i="7"/>
  <c r="BD374" i="7"/>
  <c r="BD362" i="7"/>
  <c r="BD363" i="7" s="1"/>
  <c r="BD356" i="7"/>
  <c r="BD357" i="7" s="1"/>
  <c r="BD345" i="7"/>
  <c r="BD346" i="7" s="1"/>
  <c r="BD347" i="7" s="1"/>
  <c r="BD333" i="7"/>
  <c r="BD327" i="7"/>
  <c r="BD320" i="7"/>
  <c r="BD311" i="7"/>
  <c r="BD300" i="7"/>
  <c r="BD291" i="7"/>
  <c r="BD286" i="7"/>
  <c r="BD271" i="7"/>
  <c r="BD267" i="7"/>
  <c r="BD263" i="7"/>
  <c r="BD256" i="7"/>
  <c r="BD250" i="7"/>
  <c r="BD243" i="7"/>
  <c r="BD229" i="7"/>
  <c r="BD224" i="7"/>
  <c r="BD218" i="7"/>
  <c r="BD214" i="7"/>
  <c r="BD210" i="7"/>
  <c r="BD197" i="7"/>
  <c r="BD193" i="7"/>
  <c r="BD185" i="7"/>
  <c r="BD186" i="7" s="1"/>
  <c r="BD177" i="7"/>
  <c r="BD172" i="7"/>
  <c r="BD162" i="7"/>
  <c r="BD157" i="7"/>
  <c r="BD151" i="7"/>
  <c r="BD134" i="7"/>
  <c r="BD142" i="7" s="1"/>
  <c r="BD120" i="7"/>
  <c r="BD121" i="7" s="1"/>
  <c r="BD114" i="7"/>
  <c r="BD115" i="7" s="1"/>
  <c r="BD101" i="7"/>
  <c r="BD89" i="7"/>
  <c r="BD77" i="7"/>
  <c r="BD78" i="7" s="1"/>
  <c r="BD79" i="7" s="1"/>
  <c r="BD80" i="7" s="1"/>
  <c r="BD30" i="7"/>
  <c r="BD34" i="7"/>
  <c r="BD40" i="7"/>
  <c r="BD41" i="7" s="1"/>
  <c r="BD63" i="7"/>
  <c r="BD64" i="7" s="1"/>
  <c r="BD20" i="7"/>
  <c r="BD21" i="7" s="1"/>
  <c r="BD22" i="7" s="1"/>
  <c r="BD23" i="7" s="1"/>
  <c r="BD719" i="7"/>
  <c r="BD720" i="7" s="1"/>
  <c r="BD713" i="7"/>
  <c r="BD709" i="7"/>
  <c r="BD701" i="7"/>
  <c r="BD695" i="7"/>
  <c r="BD691" i="7"/>
  <c r="BD687" i="7"/>
  <c r="BD736" i="7"/>
  <c r="BD729" i="7"/>
  <c r="BD748" i="7"/>
  <c r="BD749" i="7"/>
  <c r="BD750" i="7" s="1"/>
  <c r="BD751" i="7" s="1"/>
  <c r="BC674" i="7"/>
  <c r="BC675" i="7" s="1"/>
  <c r="BC666" i="7"/>
  <c r="BC661" i="7"/>
  <c r="BC656" i="7"/>
  <c r="BC650" i="7"/>
  <c r="BC646" i="7"/>
  <c r="BC638" i="7"/>
  <c r="BC639" i="7" s="1"/>
  <c r="BC624" i="7"/>
  <c r="BC618" i="7"/>
  <c r="BC613" i="7"/>
  <c r="BC606" i="7"/>
  <c r="BC600" i="7"/>
  <c r="BC595" i="7"/>
  <c r="BC590" i="7"/>
  <c r="BC582" i="7"/>
  <c r="BC576" i="7"/>
  <c r="BC570" i="7"/>
  <c r="BC563" i="7"/>
  <c r="BC556" i="7"/>
  <c r="BC557" i="7" s="1"/>
  <c r="BC544" i="7"/>
  <c r="BC545" i="7" s="1"/>
  <c r="BC546" i="7" s="1"/>
  <c r="BC547" i="7" s="1"/>
  <c r="BC534" i="7"/>
  <c r="BC535" i="7" s="1"/>
  <c r="BC525" i="7"/>
  <c r="BC521" i="7"/>
  <c r="BC517" i="7"/>
  <c r="BC513" i="7"/>
  <c r="BC508" i="7"/>
  <c r="BC501" i="7"/>
  <c r="BC497" i="7"/>
  <c r="BC491" i="7"/>
  <c r="BC485" i="7"/>
  <c r="BC479" i="7"/>
  <c r="BC480" i="7"/>
  <c r="BC468" i="7"/>
  <c r="BC469" i="7" s="1"/>
  <c r="BC462" i="7"/>
  <c r="BC457" i="7"/>
  <c r="BC453" i="7"/>
  <c r="BC449" i="7"/>
  <c r="BC442" i="7"/>
  <c r="BC434" i="7"/>
  <c r="BC424" i="7"/>
  <c r="BC420" i="7"/>
  <c r="BC413" i="7"/>
  <c r="BC400" i="7"/>
  <c r="BC387" i="7"/>
  <c r="BC383" i="7"/>
  <c r="BC374" i="7"/>
  <c r="BC362" i="7"/>
  <c r="BC363" i="7" s="1"/>
  <c r="BC356" i="7"/>
  <c r="BC357" i="7" s="1"/>
  <c r="BC345" i="7"/>
  <c r="BC346" i="7" s="1"/>
  <c r="BC347" i="7" s="1"/>
  <c r="BC333" i="7"/>
  <c r="BC327" i="7"/>
  <c r="BC320" i="7"/>
  <c r="BC311" i="7"/>
  <c r="BC300" i="7"/>
  <c r="BC291" i="7"/>
  <c r="BC286" i="7"/>
  <c r="BC271" i="7"/>
  <c r="BC267" i="7"/>
  <c r="BC263" i="7"/>
  <c r="BC256" i="7"/>
  <c r="BC250" i="7"/>
  <c r="BC243" i="7"/>
  <c r="BC229" i="7"/>
  <c r="BC224" i="7"/>
  <c r="BC218" i="7"/>
  <c r="BC214" i="7"/>
  <c r="BC210" i="7"/>
  <c r="BC197" i="7"/>
  <c r="BC193" i="7"/>
  <c r="BC185" i="7"/>
  <c r="BC186" i="7" s="1"/>
  <c r="BC177" i="7"/>
  <c r="BC172" i="7"/>
  <c r="BC162" i="7"/>
  <c r="BC157" i="7"/>
  <c r="BC151" i="7"/>
  <c r="BC134" i="7"/>
  <c r="BC142" i="7" s="1"/>
  <c r="BC120" i="7"/>
  <c r="BC121" i="7" s="1"/>
  <c r="BC114" i="7"/>
  <c r="BC115" i="7" s="1"/>
  <c r="BC101" i="7"/>
  <c r="BC89" i="7"/>
  <c r="BC77" i="7"/>
  <c r="BC78" i="7" s="1"/>
  <c r="BC79" i="7" s="1"/>
  <c r="BC80" i="7" s="1"/>
  <c r="BC30" i="7"/>
  <c r="BC34" i="7"/>
  <c r="BC40" i="7"/>
  <c r="BC41" i="7" s="1"/>
  <c r="BC63" i="7"/>
  <c r="BC64" i="7" s="1"/>
  <c r="BC20" i="7"/>
  <c r="BC21" i="7" s="1"/>
  <c r="BC22" i="7" s="1"/>
  <c r="BC23" i="7" s="1"/>
  <c r="BC719" i="7"/>
  <c r="BC720" i="7"/>
  <c r="BC713" i="7"/>
  <c r="BC709" i="7"/>
  <c r="BC701" i="7"/>
  <c r="BC695" i="7"/>
  <c r="BC691" i="7"/>
  <c r="BC687" i="7"/>
  <c r="BC736" i="7"/>
  <c r="BC729" i="7"/>
  <c r="BB674" i="7"/>
  <c r="BB675" i="7" s="1"/>
  <c r="BB666" i="7"/>
  <c r="BB661" i="7"/>
  <c r="BB656" i="7"/>
  <c r="BB650" i="7"/>
  <c r="BB646" i="7"/>
  <c r="BB638" i="7"/>
  <c r="BB639" i="7"/>
  <c r="BB624" i="7"/>
  <c r="BB618" i="7"/>
  <c r="BB613" i="7"/>
  <c r="BB606" i="7"/>
  <c r="BB600" i="7"/>
  <c r="BB595" i="7"/>
  <c r="BB590" i="7"/>
  <c r="BB582" i="7"/>
  <c r="BB576" i="7"/>
  <c r="BB570" i="7"/>
  <c r="BB563" i="7"/>
  <c r="BB556" i="7"/>
  <c r="BB557" i="7" s="1"/>
  <c r="BB544" i="7"/>
  <c r="BB545" i="7" s="1"/>
  <c r="BB546" i="7" s="1"/>
  <c r="BB547" i="7" s="1"/>
  <c r="BB534" i="7"/>
  <c r="BB535" i="7" s="1"/>
  <c r="BB525" i="7"/>
  <c r="BB521" i="7"/>
  <c r="BB517" i="7"/>
  <c r="BB513" i="7"/>
  <c r="BB508" i="7"/>
  <c r="BB501" i="7"/>
  <c r="BB497" i="7"/>
  <c r="BB491" i="7"/>
  <c r="BB485" i="7"/>
  <c r="BB479" i="7"/>
  <c r="BB480" i="7" s="1"/>
  <c r="BB468" i="7"/>
  <c r="BB469" i="7" s="1"/>
  <c r="BB462" i="7"/>
  <c r="BB457" i="7"/>
  <c r="BB453" i="7"/>
  <c r="BB449" i="7"/>
  <c r="BB442" i="7"/>
  <c r="BB434" i="7"/>
  <c r="BB424" i="7"/>
  <c r="BB420" i="7"/>
  <c r="BB413" i="7"/>
  <c r="BB400" i="7"/>
  <c r="BB387" i="7"/>
  <c r="BB383" i="7"/>
  <c r="BB374" i="7"/>
  <c r="BB362" i="7"/>
  <c r="BB363" i="7" s="1"/>
  <c r="BB356" i="7"/>
  <c r="BB357" i="7" s="1"/>
  <c r="BB345" i="7"/>
  <c r="BB346" i="7" s="1"/>
  <c r="BB347" i="7" s="1"/>
  <c r="BB333" i="7"/>
  <c r="BB327" i="7"/>
  <c r="BB320" i="7"/>
  <c r="BB311" i="7"/>
  <c r="BB300" i="7"/>
  <c r="BB291" i="7"/>
  <c r="BB286" i="7"/>
  <c r="BB271" i="7"/>
  <c r="BB267" i="7"/>
  <c r="BB263" i="7"/>
  <c r="BB256" i="7"/>
  <c r="BB250" i="7"/>
  <c r="BB243" i="7"/>
  <c r="BB229" i="7"/>
  <c r="BB224" i="7"/>
  <c r="BB218" i="7"/>
  <c r="BB214" i="7"/>
  <c r="BB210" i="7"/>
  <c r="BB197" i="7"/>
  <c r="BB193" i="7"/>
  <c r="BB185" i="7"/>
  <c r="BB186" i="7" s="1"/>
  <c r="BB177" i="7"/>
  <c r="BB172" i="7"/>
  <c r="BB162" i="7"/>
  <c r="BB157" i="7"/>
  <c r="BB151" i="7"/>
  <c r="BB134" i="7"/>
  <c r="BB142" i="7" s="1"/>
  <c r="BB120" i="7"/>
  <c r="BB121" i="7" s="1"/>
  <c r="BB114" i="7"/>
  <c r="BB115" i="7" s="1"/>
  <c r="BB101" i="7"/>
  <c r="BB89" i="7"/>
  <c r="BB77" i="7"/>
  <c r="BB78" i="7" s="1"/>
  <c r="BB79" i="7" s="1"/>
  <c r="BB80" i="7" s="1"/>
  <c r="BB30" i="7"/>
  <c r="BB34" i="7"/>
  <c r="BB40" i="7"/>
  <c r="BB41" i="7" s="1"/>
  <c r="BB63" i="7"/>
  <c r="BB64" i="7" s="1"/>
  <c r="BB20" i="7"/>
  <c r="BB21" i="7" s="1"/>
  <c r="BB22" i="7" s="1"/>
  <c r="BB23" i="7" s="1"/>
  <c r="BB719" i="7"/>
  <c r="BB720" i="7" s="1"/>
  <c r="BB713" i="7"/>
  <c r="BB709" i="7"/>
  <c r="BB701" i="7"/>
  <c r="BB695" i="7"/>
  <c r="BB691" i="7"/>
  <c r="BB687" i="7"/>
  <c r="BB736" i="7"/>
  <c r="BB729" i="7"/>
  <c r="BA674" i="7"/>
  <c r="BA675" i="7" s="1"/>
  <c r="BA666" i="7"/>
  <c r="BA661" i="7"/>
  <c r="BA656" i="7"/>
  <c r="BA650" i="7"/>
  <c r="BA646" i="7"/>
  <c r="BA638" i="7"/>
  <c r="BA634" i="7"/>
  <c r="BA630" i="7"/>
  <c r="BA624" i="7"/>
  <c r="BA618" i="7"/>
  <c r="BA613" i="7"/>
  <c r="BA600" i="7"/>
  <c r="BA595" i="7"/>
  <c r="BA590" i="7"/>
  <c r="BA582" i="7"/>
  <c r="BA576" i="7"/>
  <c r="BA570" i="7"/>
  <c r="BA563" i="7"/>
  <c r="BA556" i="7"/>
  <c r="BA557" i="7" s="1"/>
  <c r="BA544" i="7"/>
  <c r="BA545" i="7" s="1"/>
  <c r="BA546" i="7" s="1"/>
  <c r="BA547" i="7" s="1"/>
  <c r="BA534" i="7"/>
  <c r="BA535" i="7" s="1"/>
  <c r="BA525" i="7"/>
  <c r="BA521" i="7"/>
  <c r="BA517" i="7"/>
  <c r="BA513" i="7"/>
  <c r="BA508" i="7"/>
  <c r="BA501" i="7"/>
  <c r="BA497" i="7"/>
  <c r="BA491" i="7"/>
  <c r="BA485" i="7"/>
  <c r="BA479" i="7"/>
  <c r="BA480" i="7" s="1"/>
  <c r="BA468" i="7"/>
  <c r="BA469" i="7" s="1"/>
  <c r="BA462" i="7"/>
  <c r="BA457" i="7"/>
  <c r="BA453" i="7"/>
  <c r="BA449" i="7"/>
  <c r="BA442" i="7"/>
  <c r="BA434" i="7"/>
  <c r="BA424" i="7"/>
  <c r="BA420" i="7"/>
  <c r="BA413" i="7"/>
  <c r="BA400" i="7"/>
  <c r="BA387" i="7"/>
  <c r="BA383" i="7"/>
  <c r="BA374" i="7"/>
  <c r="BA362" i="7"/>
  <c r="BA363" i="7" s="1"/>
  <c r="BA356" i="7"/>
  <c r="BA357" i="7" s="1"/>
  <c r="BA345" i="7"/>
  <c r="BA346" i="7" s="1"/>
  <c r="BA347" i="7" s="1"/>
  <c r="BA333" i="7"/>
  <c r="BA327" i="7"/>
  <c r="BA320" i="7"/>
  <c r="BA311" i="7"/>
  <c r="BA300" i="7"/>
  <c r="BA291" i="7"/>
  <c r="BA286" i="7"/>
  <c r="BA271" i="7"/>
  <c r="BA267" i="7"/>
  <c r="BA263" i="7"/>
  <c r="BA256" i="7"/>
  <c r="BA250" i="7"/>
  <c r="BA243" i="7"/>
  <c r="BA229" i="7"/>
  <c r="BA224" i="7"/>
  <c r="BA218" i="7"/>
  <c r="BA214" i="7"/>
  <c r="BA210" i="7"/>
  <c r="BA197" i="7"/>
  <c r="BA193" i="7"/>
  <c r="BA185" i="7"/>
  <c r="BA186" i="7" s="1"/>
  <c r="BA177" i="7"/>
  <c r="BA172" i="7"/>
  <c r="BA162" i="7"/>
  <c r="BA157" i="7"/>
  <c r="BA151" i="7"/>
  <c r="BA134" i="7"/>
  <c r="BA142" i="7" s="1"/>
  <c r="BA120" i="7"/>
  <c r="BA121" i="7"/>
  <c r="BA114" i="7"/>
  <c r="BA115" i="7" s="1"/>
  <c r="BA101" i="7"/>
  <c r="BA89" i="7"/>
  <c r="BA77" i="7"/>
  <c r="BA78" i="7" s="1"/>
  <c r="BA79" i="7" s="1"/>
  <c r="BA80" i="7" s="1"/>
  <c r="BA30" i="7"/>
  <c r="BA34" i="7"/>
  <c r="BA40" i="7"/>
  <c r="BA41" i="7" s="1"/>
  <c r="BA63" i="7"/>
  <c r="BA64" i="7" s="1"/>
  <c r="BA20" i="7"/>
  <c r="BA21" i="7" s="1"/>
  <c r="BA22" i="7" s="1"/>
  <c r="BA23" i="7" s="1"/>
  <c r="BA719" i="7"/>
  <c r="BA720" i="7" s="1"/>
  <c r="BA713" i="7"/>
  <c r="BA709" i="7"/>
  <c r="BA701" i="7"/>
  <c r="BA695" i="7"/>
  <c r="BA691" i="7"/>
  <c r="BA687" i="7"/>
  <c r="BA736" i="7"/>
  <c r="BA729" i="7"/>
  <c r="BA748" i="7"/>
  <c r="BA749" i="7" s="1"/>
  <c r="BA750" i="7" s="1"/>
  <c r="BA751" i="7" s="1"/>
  <c r="AZ674" i="7"/>
  <c r="AZ675" i="7" s="1"/>
  <c r="AZ666" i="7"/>
  <c r="AZ661" i="7"/>
  <c r="AZ656" i="7"/>
  <c r="AZ650" i="7"/>
  <c r="AZ646" i="7"/>
  <c r="AZ638" i="7"/>
  <c r="AZ639" i="7" s="1"/>
  <c r="AZ624" i="7"/>
  <c r="AZ618" i="7"/>
  <c r="AZ613" i="7"/>
  <c r="AZ606" i="7"/>
  <c r="AZ600" i="7"/>
  <c r="AZ595" i="7"/>
  <c r="AZ590" i="7"/>
  <c r="AZ582" i="7"/>
  <c r="AZ576" i="7"/>
  <c r="AZ570" i="7"/>
  <c r="AZ563" i="7"/>
  <c r="AZ556" i="7"/>
  <c r="AZ557" i="7" s="1"/>
  <c r="AZ544" i="7"/>
  <c r="AZ545" i="7" s="1"/>
  <c r="AZ546" i="7" s="1"/>
  <c r="AZ547" i="7" s="1"/>
  <c r="AZ534" i="7"/>
  <c r="AZ535" i="7" s="1"/>
  <c r="AZ525" i="7"/>
  <c r="AZ521" i="7"/>
  <c r="AZ517" i="7"/>
  <c r="AZ513" i="7"/>
  <c r="AZ508" i="7"/>
  <c r="AZ501" i="7"/>
  <c r="AZ497" i="7"/>
  <c r="AZ491" i="7"/>
  <c r="AZ485" i="7"/>
  <c r="AZ479" i="7"/>
  <c r="AZ480" i="7" s="1"/>
  <c r="AZ468" i="7"/>
  <c r="AZ469" i="7" s="1"/>
  <c r="AZ462" i="7"/>
  <c r="AZ457" i="7"/>
  <c r="AZ453" i="7"/>
  <c r="AZ449" i="7"/>
  <c r="AZ442" i="7"/>
  <c r="AZ443" i="7" s="1"/>
  <c r="AZ434" i="7"/>
  <c r="AZ424" i="7"/>
  <c r="AZ420" i="7"/>
  <c r="AZ413" i="7"/>
  <c r="AZ400" i="7"/>
  <c r="AZ387" i="7"/>
  <c r="AZ383" i="7"/>
  <c r="AZ374" i="7"/>
  <c r="AZ362" i="7"/>
  <c r="AZ363" i="7" s="1"/>
  <c r="AZ356" i="7"/>
  <c r="AZ357" i="7" s="1"/>
  <c r="AZ345" i="7"/>
  <c r="AZ346" i="7" s="1"/>
  <c r="AZ347" i="7" s="1"/>
  <c r="AZ333" i="7"/>
  <c r="AZ327" i="7"/>
  <c r="AZ320" i="7"/>
  <c r="AZ311" i="7"/>
  <c r="AZ300" i="7"/>
  <c r="AZ291" i="7"/>
  <c r="AZ286" i="7"/>
  <c r="AZ271" i="7"/>
  <c r="AZ267" i="7"/>
  <c r="AZ263" i="7"/>
  <c r="AZ256" i="7"/>
  <c r="AZ250" i="7"/>
  <c r="AZ243" i="7"/>
  <c r="AZ229" i="7"/>
  <c r="AZ224" i="7"/>
  <c r="AZ218" i="7"/>
  <c r="AZ214" i="7"/>
  <c r="AZ210" i="7"/>
  <c r="AZ197" i="7"/>
  <c r="AZ193" i="7"/>
  <c r="AZ185" i="7"/>
  <c r="AZ186" i="7" s="1"/>
  <c r="AZ177" i="7"/>
  <c r="AZ172" i="7"/>
  <c r="AZ162" i="7"/>
  <c r="AZ157" i="7"/>
  <c r="AZ151" i="7"/>
  <c r="AZ134" i="7"/>
  <c r="AZ142" i="7" s="1"/>
  <c r="AZ120" i="7"/>
  <c r="AZ121" i="7" s="1"/>
  <c r="AZ114" i="7"/>
  <c r="AZ115" i="7" s="1"/>
  <c r="AZ101" i="7"/>
  <c r="AZ89" i="7"/>
  <c r="AZ77" i="7"/>
  <c r="AZ78" i="7" s="1"/>
  <c r="AZ79" i="7" s="1"/>
  <c r="AZ80" i="7" s="1"/>
  <c r="AZ30" i="7"/>
  <c r="AZ34" i="7"/>
  <c r="AZ40" i="7"/>
  <c r="AZ41" i="7" s="1"/>
  <c r="AZ63" i="7"/>
  <c r="AZ64" i="7" s="1"/>
  <c r="AZ20" i="7"/>
  <c r="AZ21" i="7" s="1"/>
  <c r="AZ22" i="7" s="1"/>
  <c r="AZ23" i="7" s="1"/>
  <c r="AZ719" i="7"/>
  <c r="AZ720" i="7" s="1"/>
  <c r="AZ713" i="7"/>
  <c r="AZ709" i="7"/>
  <c r="AZ701" i="7"/>
  <c r="AZ695" i="7"/>
  <c r="AZ691" i="7"/>
  <c r="AZ687" i="7"/>
  <c r="AZ736" i="7"/>
  <c r="AZ729" i="7"/>
  <c r="AZ737" i="7" s="1"/>
  <c r="AZ738" i="7" s="1"/>
  <c r="AZ739" i="7" s="1"/>
  <c r="AY674" i="7"/>
  <c r="AY675" i="7" s="1"/>
  <c r="AY666" i="7"/>
  <c r="AY661" i="7"/>
  <c r="AY656" i="7"/>
  <c r="AY650" i="7"/>
  <c r="AY646" i="7"/>
  <c r="AY638" i="7"/>
  <c r="AY639" i="7" s="1"/>
  <c r="AY624" i="7"/>
  <c r="AY618" i="7"/>
  <c r="AY613" i="7"/>
  <c r="AY606" i="7"/>
  <c r="AY600" i="7"/>
  <c r="AY595" i="7"/>
  <c r="AY590" i="7"/>
  <c r="AY582" i="7"/>
  <c r="AY576" i="7"/>
  <c r="AY570" i="7"/>
  <c r="AY563" i="7"/>
  <c r="AY556" i="7"/>
  <c r="AY557" i="7"/>
  <c r="AY544" i="7"/>
  <c r="AY545" i="7" s="1"/>
  <c r="AY546" i="7" s="1"/>
  <c r="AY547" i="7" s="1"/>
  <c r="AY534" i="7"/>
  <c r="AY535" i="7" s="1"/>
  <c r="AY525" i="7"/>
  <c r="AY521" i="7"/>
  <c r="AY517" i="7"/>
  <c r="AY513" i="7"/>
  <c r="AY508" i="7"/>
  <c r="AY501" i="7"/>
  <c r="AY497" i="7"/>
  <c r="AY491" i="7"/>
  <c r="AY485" i="7"/>
  <c r="AY479" i="7"/>
  <c r="AY480" i="7" s="1"/>
  <c r="AY468" i="7"/>
  <c r="AY469" i="7" s="1"/>
  <c r="AY462" i="7"/>
  <c r="AY457" i="7"/>
  <c r="AY453" i="7"/>
  <c r="AY449" i="7"/>
  <c r="AY442" i="7"/>
  <c r="AY434" i="7"/>
  <c r="AY424" i="7"/>
  <c r="AY420" i="7"/>
  <c r="AY413" i="7"/>
  <c r="AY400" i="7"/>
  <c r="AY387" i="7"/>
  <c r="AY383" i="7"/>
  <c r="AY374" i="7"/>
  <c r="AY362" i="7"/>
  <c r="AY363" i="7" s="1"/>
  <c r="AY356" i="7"/>
  <c r="AY357" i="7" s="1"/>
  <c r="AY345" i="7"/>
  <c r="AY346" i="7" s="1"/>
  <c r="AY347" i="7" s="1"/>
  <c r="AY333" i="7"/>
  <c r="AY327" i="7"/>
  <c r="AY320" i="7"/>
  <c r="AY311" i="7"/>
  <c r="AY300" i="7"/>
  <c r="AY291" i="7"/>
  <c r="AY286" i="7"/>
  <c r="AY271" i="7"/>
  <c r="AY267" i="7"/>
  <c r="AY263" i="7"/>
  <c r="AY256" i="7"/>
  <c r="AY250" i="7"/>
  <c r="AY243" i="7"/>
  <c r="AY229" i="7"/>
  <c r="AY224" i="7"/>
  <c r="AY218" i="7"/>
  <c r="AY214" i="7"/>
  <c r="AY210" i="7"/>
  <c r="AY197" i="7"/>
  <c r="AY193" i="7"/>
  <c r="AY185" i="7"/>
  <c r="AY186" i="7" s="1"/>
  <c r="AY177" i="7"/>
  <c r="AY172" i="7"/>
  <c r="AY162" i="7"/>
  <c r="AY157" i="7"/>
  <c r="AY151" i="7"/>
  <c r="AY134" i="7"/>
  <c r="AY142" i="7" s="1"/>
  <c r="AY120" i="7"/>
  <c r="AY121" i="7" s="1"/>
  <c r="AY114" i="7"/>
  <c r="AY115" i="7" s="1"/>
  <c r="AY101" i="7"/>
  <c r="AY89" i="7"/>
  <c r="AY77" i="7"/>
  <c r="AY78" i="7" s="1"/>
  <c r="AY79" i="7" s="1"/>
  <c r="AY80" i="7" s="1"/>
  <c r="AY30" i="7"/>
  <c r="AY34" i="7"/>
  <c r="AY40" i="7"/>
  <c r="AY41" i="7" s="1"/>
  <c r="AY63" i="7"/>
  <c r="AY64" i="7" s="1"/>
  <c r="AY20" i="7"/>
  <c r="AY21" i="7" s="1"/>
  <c r="AY22" i="7" s="1"/>
  <c r="AY23" i="7" s="1"/>
  <c r="AY719" i="7"/>
  <c r="AY720" i="7" s="1"/>
  <c r="AY713" i="7"/>
  <c r="AY709" i="7"/>
  <c r="AY701" i="7"/>
  <c r="AY695" i="7"/>
  <c r="AY691" i="7"/>
  <c r="AY687" i="7"/>
  <c r="AY736" i="7"/>
  <c r="AY729" i="7"/>
  <c r="AX674" i="7"/>
  <c r="AX675" i="7" s="1"/>
  <c r="AX666" i="7"/>
  <c r="AX661" i="7"/>
  <c r="AX656" i="7"/>
  <c r="AX650" i="7"/>
  <c r="AX646" i="7"/>
  <c r="AX638" i="7"/>
  <c r="AX639" i="7" s="1"/>
  <c r="AX624" i="7"/>
  <c r="AX618" i="7"/>
  <c r="AX613" i="7"/>
  <c r="AX606" i="7"/>
  <c r="AX600" i="7"/>
  <c r="AX595" i="7"/>
  <c r="AX590" i="7"/>
  <c r="AX582" i="7"/>
  <c r="AX576" i="7"/>
  <c r="AX570" i="7"/>
  <c r="AX563" i="7"/>
  <c r="AX556" i="7"/>
  <c r="AX557" i="7" s="1"/>
  <c r="AX544" i="7"/>
  <c r="AX545" i="7" s="1"/>
  <c r="AX546" i="7" s="1"/>
  <c r="AX547" i="7" s="1"/>
  <c r="AX534" i="7"/>
  <c r="AX535" i="7" s="1"/>
  <c r="AX525" i="7"/>
  <c r="AX521" i="7"/>
  <c r="AX517" i="7"/>
  <c r="AX513" i="7"/>
  <c r="AX508" i="7"/>
  <c r="AX501" i="7"/>
  <c r="AX497" i="7"/>
  <c r="AX491" i="7"/>
  <c r="AX485" i="7"/>
  <c r="AX479" i="7"/>
  <c r="AX480" i="7" s="1"/>
  <c r="AX468" i="7"/>
  <c r="AX469" i="7" s="1"/>
  <c r="AX462" i="7"/>
  <c r="AX457" i="7"/>
  <c r="AX453" i="7"/>
  <c r="AX449" i="7"/>
  <c r="AX442" i="7"/>
  <c r="AX434" i="7"/>
  <c r="AX424" i="7"/>
  <c r="AX420" i="7"/>
  <c r="AX413" i="7"/>
  <c r="AX400" i="7"/>
  <c r="AX387" i="7"/>
  <c r="AX383" i="7"/>
  <c r="AX374" i="7"/>
  <c r="AX362" i="7"/>
  <c r="AX363" i="7" s="1"/>
  <c r="AX356" i="7"/>
  <c r="AX357" i="7" s="1"/>
  <c r="AX345" i="7"/>
  <c r="AX346" i="7" s="1"/>
  <c r="AX347" i="7" s="1"/>
  <c r="AX333" i="7"/>
  <c r="AX327" i="7"/>
  <c r="AX320" i="7"/>
  <c r="AX311" i="7"/>
  <c r="AX300" i="7"/>
  <c r="AX291" i="7"/>
  <c r="AX286" i="7"/>
  <c r="AX271" i="7"/>
  <c r="AX267" i="7"/>
  <c r="AX263" i="7"/>
  <c r="AX256" i="7"/>
  <c r="AX250" i="7"/>
  <c r="AX243" i="7"/>
  <c r="AX229" i="7"/>
  <c r="AX224" i="7"/>
  <c r="AX218" i="7"/>
  <c r="AX214" i="7"/>
  <c r="AX210" i="7"/>
  <c r="AX197" i="7"/>
  <c r="AX193" i="7"/>
  <c r="AX185" i="7"/>
  <c r="AX186" i="7" s="1"/>
  <c r="AX177" i="7"/>
  <c r="AX172" i="7"/>
  <c r="AX162" i="7"/>
  <c r="AX157" i="7"/>
  <c r="AX151" i="7"/>
  <c r="AX134" i="7"/>
  <c r="AX142" i="7" s="1"/>
  <c r="AX120" i="7"/>
  <c r="AX121" i="7" s="1"/>
  <c r="AX114" i="7"/>
  <c r="AX115" i="7" s="1"/>
  <c r="AX101" i="7"/>
  <c r="AX89" i="7"/>
  <c r="AX77" i="7"/>
  <c r="AX78" i="7" s="1"/>
  <c r="AX79" i="7" s="1"/>
  <c r="AX80" i="7" s="1"/>
  <c r="AX30" i="7"/>
  <c r="AX34" i="7"/>
  <c r="AX40" i="7"/>
  <c r="AX41" i="7" s="1"/>
  <c r="AX63" i="7"/>
  <c r="AX64" i="7" s="1"/>
  <c r="AX20" i="7"/>
  <c r="AX21" i="7" s="1"/>
  <c r="AX22" i="7" s="1"/>
  <c r="AX23" i="7" s="1"/>
  <c r="AX719" i="7"/>
  <c r="AX720" i="7" s="1"/>
  <c r="AX713" i="7"/>
  <c r="AX709" i="7"/>
  <c r="AX701" i="7"/>
  <c r="AX702" i="7" s="1"/>
  <c r="AX695" i="7"/>
  <c r="AX691" i="7"/>
  <c r="AX736" i="7"/>
  <c r="AX729" i="7"/>
  <c r="AW674" i="7"/>
  <c r="AW675" i="7" s="1"/>
  <c r="AW666" i="7"/>
  <c r="AW661" i="7"/>
  <c r="AW656" i="7"/>
  <c r="AW650" i="7"/>
  <c r="AW646" i="7"/>
  <c r="AW638" i="7"/>
  <c r="AW634" i="7"/>
  <c r="AW630" i="7"/>
  <c r="AW624" i="7"/>
  <c r="AW618" i="7"/>
  <c r="AW613" i="7"/>
  <c r="AW606" i="7"/>
  <c r="AW600" i="7"/>
  <c r="AW595" i="7"/>
  <c r="AW590" i="7"/>
  <c r="AW582" i="7"/>
  <c r="AW576" i="7"/>
  <c r="AW570" i="7"/>
  <c r="AW563" i="7"/>
  <c r="AW556" i="7"/>
  <c r="AW557" i="7" s="1"/>
  <c r="AW544" i="7"/>
  <c r="AW545" i="7" s="1"/>
  <c r="AW546" i="7" s="1"/>
  <c r="AW547" i="7" s="1"/>
  <c r="AW534" i="7"/>
  <c r="AW535" i="7" s="1"/>
  <c r="AW525" i="7"/>
  <c r="AW521" i="7"/>
  <c r="AW517" i="7"/>
  <c r="AW513" i="7"/>
  <c r="AW508" i="7"/>
  <c r="AW501" i="7"/>
  <c r="AW497" i="7"/>
  <c r="AW491" i="7"/>
  <c r="AW485" i="7"/>
  <c r="AW479" i="7"/>
  <c r="AW480" i="7" s="1"/>
  <c r="AW468" i="7"/>
  <c r="AW469" i="7" s="1"/>
  <c r="AW462" i="7"/>
  <c r="AW457" i="7"/>
  <c r="AW453" i="7"/>
  <c r="AW449" i="7"/>
  <c r="AW442" i="7"/>
  <c r="AW434" i="7"/>
  <c r="AW424" i="7"/>
  <c r="AW420" i="7"/>
  <c r="AW413" i="7"/>
  <c r="AW400" i="7"/>
  <c r="AW387" i="7"/>
  <c r="AW383" i="7"/>
  <c r="AW374" i="7"/>
  <c r="AW362" i="7"/>
  <c r="AW363" i="7" s="1"/>
  <c r="AW356" i="7"/>
  <c r="AW357" i="7" s="1"/>
  <c r="AW345" i="7"/>
  <c r="AW346" i="7" s="1"/>
  <c r="AW347" i="7" s="1"/>
  <c r="AW333" i="7"/>
  <c r="AW327" i="7"/>
  <c r="AW334" i="7" s="1"/>
  <c r="AW335" i="7" s="1"/>
  <c r="AW320" i="7"/>
  <c r="AW311" i="7"/>
  <c r="AW300" i="7"/>
  <c r="AW291" i="7"/>
  <c r="AW286" i="7"/>
  <c r="AW271" i="7"/>
  <c r="AW267" i="7"/>
  <c r="AW263" i="7"/>
  <c r="AW256" i="7"/>
  <c r="AW250" i="7"/>
  <c r="AW243" i="7"/>
  <c r="AW229" i="7"/>
  <c r="AW230" i="7" s="1"/>
  <c r="AW224" i="7"/>
  <c r="AW218" i="7"/>
  <c r="AW214" i="7"/>
  <c r="AW210" i="7"/>
  <c r="AW197" i="7"/>
  <c r="AW193" i="7"/>
  <c r="AW185" i="7"/>
  <c r="AW186" i="7" s="1"/>
  <c r="AW177" i="7"/>
  <c r="AW172" i="7"/>
  <c r="AW162" i="7"/>
  <c r="AW157" i="7"/>
  <c r="AW151" i="7"/>
  <c r="AW134" i="7"/>
  <c r="AW142" i="7" s="1"/>
  <c r="AW120" i="7"/>
  <c r="AW121" i="7" s="1"/>
  <c r="AW114" i="7"/>
  <c r="AW115" i="7" s="1"/>
  <c r="AW101" i="7"/>
  <c r="AW89" i="7"/>
  <c r="AW77" i="7"/>
  <c r="AW78" i="7" s="1"/>
  <c r="AW79" i="7" s="1"/>
  <c r="AW80" i="7" s="1"/>
  <c r="AW30" i="7"/>
  <c r="AW34" i="7"/>
  <c r="AW40" i="7"/>
  <c r="AW41" i="7" s="1"/>
  <c r="AW63" i="7"/>
  <c r="AW64" i="7" s="1"/>
  <c r="AW20" i="7"/>
  <c r="AW21" i="7" s="1"/>
  <c r="AW22" i="7" s="1"/>
  <c r="AW23" i="7" s="1"/>
  <c r="AW719" i="7"/>
  <c r="AW720" i="7" s="1"/>
  <c r="AW713" i="7"/>
  <c r="AW709" i="7"/>
  <c r="AW701" i="7"/>
  <c r="AW695" i="7"/>
  <c r="AW691" i="7"/>
  <c r="AW687" i="7"/>
  <c r="AW736" i="7"/>
  <c r="AW729" i="7"/>
  <c r="AV674" i="7"/>
  <c r="AV675" i="7" s="1"/>
  <c r="AV666" i="7"/>
  <c r="AV661" i="7"/>
  <c r="AV656" i="7"/>
  <c r="AV650" i="7"/>
  <c r="AV646" i="7"/>
  <c r="AV638" i="7"/>
  <c r="AV634" i="7"/>
  <c r="AV630" i="7"/>
  <c r="AV624" i="7"/>
  <c r="AV618" i="7"/>
  <c r="AV613" i="7"/>
  <c r="AV606" i="7"/>
  <c r="AV600" i="7"/>
  <c r="AV595" i="7"/>
  <c r="AV590" i="7"/>
  <c r="AV582" i="7"/>
  <c r="AV576" i="7"/>
  <c r="AV570" i="7"/>
  <c r="AV563" i="7"/>
  <c r="AV556" i="7"/>
  <c r="AV557" i="7" s="1"/>
  <c r="AV544" i="7"/>
  <c r="AV545" i="7" s="1"/>
  <c r="AV546" i="7" s="1"/>
  <c r="AV547" i="7" s="1"/>
  <c r="AV534" i="7"/>
  <c r="AV535" i="7" s="1"/>
  <c r="AV525" i="7"/>
  <c r="AV521" i="7"/>
  <c r="AV517" i="7"/>
  <c r="AV513" i="7"/>
  <c r="AV508" i="7"/>
  <c r="AV501" i="7"/>
  <c r="AV497" i="7"/>
  <c r="AV491" i="7"/>
  <c r="AV485" i="7"/>
  <c r="AV479" i="7"/>
  <c r="AV480" i="7" s="1"/>
  <c r="AV468" i="7"/>
  <c r="AV469" i="7" s="1"/>
  <c r="AV462" i="7"/>
  <c r="AV457" i="7"/>
  <c r="AV453" i="7"/>
  <c r="AV449" i="7"/>
  <c r="AV442" i="7"/>
  <c r="AV434" i="7"/>
  <c r="AV424" i="7"/>
  <c r="AV420" i="7"/>
  <c r="AV413" i="7"/>
  <c r="AV400" i="7"/>
  <c r="AV387" i="7"/>
  <c r="AV383" i="7"/>
  <c r="AV374" i="7"/>
  <c r="AV362" i="7"/>
  <c r="AV363" i="7" s="1"/>
  <c r="AV356" i="7"/>
  <c r="AV357" i="7" s="1"/>
  <c r="AV345" i="7"/>
  <c r="AV346" i="7" s="1"/>
  <c r="AV347" i="7" s="1"/>
  <c r="AV333" i="7"/>
  <c r="AV327" i="7"/>
  <c r="AV320" i="7"/>
  <c r="AV311" i="7"/>
  <c r="AV300" i="7"/>
  <c r="AV291" i="7"/>
  <c r="AV286" i="7"/>
  <c r="AV271" i="7"/>
  <c r="AV267" i="7"/>
  <c r="AV263" i="7"/>
  <c r="AV256" i="7"/>
  <c r="AV250" i="7"/>
  <c r="AV243" i="7"/>
  <c r="AV229" i="7"/>
  <c r="AV224" i="7"/>
  <c r="AV218" i="7"/>
  <c r="AV214" i="7"/>
  <c r="AV210" i="7"/>
  <c r="AV197" i="7"/>
  <c r="AV193" i="7"/>
  <c r="AV185" i="7"/>
  <c r="AV186" i="7" s="1"/>
  <c r="AV177" i="7"/>
  <c r="AV172" i="7"/>
  <c r="AV162" i="7"/>
  <c r="AV157" i="7"/>
  <c r="AV151" i="7"/>
  <c r="AV134" i="7"/>
  <c r="AV142" i="7" s="1"/>
  <c r="AV120" i="7"/>
  <c r="AV121" i="7" s="1"/>
  <c r="AV114" i="7"/>
  <c r="AV115" i="7" s="1"/>
  <c r="AV101" i="7"/>
  <c r="AV89" i="7"/>
  <c r="AV77" i="7"/>
  <c r="AV78" i="7" s="1"/>
  <c r="AV79" i="7" s="1"/>
  <c r="AV80" i="7" s="1"/>
  <c r="AV30" i="7"/>
  <c r="AV34" i="7"/>
  <c r="AV40" i="7"/>
  <c r="AV41" i="7" s="1"/>
  <c r="AV63" i="7"/>
  <c r="AV64" i="7" s="1"/>
  <c r="AV20" i="7"/>
  <c r="AV21" i="7" s="1"/>
  <c r="AV22" i="7" s="1"/>
  <c r="AV23" i="7" s="1"/>
  <c r="AV719" i="7"/>
  <c r="AV720" i="7" s="1"/>
  <c r="AV713" i="7"/>
  <c r="AV709" i="7"/>
  <c r="AV701" i="7"/>
  <c r="AV695" i="7"/>
  <c r="AV691" i="7"/>
  <c r="AV687" i="7"/>
  <c r="AV736" i="7"/>
  <c r="AV729" i="7"/>
  <c r="AU674" i="7"/>
  <c r="AU675" i="7" s="1"/>
  <c r="AU666" i="7"/>
  <c r="AU661" i="7"/>
  <c r="AU656" i="7"/>
  <c r="AU650" i="7"/>
  <c r="AU646" i="7"/>
  <c r="AU638" i="7"/>
  <c r="AU634" i="7"/>
  <c r="AU630" i="7"/>
  <c r="AU624" i="7"/>
  <c r="AU618" i="7"/>
  <c r="AU613" i="7"/>
  <c r="AU606" i="7"/>
  <c r="AU600" i="7"/>
  <c r="AU595" i="7"/>
  <c r="AU590" i="7"/>
  <c r="AU582" i="7"/>
  <c r="AU576" i="7"/>
  <c r="AU570" i="7"/>
  <c r="AU563" i="7"/>
  <c r="AU556" i="7"/>
  <c r="AU557" i="7" s="1"/>
  <c r="AU544" i="7"/>
  <c r="AU545" i="7" s="1"/>
  <c r="AU546" i="7" s="1"/>
  <c r="AU547" i="7" s="1"/>
  <c r="AU534" i="7"/>
  <c r="AU535" i="7" s="1"/>
  <c r="AU525" i="7"/>
  <c r="AU521" i="7"/>
  <c r="AU517" i="7"/>
  <c r="AU513" i="7"/>
  <c r="AU508" i="7"/>
  <c r="AU501" i="7"/>
  <c r="AU497" i="7"/>
  <c r="AU491" i="7"/>
  <c r="AU485" i="7"/>
  <c r="AU479" i="7"/>
  <c r="AU480" i="7" s="1"/>
  <c r="AU468" i="7"/>
  <c r="AU469" i="7" s="1"/>
  <c r="AU462" i="7"/>
  <c r="AU457" i="7"/>
  <c r="AU453" i="7"/>
  <c r="AU449" i="7"/>
  <c r="AU442" i="7"/>
  <c r="AU434" i="7"/>
  <c r="AU424" i="7"/>
  <c r="AU420" i="7"/>
  <c r="AU413" i="7"/>
  <c r="AU400" i="7"/>
  <c r="AU387" i="7"/>
  <c r="AU383" i="7"/>
  <c r="AU374" i="7"/>
  <c r="AU362" i="7"/>
  <c r="AU363" i="7" s="1"/>
  <c r="AU356" i="7"/>
  <c r="AU357" i="7" s="1"/>
  <c r="AU345" i="7"/>
  <c r="AU346" i="7" s="1"/>
  <c r="AU347" i="7" s="1"/>
  <c r="AU333" i="7"/>
  <c r="AU327" i="7"/>
  <c r="AU320" i="7"/>
  <c r="AU311" i="7"/>
  <c r="AU300" i="7"/>
  <c r="AU291" i="7"/>
  <c r="AU286" i="7"/>
  <c r="AU271" i="7"/>
  <c r="AU267" i="7"/>
  <c r="AU263" i="7"/>
  <c r="AU256" i="7"/>
  <c r="AU250" i="7"/>
  <c r="AU243" i="7"/>
  <c r="AU229" i="7"/>
  <c r="AU224" i="7"/>
  <c r="AU218" i="7"/>
  <c r="AU214" i="7"/>
  <c r="AU210" i="7"/>
  <c r="AU197" i="7"/>
  <c r="AU193" i="7"/>
  <c r="AU185" i="7"/>
  <c r="AU186" i="7" s="1"/>
  <c r="AU177" i="7"/>
  <c r="AU172" i="7"/>
  <c r="AU162" i="7"/>
  <c r="AU157" i="7"/>
  <c r="AU151" i="7"/>
  <c r="AU134" i="7"/>
  <c r="AU142" i="7" s="1"/>
  <c r="AU120" i="7"/>
  <c r="AU121" i="7" s="1"/>
  <c r="AU114" i="7"/>
  <c r="AU115" i="7" s="1"/>
  <c r="AU101" i="7"/>
  <c r="AU89" i="7"/>
  <c r="AU77" i="7"/>
  <c r="AU78" i="7" s="1"/>
  <c r="AU79" i="7" s="1"/>
  <c r="AU80" i="7" s="1"/>
  <c r="AU30" i="7"/>
  <c r="AU34" i="7"/>
  <c r="AU40" i="7"/>
  <c r="AU41" i="7" s="1"/>
  <c r="AU63" i="7"/>
  <c r="AU64" i="7" s="1"/>
  <c r="AU20" i="7"/>
  <c r="AU21" i="7" s="1"/>
  <c r="AU22" i="7" s="1"/>
  <c r="AU23" i="7" s="1"/>
  <c r="AU719" i="7"/>
  <c r="AU720" i="7" s="1"/>
  <c r="AU713" i="7"/>
  <c r="AU709" i="7"/>
  <c r="AU701" i="7"/>
  <c r="AU695" i="7"/>
  <c r="AU691" i="7"/>
  <c r="AU687" i="7"/>
  <c r="AU736" i="7"/>
  <c r="AU729" i="7"/>
  <c r="AU748" i="7"/>
  <c r="AU749" i="7" s="1"/>
  <c r="AU750" i="7" s="1"/>
  <c r="AU751" i="7" s="1"/>
  <c r="AT674" i="7"/>
  <c r="AT675" i="7" s="1"/>
  <c r="AT666" i="7"/>
  <c r="AT661" i="7"/>
  <c r="AT656" i="7"/>
  <c r="AT650" i="7"/>
  <c r="AT638" i="7"/>
  <c r="AT639" i="7" s="1"/>
  <c r="AT624" i="7"/>
  <c r="AT618" i="7"/>
  <c r="AT613" i="7"/>
  <c r="AT606" i="7"/>
  <c r="AT600" i="7"/>
  <c r="AT595" i="7"/>
  <c r="AT590" i="7"/>
  <c r="AT582" i="7"/>
  <c r="AT576" i="7"/>
  <c r="AT570" i="7"/>
  <c r="AT563" i="7"/>
  <c r="AT556" i="7"/>
  <c r="AT557" i="7" s="1"/>
  <c r="AT544" i="7"/>
  <c r="AT545" i="7" s="1"/>
  <c r="AT546" i="7" s="1"/>
  <c r="AT547" i="7" s="1"/>
  <c r="AT534" i="7"/>
  <c r="AT535" i="7" s="1"/>
  <c r="AT525" i="7"/>
  <c r="AT521" i="7"/>
  <c r="AT517" i="7"/>
  <c r="AT513" i="7"/>
  <c r="AT508" i="7"/>
  <c r="AT501" i="7"/>
  <c r="AT497" i="7"/>
  <c r="AT491" i="7"/>
  <c r="AT485" i="7"/>
  <c r="AT479" i="7"/>
  <c r="AT480" i="7" s="1"/>
  <c r="AT468" i="7"/>
  <c r="AT469" i="7" s="1"/>
  <c r="AT462" i="7"/>
  <c r="AT457" i="7"/>
  <c r="AT453" i="7"/>
  <c r="AT449" i="7"/>
  <c r="AT442" i="7"/>
  <c r="AT434" i="7"/>
  <c r="AT424" i="7"/>
  <c r="AT420" i="7"/>
  <c r="AT413" i="7"/>
  <c r="AT400" i="7"/>
  <c r="AT387" i="7"/>
  <c r="AT383" i="7"/>
  <c r="AT374" i="7"/>
  <c r="AT362" i="7"/>
  <c r="AT363" i="7" s="1"/>
  <c r="AT356" i="7"/>
  <c r="AT357" i="7" s="1"/>
  <c r="AT345" i="7"/>
  <c r="AT346" i="7" s="1"/>
  <c r="AT347" i="7" s="1"/>
  <c r="AT333" i="7"/>
  <c r="AT327" i="7"/>
  <c r="AT320" i="7"/>
  <c r="AT311" i="7"/>
  <c r="AT300" i="7"/>
  <c r="AT291" i="7"/>
  <c r="AT286" i="7"/>
  <c r="AT271" i="7"/>
  <c r="AT267" i="7"/>
  <c r="AT263" i="7"/>
  <c r="AT256" i="7"/>
  <c r="AT250" i="7"/>
  <c r="AT243" i="7"/>
  <c r="AT229" i="7"/>
  <c r="AT224" i="7"/>
  <c r="AT218" i="7"/>
  <c r="AT214" i="7"/>
  <c r="AT210" i="7"/>
  <c r="AT197" i="7"/>
  <c r="AT193" i="7"/>
  <c r="AT185" i="7"/>
  <c r="AT186" i="7" s="1"/>
  <c r="AT177" i="7"/>
  <c r="AT172" i="7"/>
  <c r="AT162" i="7"/>
  <c r="AT157" i="7"/>
  <c r="AT151" i="7"/>
  <c r="AT134" i="7"/>
  <c r="AT142" i="7" s="1"/>
  <c r="AT120" i="7"/>
  <c r="AT121" i="7" s="1"/>
  <c r="AT114" i="7"/>
  <c r="AT115" i="7" s="1"/>
  <c r="AT101" i="7"/>
  <c r="AT89" i="7"/>
  <c r="AT77" i="7"/>
  <c r="AT78" i="7" s="1"/>
  <c r="AT79" i="7" s="1"/>
  <c r="AT80" i="7" s="1"/>
  <c r="AT30" i="7"/>
  <c r="AT34" i="7"/>
  <c r="AT40" i="7"/>
  <c r="AT41" i="7" s="1"/>
  <c r="AT63" i="7"/>
  <c r="AT64" i="7" s="1"/>
  <c r="AT20" i="7"/>
  <c r="AT21" i="7" s="1"/>
  <c r="AT22" i="7" s="1"/>
  <c r="AT23" i="7" s="1"/>
  <c r="AT719" i="7"/>
  <c r="AT720" i="7" s="1"/>
  <c r="AT713" i="7"/>
  <c r="AT709" i="7"/>
  <c r="AT701" i="7"/>
  <c r="AT695" i="7"/>
  <c r="AT691" i="7"/>
  <c r="AT687" i="7"/>
  <c r="AT736" i="7"/>
  <c r="AT729" i="7"/>
  <c r="AS674" i="7"/>
  <c r="AS675" i="7" s="1"/>
  <c r="AS666" i="7"/>
  <c r="AS661" i="7"/>
  <c r="AS656" i="7"/>
  <c r="AS650" i="7"/>
  <c r="AS646" i="7"/>
  <c r="AS638" i="7"/>
  <c r="AS639" i="7" s="1"/>
  <c r="AS624" i="7"/>
  <c r="AS618" i="7"/>
  <c r="AS613" i="7"/>
  <c r="AS606" i="7"/>
  <c r="AS600" i="7"/>
  <c r="AS595" i="7"/>
  <c r="AS590" i="7"/>
  <c r="AS582" i="7"/>
  <c r="AS576" i="7"/>
  <c r="AS570" i="7"/>
  <c r="AS563" i="7"/>
  <c r="AS556" i="7"/>
  <c r="AS557" i="7" s="1"/>
  <c r="AS544" i="7"/>
  <c r="AS545" i="7" s="1"/>
  <c r="AS546" i="7" s="1"/>
  <c r="AS547" i="7" s="1"/>
  <c r="AS534" i="7"/>
  <c r="AS535" i="7" s="1"/>
  <c r="AS525" i="7"/>
  <c r="AS521" i="7"/>
  <c r="AS517" i="7"/>
  <c r="AS513" i="7"/>
  <c r="AS508" i="7"/>
  <c r="AS501" i="7"/>
  <c r="AS497" i="7"/>
  <c r="AS491" i="7"/>
  <c r="AS485" i="7"/>
  <c r="AS479" i="7"/>
  <c r="AS480" i="7" s="1"/>
  <c r="AS468" i="7"/>
  <c r="AS469" i="7" s="1"/>
  <c r="AS462" i="7"/>
  <c r="AS457" i="7"/>
  <c r="AS453" i="7"/>
  <c r="AS449" i="7"/>
  <c r="AS442" i="7"/>
  <c r="AS434" i="7"/>
  <c r="AS424" i="7"/>
  <c r="AS420" i="7"/>
  <c r="AS413" i="7"/>
  <c r="AS400" i="7"/>
  <c r="AS387" i="7"/>
  <c r="AS383" i="7"/>
  <c r="AS374" i="7"/>
  <c r="AS362" i="7"/>
  <c r="AS363" i="7" s="1"/>
  <c r="AS356" i="7"/>
  <c r="AS357" i="7" s="1"/>
  <c r="AS345" i="7"/>
  <c r="AS346" i="7" s="1"/>
  <c r="AS347" i="7" s="1"/>
  <c r="AS333" i="7"/>
  <c r="AS327" i="7"/>
  <c r="AS320" i="7"/>
  <c r="AS311" i="7"/>
  <c r="AS300" i="7"/>
  <c r="AS291" i="7"/>
  <c r="AS286" i="7"/>
  <c r="AS271" i="7"/>
  <c r="AS267" i="7"/>
  <c r="AS263" i="7"/>
  <c r="AS256" i="7"/>
  <c r="AS250" i="7"/>
  <c r="AS243" i="7"/>
  <c r="AS229" i="7"/>
  <c r="AS224" i="7"/>
  <c r="AS218" i="7"/>
  <c r="AS214" i="7"/>
  <c r="AS210" i="7"/>
  <c r="AS197" i="7"/>
  <c r="AS193" i="7"/>
  <c r="AS185" i="7"/>
  <c r="AS186" i="7" s="1"/>
  <c r="AS177" i="7"/>
  <c r="AS172" i="7"/>
  <c r="AS162" i="7"/>
  <c r="AS157" i="7"/>
  <c r="AS151" i="7"/>
  <c r="AS134" i="7"/>
  <c r="AS142" i="7" s="1"/>
  <c r="AS120" i="7"/>
  <c r="AS121" i="7" s="1"/>
  <c r="AS114" i="7"/>
  <c r="AS115" i="7" s="1"/>
  <c r="AS101" i="7"/>
  <c r="AS89" i="7"/>
  <c r="AS77" i="7"/>
  <c r="AS78" i="7" s="1"/>
  <c r="AS79" i="7" s="1"/>
  <c r="AS80" i="7" s="1"/>
  <c r="AS30" i="7"/>
  <c r="AS34" i="7"/>
  <c r="AS40" i="7"/>
  <c r="AS41" i="7" s="1"/>
  <c r="AS63" i="7"/>
  <c r="AS64" i="7" s="1"/>
  <c r="AS20" i="7"/>
  <c r="AS21" i="7" s="1"/>
  <c r="AS22" i="7" s="1"/>
  <c r="AS23" i="7" s="1"/>
  <c r="AS719" i="7"/>
  <c r="AS720" i="7" s="1"/>
  <c r="AS713" i="7"/>
  <c r="AS709" i="7"/>
  <c r="AS701" i="7"/>
  <c r="AS695" i="7"/>
  <c r="AS691" i="7"/>
  <c r="AS687" i="7"/>
  <c r="AS736" i="7"/>
  <c r="AS729" i="7"/>
  <c r="AR674" i="7"/>
  <c r="AR675" i="7"/>
  <c r="AR666" i="7"/>
  <c r="AR661" i="7"/>
  <c r="AR656" i="7"/>
  <c r="AR650" i="7"/>
  <c r="AR646" i="7"/>
  <c r="AR638" i="7"/>
  <c r="AR639" i="7" s="1"/>
  <c r="AR624" i="7"/>
  <c r="AR618" i="7"/>
  <c r="AR613" i="7"/>
  <c r="AR606" i="7"/>
  <c r="AR600" i="7"/>
  <c r="AR595" i="7"/>
  <c r="AR590" i="7"/>
  <c r="AR582" i="7"/>
  <c r="AR576" i="7"/>
  <c r="AR570" i="7"/>
  <c r="AR563" i="7"/>
  <c r="AR556" i="7"/>
  <c r="AR557" i="7" s="1"/>
  <c r="AR544" i="7"/>
  <c r="AR545" i="7" s="1"/>
  <c r="AR546" i="7" s="1"/>
  <c r="AR547" i="7" s="1"/>
  <c r="AR534" i="7"/>
  <c r="AR535" i="7" s="1"/>
  <c r="AR525" i="7"/>
  <c r="AR521" i="7"/>
  <c r="AR517" i="7"/>
  <c r="AR513" i="7"/>
  <c r="AR508" i="7"/>
  <c r="AR501" i="7"/>
  <c r="AR497" i="7"/>
  <c r="AR491" i="7"/>
  <c r="AR485" i="7"/>
  <c r="AR479" i="7"/>
  <c r="AR480" i="7" s="1"/>
  <c r="AR468" i="7"/>
  <c r="AR469" i="7" s="1"/>
  <c r="AR462" i="7"/>
  <c r="AR457" i="7"/>
  <c r="AR453" i="7"/>
  <c r="AR449" i="7"/>
  <c r="AR442" i="7"/>
  <c r="AR434" i="7"/>
  <c r="AR424" i="7"/>
  <c r="AR420" i="7"/>
  <c r="AR413" i="7"/>
  <c r="AR400" i="7"/>
  <c r="AR387" i="7"/>
  <c r="AR383" i="7"/>
  <c r="AR374" i="7"/>
  <c r="AR362" i="7"/>
  <c r="AR363" i="7" s="1"/>
  <c r="AR356" i="7"/>
  <c r="AR357" i="7" s="1"/>
  <c r="AR345" i="7"/>
  <c r="AR346" i="7" s="1"/>
  <c r="AR347" i="7" s="1"/>
  <c r="AR333" i="7"/>
  <c r="AR327" i="7"/>
  <c r="AR320" i="7"/>
  <c r="AR311" i="7"/>
  <c r="AR300" i="7"/>
  <c r="AR291" i="7"/>
  <c r="AR286" i="7"/>
  <c r="AR271" i="7"/>
  <c r="AR267" i="7"/>
  <c r="AR263" i="7"/>
  <c r="AR256" i="7"/>
  <c r="AR250" i="7"/>
  <c r="AR243" i="7"/>
  <c r="AR229" i="7"/>
  <c r="AR224" i="7"/>
  <c r="AR218" i="7"/>
  <c r="AR214" i="7"/>
  <c r="AR210" i="7"/>
  <c r="AR197" i="7"/>
  <c r="AR193" i="7"/>
  <c r="AR185" i="7"/>
  <c r="AR186" i="7" s="1"/>
  <c r="AR177" i="7"/>
  <c r="AR172" i="7"/>
  <c r="AR162" i="7"/>
  <c r="AR157" i="7"/>
  <c r="AR151" i="7"/>
  <c r="AR134" i="7"/>
  <c r="AR142" i="7" s="1"/>
  <c r="AR120" i="7"/>
  <c r="AR121" i="7" s="1"/>
  <c r="AR114" i="7"/>
  <c r="AR115" i="7" s="1"/>
  <c r="AR101" i="7"/>
  <c r="AR89" i="7"/>
  <c r="AR77" i="7"/>
  <c r="AR78" i="7" s="1"/>
  <c r="AR79" i="7" s="1"/>
  <c r="AR80" i="7" s="1"/>
  <c r="AR30" i="7"/>
  <c r="AR34" i="7"/>
  <c r="AR40" i="7"/>
  <c r="AR41" i="7" s="1"/>
  <c r="AR63" i="7"/>
  <c r="AR64" i="7" s="1"/>
  <c r="AR20" i="7"/>
  <c r="AR21" i="7" s="1"/>
  <c r="AR22" i="7" s="1"/>
  <c r="AR23" i="7" s="1"/>
  <c r="AR719" i="7"/>
  <c r="AR720" i="7" s="1"/>
  <c r="AR713" i="7"/>
  <c r="AR709" i="7"/>
  <c r="AR701" i="7"/>
  <c r="AR695" i="7"/>
  <c r="AR691" i="7"/>
  <c r="AR687" i="7"/>
  <c r="AR736" i="7"/>
  <c r="AR729" i="7"/>
  <c r="AQ674" i="7"/>
  <c r="AQ675" i="7" s="1"/>
  <c r="AQ666" i="7"/>
  <c r="AQ661" i="7"/>
  <c r="AQ656" i="7"/>
  <c r="AQ650" i="7"/>
  <c r="AQ646" i="7"/>
  <c r="AQ638" i="7"/>
  <c r="AQ639" i="7" s="1"/>
  <c r="AQ624" i="7"/>
  <c r="AQ618" i="7"/>
  <c r="AQ613" i="7"/>
  <c r="AQ606" i="7"/>
  <c r="AQ600" i="7"/>
  <c r="AQ595" i="7"/>
  <c r="AQ590" i="7"/>
  <c r="AQ582" i="7"/>
  <c r="AQ576" i="7"/>
  <c r="AQ570" i="7"/>
  <c r="AQ563" i="7"/>
  <c r="AQ556" i="7"/>
  <c r="AQ557" i="7" s="1"/>
  <c r="AQ544" i="7"/>
  <c r="AQ545" i="7"/>
  <c r="AQ546" i="7" s="1"/>
  <c r="AQ547" i="7" s="1"/>
  <c r="AQ534" i="7"/>
  <c r="AQ535" i="7" s="1"/>
  <c r="AQ525" i="7"/>
  <c r="AQ521" i="7"/>
  <c r="AQ517" i="7"/>
  <c r="AQ513" i="7"/>
  <c r="AQ508" i="7"/>
  <c r="AQ501" i="7"/>
  <c r="AQ497" i="7"/>
  <c r="AQ491" i="7"/>
  <c r="AQ485" i="7"/>
  <c r="AQ479" i="7"/>
  <c r="AQ480" i="7" s="1"/>
  <c r="AQ468" i="7"/>
  <c r="AQ469" i="7" s="1"/>
  <c r="AQ462" i="7"/>
  <c r="AQ457" i="7"/>
  <c r="AQ453" i="7"/>
  <c r="AQ449" i="7"/>
  <c r="AQ442" i="7"/>
  <c r="AQ434" i="7"/>
  <c r="AQ424" i="7"/>
  <c r="AQ420" i="7"/>
  <c r="AQ413" i="7"/>
  <c r="AQ400" i="7"/>
  <c r="AQ387" i="7"/>
  <c r="AQ383" i="7"/>
  <c r="AQ374" i="7"/>
  <c r="AQ362" i="7"/>
  <c r="AQ363" i="7" s="1"/>
  <c r="AQ356" i="7"/>
  <c r="AQ357" i="7" s="1"/>
  <c r="AQ345" i="7"/>
  <c r="AQ346" i="7" s="1"/>
  <c r="AQ347" i="7" s="1"/>
  <c r="AQ333" i="7"/>
  <c r="AQ327" i="7"/>
  <c r="AQ320" i="7"/>
  <c r="AQ311" i="7"/>
  <c r="AQ300" i="7"/>
  <c r="AQ291" i="7"/>
  <c r="AQ286" i="7"/>
  <c r="AQ271" i="7"/>
  <c r="AQ267" i="7"/>
  <c r="AQ263" i="7"/>
  <c r="AQ256" i="7"/>
  <c r="AQ250" i="7"/>
  <c r="AQ243" i="7"/>
  <c r="AQ229" i="7"/>
  <c r="AQ224" i="7"/>
  <c r="AQ218" i="7"/>
  <c r="AQ214" i="7"/>
  <c r="AQ210" i="7"/>
  <c r="AQ197" i="7"/>
  <c r="AQ193" i="7"/>
  <c r="AQ185" i="7"/>
  <c r="AQ186" i="7" s="1"/>
  <c r="AQ177" i="7"/>
  <c r="AQ172" i="7"/>
  <c r="AQ162" i="7"/>
  <c r="AQ157" i="7"/>
  <c r="AQ151" i="7"/>
  <c r="AQ134" i="7"/>
  <c r="AQ142" i="7" s="1"/>
  <c r="AQ120" i="7"/>
  <c r="AQ121" i="7" s="1"/>
  <c r="AQ114" i="7"/>
  <c r="AQ115" i="7" s="1"/>
  <c r="AQ101" i="7"/>
  <c r="AQ89" i="7"/>
  <c r="AQ77" i="7"/>
  <c r="AQ78" i="7" s="1"/>
  <c r="AQ79" i="7" s="1"/>
  <c r="AQ80" i="7" s="1"/>
  <c r="AQ30" i="7"/>
  <c r="AQ34" i="7"/>
  <c r="AQ40" i="7"/>
  <c r="AQ41" i="7" s="1"/>
  <c r="AQ63" i="7"/>
  <c r="AQ64" i="7" s="1"/>
  <c r="AQ20" i="7"/>
  <c r="AQ21" i="7" s="1"/>
  <c r="AQ22" i="7" s="1"/>
  <c r="AQ23" i="7" s="1"/>
  <c r="AQ719" i="7"/>
  <c r="AQ720" i="7" s="1"/>
  <c r="AQ713" i="7"/>
  <c r="AQ709" i="7"/>
  <c r="AQ701" i="7"/>
  <c r="AQ695" i="7"/>
  <c r="AQ691" i="7"/>
  <c r="AQ687" i="7"/>
  <c r="AQ736" i="7"/>
  <c r="AQ729" i="7"/>
  <c r="AP674" i="7"/>
  <c r="AP675" i="7" s="1"/>
  <c r="AP666" i="7"/>
  <c r="AP661" i="7"/>
  <c r="AP656" i="7"/>
  <c r="AP650" i="7"/>
  <c r="AP646" i="7"/>
  <c r="AP638" i="7"/>
  <c r="AP639" i="7"/>
  <c r="AP624" i="7"/>
  <c r="AP618" i="7"/>
  <c r="AP613" i="7"/>
  <c r="AP606" i="7"/>
  <c r="AP600" i="7"/>
  <c r="AP595" i="7"/>
  <c r="AP590" i="7"/>
  <c r="AP582" i="7"/>
  <c r="AP576" i="7"/>
  <c r="AP570" i="7"/>
  <c r="AP563" i="7"/>
  <c r="AP556" i="7"/>
  <c r="AP557" i="7" s="1"/>
  <c r="AP544" i="7"/>
  <c r="AP545" i="7" s="1"/>
  <c r="AP546" i="7" s="1"/>
  <c r="AP547" i="7" s="1"/>
  <c r="AP534" i="7"/>
  <c r="AP535" i="7" s="1"/>
  <c r="AP525" i="7"/>
  <c r="AP521" i="7"/>
  <c r="AP517" i="7"/>
  <c r="AP513" i="7"/>
  <c r="AP508" i="7"/>
  <c r="AP501" i="7"/>
  <c r="AP497" i="7"/>
  <c r="AP491" i="7"/>
  <c r="AP485" i="7"/>
  <c r="AP479" i="7"/>
  <c r="AP480" i="7" s="1"/>
  <c r="AP468" i="7"/>
  <c r="AP469" i="7" s="1"/>
  <c r="AP462" i="7"/>
  <c r="AP457" i="7"/>
  <c r="AP453" i="7"/>
  <c r="AP449" i="7"/>
  <c r="AP442" i="7"/>
  <c r="AP434" i="7"/>
  <c r="AP424" i="7"/>
  <c r="AP420" i="7"/>
  <c r="AP413" i="7"/>
  <c r="AP400" i="7"/>
  <c r="AP387" i="7"/>
  <c r="AP383" i="7"/>
  <c r="AP374" i="7"/>
  <c r="AP362" i="7"/>
  <c r="AP363" i="7" s="1"/>
  <c r="AP356" i="7"/>
  <c r="AP357" i="7" s="1"/>
  <c r="AP345" i="7"/>
  <c r="AP346" i="7" s="1"/>
  <c r="AP347" i="7" s="1"/>
  <c r="AP333" i="7"/>
  <c r="AP327" i="7"/>
  <c r="AP320" i="7"/>
  <c r="AP311" i="7"/>
  <c r="AP300" i="7"/>
  <c r="AP291" i="7"/>
  <c r="AP286" i="7"/>
  <c r="AP271" i="7"/>
  <c r="AP267" i="7"/>
  <c r="AP263" i="7"/>
  <c r="AP256" i="7"/>
  <c r="AP250" i="7"/>
  <c r="AP243" i="7"/>
  <c r="AP229" i="7"/>
  <c r="AP224" i="7"/>
  <c r="AP218" i="7"/>
  <c r="AP214" i="7"/>
  <c r="AP210" i="7"/>
  <c r="AP197" i="7"/>
  <c r="AP193" i="7"/>
  <c r="AP185" i="7"/>
  <c r="AP186" i="7" s="1"/>
  <c r="AP177" i="7"/>
  <c r="AP172" i="7"/>
  <c r="AP162" i="7"/>
  <c r="AP157" i="7"/>
  <c r="AP151" i="7"/>
  <c r="AP134" i="7"/>
  <c r="AP142" i="7" s="1"/>
  <c r="AP120" i="7"/>
  <c r="AP121" i="7" s="1"/>
  <c r="AP114" i="7"/>
  <c r="AP115" i="7" s="1"/>
  <c r="AP101" i="7"/>
  <c r="AP89" i="7"/>
  <c r="AP77" i="7"/>
  <c r="AP78" i="7" s="1"/>
  <c r="AP79" i="7" s="1"/>
  <c r="AP80" i="7" s="1"/>
  <c r="AP30" i="7"/>
  <c r="AP34" i="7"/>
  <c r="AP40" i="7"/>
  <c r="AP41" i="7" s="1"/>
  <c r="AP63" i="7"/>
  <c r="AP64" i="7" s="1"/>
  <c r="AP20" i="7"/>
  <c r="AP21" i="7" s="1"/>
  <c r="AP22" i="7" s="1"/>
  <c r="AP23" i="7" s="1"/>
  <c r="AP719" i="7"/>
  <c r="AP720" i="7" s="1"/>
  <c r="AP713" i="7"/>
  <c r="AP709" i="7"/>
  <c r="AP701" i="7"/>
  <c r="AP695" i="7"/>
  <c r="AP691" i="7"/>
  <c r="AP687" i="7"/>
  <c r="AP736" i="7"/>
  <c r="AP729" i="7"/>
  <c r="AO674" i="7"/>
  <c r="AO675" i="7" s="1"/>
  <c r="AO666" i="7"/>
  <c r="AO661" i="7"/>
  <c r="AO656" i="7"/>
  <c r="AO650" i="7"/>
  <c r="AO646" i="7"/>
  <c r="AO638" i="7"/>
  <c r="AO639" i="7"/>
  <c r="AO624" i="7"/>
  <c r="AO618" i="7"/>
  <c r="AO613" i="7"/>
  <c r="AO606" i="7"/>
  <c r="AO600" i="7"/>
  <c r="AO595" i="7"/>
  <c r="AO590" i="7"/>
  <c r="AO582" i="7"/>
  <c r="AO576" i="7"/>
  <c r="AO570" i="7"/>
  <c r="AO563" i="7"/>
  <c r="AO556" i="7"/>
  <c r="AO557" i="7" s="1"/>
  <c r="AO544" i="7"/>
  <c r="AO545" i="7" s="1"/>
  <c r="AO546" i="7" s="1"/>
  <c r="AO547" i="7" s="1"/>
  <c r="AO534" i="7"/>
  <c r="AO535" i="7" s="1"/>
  <c r="AO525" i="7"/>
  <c r="AO521" i="7"/>
  <c r="AO517" i="7"/>
  <c r="AO513" i="7"/>
  <c r="AO508" i="7"/>
  <c r="AO501" i="7"/>
  <c r="AO497" i="7"/>
  <c r="AO491" i="7"/>
  <c r="AO485" i="7"/>
  <c r="AO479" i="7"/>
  <c r="AO480" i="7" s="1"/>
  <c r="AO468" i="7"/>
  <c r="AO469" i="7" s="1"/>
  <c r="AO462" i="7"/>
  <c r="AO457" i="7"/>
  <c r="AO453" i="7"/>
  <c r="AO449" i="7"/>
  <c r="AO442" i="7"/>
  <c r="AO434" i="7"/>
  <c r="AO424" i="7"/>
  <c r="AO420" i="7"/>
  <c r="AO413" i="7"/>
  <c r="AO400" i="7"/>
  <c r="AO387" i="7"/>
  <c r="AO383" i="7"/>
  <c r="AO374" i="7"/>
  <c r="AO362" i="7"/>
  <c r="AO363" i="7"/>
  <c r="AO356" i="7"/>
  <c r="AO357" i="7" s="1"/>
  <c r="AO345" i="7"/>
  <c r="AO346" i="7" s="1"/>
  <c r="AO347" i="7" s="1"/>
  <c r="AO333" i="7"/>
  <c r="AO327" i="7"/>
  <c r="AO320" i="7"/>
  <c r="AO311" i="7"/>
  <c r="AO300" i="7"/>
  <c r="AO291" i="7"/>
  <c r="AO286" i="7"/>
  <c r="AO271" i="7"/>
  <c r="AO267" i="7"/>
  <c r="AO263" i="7"/>
  <c r="AO256" i="7"/>
  <c r="AO250" i="7"/>
  <c r="AO243" i="7"/>
  <c r="AO229" i="7"/>
  <c r="AO224" i="7"/>
  <c r="AO218" i="7"/>
  <c r="AO214" i="7"/>
  <c r="AO210" i="7"/>
  <c r="AO197" i="7"/>
  <c r="AO193" i="7"/>
  <c r="AO185" i="7"/>
  <c r="AO186" i="7" s="1"/>
  <c r="AO177" i="7"/>
  <c r="AO172" i="7"/>
  <c r="AO162" i="7"/>
  <c r="AO157" i="7"/>
  <c r="AO151" i="7"/>
  <c r="AO134" i="7"/>
  <c r="AO142" i="7" s="1"/>
  <c r="AO120" i="7"/>
  <c r="AO121" i="7" s="1"/>
  <c r="AO114" i="7"/>
  <c r="AO115" i="7" s="1"/>
  <c r="AO101" i="7"/>
  <c r="AO89" i="7"/>
  <c r="AO77" i="7"/>
  <c r="AO78" i="7" s="1"/>
  <c r="AO79" i="7" s="1"/>
  <c r="AO80" i="7" s="1"/>
  <c r="AO30" i="7"/>
  <c r="AO34" i="7"/>
  <c r="AO40" i="7"/>
  <c r="AO41" i="7" s="1"/>
  <c r="AO63" i="7"/>
  <c r="AO64" i="7" s="1"/>
  <c r="AO20" i="7"/>
  <c r="AO21" i="7" s="1"/>
  <c r="AO22" i="7" s="1"/>
  <c r="AO23" i="7" s="1"/>
  <c r="AO719" i="7"/>
  <c r="AO720" i="7" s="1"/>
  <c r="AO713" i="7"/>
  <c r="AO709" i="7"/>
  <c r="AO701" i="7"/>
  <c r="AO695" i="7"/>
  <c r="AO691" i="7"/>
  <c r="AO687" i="7"/>
  <c r="AO736" i="7"/>
  <c r="AO729" i="7"/>
  <c r="AN674" i="7"/>
  <c r="AN675" i="7" s="1"/>
  <c r="AN666" i="7"/>
  <c r="AN661" i="7"/>
  <c r="AN656" i="7"/>
  <c r="AN650" i="7"/>
  <c r="AN646" i="7"/>
  <c r="AN638" i="7"/>
  <c r="AN639" i="7" s="1"/>
  <c r="AN624" i="7"/>
  <c r="AN618" i="7"/>
  <c r="AN613" i="7"/>
  <c r="AN606" i="7"/>
  <c r="AN600" i="7"/>
  <c r="AN595" i="7"/>
  <c r="AN590" i="7"/>
  <c r="AN582" i="7"/>
  <c r="AN576" i="7"/>
  <c r="AN570" i="7"/>
  <c r="AN563" i="7"/>
  <c r="AN556" i="7"/>
  <c r="AN557" i="7" s="1"/>
  <c r="AN544" i="7"/>
  <c r="AN545" i="7" s="1"/>
  <c r="AN546" i="7" s="1"/>
  <c r="AN547" i="7" s="1"/>
  <c r="AN534" i="7"/>
  <c r="AN535" i="7" s="1"/>
  <c r="AN525" i="7"/>
  <c r="AN521" i="7"/>
  <c r="AN517" i="7"/>
  <c r="AN513" i="7"/>
  <c r="AN508" i="7"/>
  <c r="AN501" i="7"/>
  <c r="AN497" i="7"/>
  <c r="AN491" i="7"/>
  <c r="AN485" i="7"/>
  <c r="AN479" i="7"/>
  <c r="AN480" i="7" s="1"/>
  <c r="AN468" i="7"/>
  <c r="AN469" i="7" s="1"/>
  <c r="AN462" i="7"/>
  <c r="AN457" i="7"/>
  <c r="AN453" i="7"/>
  <c r="AN449" i="7"/>
  <c r="AN442" i="7"/>
  <c r="AN434" i="7"/>
  <c r="AN424" i="7"/>
  <c r="AN420" i="7"/>
  <c r="AN413" i="7"/>
  <c r="AN400" i="7"/>
  <c r="AN387" i="7"/>
  <c r="AN383" i="7"/>
  <c r="AN374" i="7"/>
  <c r="AN362" i="7"/>
  <c r="AN363" i="7" s="1"/>
  <c r="AN356" i="7"/>
  <c r="AN357" i="7" s="1"/>
  <c r="AN345" i="7"/>
  <c r="AN346" i="7" s="1"/>
  <c r="AN347" i="7" s="1"/>
  <c r="AN333" i="7"/>
  <c r="AN327" i="7"/>
  <c r="AN320" i="7"/>
  <c r="AN311" i="7"/>
  <c r="AN300" i="7"/>
  <c r="AN291" i="7"/>
  <c r="AN286" i="7"/>
  <c r="AN271" i="7"/>
  <c r="AN267" i="7"/>
  <c r="AN263" i="7"/>
  <c r="AN256" i="7"/>
  <c r="AN250" i="7"/>
  <c r="AN243" i="7"/>
  <c r="AN229" i="7"/>
  <c r="AN224" i="7"/>
  <c r="AN218" i="7"/>
  <c r="AN214" i="7"/>
  <c r="AN210" i="7"/>
  <c r="AN197" i="7"/>
  <c r="AN193" i="7"/>
  <c r="AN185" i="7"/>
  <c r="AN186" i="7" s="1"/>
  <c r="AN177" i="7"/>
  <c r="AN172" i="7"/>
  <c r="AN178" i="7" s="1"/>
  <c r="AN162" i="7"/>
  <c r="AN157" i="7"/>
  <c r="AN151" i="7"/>
  <c r="AN134" i="7"/>
  <c r="AN142" i="7" s="1"/>
  <c r="AN120" i="7"/>
  <c r="AN121" i="7" s="1"/>
  <c r="AN114" i="7"/>
  <c r="AN115" i="7" s="1"/>
  <c r="AN101" i="7"/>
  <c r="AN89" i="7"/>
  <c r="AN77" i="7"/>
  <c r="AN78" i="7" s="1"/>
  <c r="AN79" i="7" s="1"/>
  <c r="AN80" i="7" s="1"/>
  <c r="AN30" i="7"/>
  <c r="AN34" i="7"/>
  <c r="AN40" i="7"/>
  <c r="AN41" i="7" s="1"/>
  <c r="AN63" i="7"/>
  <c r="AN64" i="7" s="1"/>
  <c r="AN20" i="7"/>
  <c r="AN21" i="7" s="1"/>
  <c r="AN22" i="7" s="1"/>
  <c r="AN23" i="7" s="1"/>
  <c r="AN719" i="7"/>
  <c r="AN720" i="7" s="1"/>
  <c r="AN713" i="7"/>
  <c r="AN709" i="7"/>
  <c r="AN701" i="7"/>
  <c r="AN695" i="7"/>
  <c r="AN691" i="7"/>
  <c r="AN687" i="7"/>
  <c r="AN736" i="7"/>
  <c r="AN729" i="7"/>
  <c r="AM674" i="7"/>
  <c r="AM675" i="7" s="1"/>
  <c r="AM666" i="7"/>
  <c r="AM661" i="7"/>
  <c r="AM656" i="7"/>
  <c r="AM650" i="7"/>
  <c r="AM646" i="7"/>
  <c r="AM638" i="7"/>
  <c r="AM639" i="7" s="1"/>
  <c r="AM624" i="7"/>
  <c r="AM618" i="7"/>
  <c r="AM613" i="7"/>
  <c r="AM606" i="7"/>
  <c r="AM600" i="7"/>
  <c r="AM595" i="7"/>
  <c r="AM590" i="7"/>
  <c r="AM582" i="7"/>
  <c r="AM576" i="7"/>
  <c r="AM570" i="7"/>
  <c r="AM563" i="7"/>
  <c r="AM556" i="7"/>
  <c r="AM557" i="7" s="1"/>
  <c r="AM544" i="7"/>
  <c r="AM545" i="7" s="1"/>
  <c r="AM546" i="7" s="1"/>
  <c r="AM547" i="7" s="1"/>
  <c r="AM534" i="7"/>
  <c r="AM535" i="7" s="1"/>
  <c r="AM525" i="7"/>
  <c r="AM521" i="7"/>
  <c r="AM517" i="7"/>
  <c r="AM513" i="7"/>
  <c r="AM508" i="7"/>
  <c r="AM501" i="7"/>
  <c r="AM497" i="7"/>
  <c r="AM491" i="7"/>
  <c r="AM485" i="7"/>
  <c r="AM479" i="7"/>
  <c r="AM480" i="7" s="1"/>
  <c r="AM468" i="7"/>
  <c r="AM469" i="7" s="1"/>
  <c r="AM462" i="7"/>
  <c r="AM457" i="7"/>
  <c r="AM453" i="7"/>
  <c r="AM449" i="7"/>
  <c r="AM442" i="7"/>
  <c r="AM434" i="7"/>
  <c r="AM424" i="7"/>
  <c r="AM420" i="7"/>
  <c r="AM413" i="7"/>
  <c r="AM400" i="7"/>
  <c r="AM387" i="7"/>
  <c r="AM383" i="7"/>
  <c r="AM374" i="7"/>
  <c r="AM362" i="7"/>
  <c r="AM363" i="7" s="1"/>
  <c r="AM356" i="7"/>
  <c r="AM357" i="7" s="1"/>
  <c r="AM345" i="7"/>
  <c r="AM346" i="7" s="1"/>
  <c r="AM347" i="7" s="1"/>
  <c r="AM333" i="7"/>
  <c r="AM327" i="7"/>
  <c r="AM320" i="7"/>
  <c r="AM311" i="7"/>
  <c r="AM300" i="7"/>
  <c r="AM291" i="7"/>
  <c r="AM286" i="7"/>
  <c r="AM271" i="7"/>
  <c r="AM267" i="7"/>
  <c r="AM263" i="7"/>
  <c r="AM256" i="7"/>
  <c r="AM250" i="7"/>
  <c r="AM243" i="7"/>
  <c r="AM229" i="7"/>
  <c r="AM224" i="7"/>
  <c r="AM218" i="7"/>
  <c r="AM214" i="7"/>
  <c r="AM210" i="7"/>
  <c r="AM197" i="7"/>
  <c r="AM193" i="7"/>
  <c r="AM185" i="7"/>
  <c r="AM186" i="7" s="1"/>
  <c r="AM177" i="7"/>
  <c r="AM172" i="7"/>
  <c r="AM162" i="7"/>
  <c r="AM157" i="7"/>
  <c r="AM151" i="7"/>
  <c r="AM134" i="7"/>
  <c r="AM142" i="7" s="1"/>
  <c r="AM120" i="7"/>
  <c r="AM121" i="7" s="1"/>
  <c r="AM114" i="7"/>
  <c r="AM115" i="7" s="1"/>
  <c r="AM101" i="7"/>
  <c r="AM89" i="7"/>
  <c r="AM77" i="7"/>
  <c r="AM78" i="7" s="1"/>
  <c r="AM79" i="7" s="1"/>
  <c r="AM80" i="7" s="1"/>
  <c r="AM30" i="7"/>
  <c r="AM34" i="7"/>
  <c r="AM40" i="7"/>
  <c r="AM41" i="7" s="1"/>
  <c r="AM63" i="7"/>
  <c r="AM64" i="7" s="1"/>
  <c r="AM20" i="7"/>
  <c r="AM21" i="7" s="1"/>
  <c r="AM22" i="7" s="1"/>
  <c r="AM23" i="7" s="1"/>
  <c r="AM719" i="7"/>
  <c r="AM720" i="7" s="1"/>
  <c r="AM713" i="7"/>
  <c r="AM709" i="7"/>
  <c r="AM701" i="7"/>
  <c r="AM695" i="7"/>
  <c r="AM691" i="7"/>
  <c r="AM687" i="7"/>
  <c r="AM736" i="7"/>
  <c r="AM729" i="7"/>
  <c r="AL674" i="7"/>
  <c r="AL675" i="7" s="1"/>
  <c r="AL666" i="7"/>
  <c r="AL661" i="7"/>
  <c r="AL656" i="7"/>
  <c r="AL650" i="7"/>
  <c r="AL646" i="7"/>
  <c r="AL638" i="7"/>
  <c r="AL634" i="7"/>
  <c r="AL630" i="7"/>
  <c r="AL613" i="7"/>
  <c r="AL606" i="7"/>
  <c r="AL600" i="7"/>
  <c r="AL595" i="7"/>
  <c r="AL590" i="7"/>
  <c r="AL582" i="7"/>
  <c r="AL576" i="7"/>
  <c r="AL570" i="7"/>
  <c r="AL563" i="7"/>
  <c r="AL556" i="7"/>
  <c r="AL557" i="7" s="1"/>
  <c r="AL544" i="7"/>
  <c r="AL545" i="7" s="1"/>
  <c r="AL546" i="7" s="1"/>
  <c r="AL547" i="7" s="1"/>
  <c r="AL534" i="7"/>
  <c r="AL535" i="7" s="1"/>
  <c r="AL525" i="7"/>
  <c r="AL521" i="7"/>
  <c r="AL517" i="7"/>
  <c r="AL513" i="7"/>
  <c r="AL508" i="7"/>
  <c r="AL501" i="7"/>
  <c r="AL497" i="7"/>
  <c r="AL491" i="7"/>
  <c r="AL485" i="7"/>
  <c r="AL479" i="7"/>
  <c r="AL480" i="7" s="1"/>
  <c r="AL468" i="7"/>
  <c r="AL469" i="7" s="1"/>
  <c r="AL462" i="7"/>
  <c r="AL457" i="7"/>
  <c r="AL453" i="7"/>
  <c r="AL449" i="7"/>
  <c r="AL442" i="7"/>
  <c r="AL434" i="7"/>
  <c r="AL424" i="7"/>
  <c r="AL420" i="7"/>
  <c r="AL413" i="7"/>
  <c r="AL400" i="7"/>
  <c r="AL387" i="7"/>
  <c r="AL383" i="7"/>
  <c r="AL374" i="7"/>
  <c r="AL362" i="7"/>
  <c r="AL363" i="7" s="1"/>
  <c r="AL356" i="7"/>
  <c r="AL357" i="7" s="1"/>
  <c r="AL345" i="7"/>
  <c r="AL346" i="7" s="1"/>
  <c r="AL347" i="7" s="1"/>
  <c r="AL333" i="7"/>
  <c r="AL327" i="7"/>
  <c r="AL320" i="7"/>
  <c r="AL311" i="7"/>
  <c r="AL300" i="7"/>
  <c r="AL291" i="7"/>
  <c r="AL286" i="7"/>
  <c r="AL271" i="7"/>
  <c r="AL267" i="7"/>
  <c r="AL263" i="7"/>
  <c r="AL256" i="7"/>
  <c r="AL250" i="7"/>
  <c r="AL243" i="7"/>
  <c r="AL229" i="7"/>
  <c r="AL224" i="7"/>
  <c r="AL218" i="7"/>
  <c r="AL214" i="7"/>
  <c r="AL210" i="7"/>
  <c r="AL197" i="7"/>
  <c r="AL193" i="7"/>
  <c r="AL185" i="7"/>
  <c r="AL186" i="7" s="1"/>
  <c r="AL177" i="7"/>
  <c r="AL172" i="7"/>
  <c r="AL162" i="7"/>
  <c r="AL157" i="7"/>
  <c r="AL151" i="7"/>
  <c r="AL134" i="7"/>
  <c r="AL142" i="7" s="1"/>
  <c r="AL120" i="7"/>
  <c r="AL121" i="7" s="1"/>
  <c r="AL114" i="7"/>
  <c r="AL115" i="7" s="1"/>
  <c r="AL101" i="7"/>
  <c r="AL89" i="7"/>
  <c r="AL77" i="7"/>
  <c r="AL78" i="7" s="1"/>
  <c r="AL79" i="7" s="1"/>
  <c r="AL80" i="7" s="1"/>
  <c r="AL30" i="7"/>
  <c r="AL34" i="7"/>
  <c r="AL40" i="7"/>
  <c r="AL41" i="7" s="1"/>
  <c r="AL63" i="7"/>
  <c r="AL64" i="7" s="1"/>
  <c r="AL20" i="7"/>
  <c r="AL21" i="7" s="1"/>
  <c r="AL22" i="7" s="1"/>
  <c r="AL23" i="7" s="1"/>
  <c r="AL719" i="7"/>
  <c r="AL720" i="7" s="1"/>
  <c r="AL713" i="7"/>
  <c r="AL709" i="7"/>
  <c r="AL701" i="7"/>
  <c r="AL695" i="7"/>
  <c r="AL691" i="7"/>
  <c r="AL687" i="7"/>
  <c r="AL736" i="7"/>
  <c r="AL729" i="7"/>
  <c r="AK674" i="7"/>
  <c r="AK675" i="7" s="1"/>
  <c r="AK666" i="7"/>
  <c r="AK661" i="7"/>
  <c r="AK656" i="7"/>
  <c r="AK650" i="7"/>
  <c r="AK646" i="7"/>
  <c r="AK638" i="7"/>
  <c r="AK639" i="7" s="1"/>
  <c r="AK624" i="7"/>
  <c r="AK618" i="7"/>
  <c r="AK613" i="7"/>
  <c r="AK606" i="7"/>
  <c r="AK600" i="7"/>
  <c r="AK595" i="7"/>
  <c r="AK590" i="7"/>
  <c r="AK582" i="7"/>
  <c r="AK576" i="7"/>
  <c r="AK570" i="7"/>
  <c r="AK563" i="7"/>
  <c r="AK556" i="7"/>
  <c r="AK557" i="7" s="1"/>
  <c r="AK544" i="7"/>
  <c r="AK545" i="7" s="1"/>
  <c r="AK546" i="7" s="1"/>
  <c r="AK547" i="7" s="1"/>
  <c r="AK534" i="7"/>
  <c r="AK535" i="7"/>
  <c r="AK525" i="7"/>
  <c r="AK521" i="7"/>
  <c r="AK517" i="7"/>
  <c r="AK513" i="7"/>
  <c r="AK508" i="7"/>
  <c r="AK501" i="7"/>
  <c r="AK497" i="7"/>
  <c r="AK491" i="7"/>
  <c r="AK485" i="7"/>
  <c r="AK479" i="7"/>
  <c r="AK480" i="7" s="1"/>
  <c r="AK468" i="7"/>
  <c r="AK469" i="7" s="1"/>
  <c r="AK462" i="7"/>
  <c r="AK457" i="7"/>
  <c r="AK453" i="7"/>
  <c r="AK449" i="7"/>
  <c r="AK442" i="7"/>
  <c r="AK434" i="7"/>
  <c r="AK424" i="7"/>
  <c r="AK420" i="7"/>
  <c r="AK413" i="7"/>
  <c r="AK400" i="7"/>
  <c r="AK387" i="7"/>
  <c r="AK383" i="7"/>
  <c r="AK374" i="7"/>
  <c r="AK362" i="7"/>
  <c r="AK363" i="7" s="1"/>
  <c r="AK356" i="7"/>
  <c r="AK357" i="7" s="1"/>
  <c r="AK345" i="7"/>
  <c r="AK346" i="7"/>
  <c r="AK347" i="7" s="1"/>
  <c r="AK333" i="7"/>
  <c r="AK327" i="7"/>
  <c r="AK320" i="7"/>
  <c r="AK311" i="7"/>
  <c r="AK300" i="7"/>
  <c r="AK291" i="7"/>
  <c r="AK286" i="7"/>
  <c r="AK271" i="7"/>
  <c r="AK267" i="7"/>
  <c r="AK263" i="7"/>
  <c r="AK256" i="7"/>
  <c r="AK250" i="7"/>
  <c r="AK243" i="7"/>
  <c r="AK229" i="7"/>
  <c r="AK224" i="7"/>
  <c r="AK218" i="7"/>
  <c r="AK214" i="7"/>
  <c r="AK210" i="7"/>
  <c r="AK197" i="7"/>
  <c r="AK193" i="7"/>
  <c r="AK185" i="7"/>
  <c r="AK186" i="7" s="1"/>
  <c r="AK177" i="7"/>
  <c r="AK172" i="7"/>
  <c r="AK162" i="7"/>
  <c r="AK157" i="7"/>
  <c r="AK151" i="7"/>
  <c r="AK134" i="7"/>
  <c r="AK142" i="7" s="1"/>
  <c r="AK120" i="7"/>
  <c r="AK121" i="7" s="1"/>
  <c r="AK114" i="7"/>
  <c r="AK115" i="7" s="1"/>
  <c r="AK101" i="7"/>
  <c r="AK89" i="7"/>
  <c r="AK77" i="7"/>
  <c r="AK78" i="7" s="1"/>
  <c r="AK79" i="7" s="1"/>
  <c r="AK80" i="7" s="1"/>
  <c r="AK30" i="7"/>
  <c r="AK34" i="7"/>
  <c r="AK40" i="7"/>
  <c r="AK41" i="7" s="1"/>
  <c r="AK63" i="7"/>
  <c r="AK64" i="7" s="1"/>
  <c r="AK20" i="7"/>
  <c r="AK21" i="7" s="1"/>
  <c r="AK22" i="7" s="1"/>
  <c r="AK23" i="7" s="1"/>
  <c r="AK719" i="7"/>
  <c r="AK720" i="7" s="1"/>
  <c r="AK713" i="7"/>
  <c r="AK709" i="7"/>
  <c r="AK701" i="7"/>
  <c r="AK695" i="7"/>
  <c r="AK691" i="7"/>
  <c r="AK687" i="7"/>
  <c r="AK736" i="7"/>
  <c r="AK729" i="7"/>
  <c r="AJ674" i="7"/>
  <c r="AJ675" i="7" s="1"/>
  <c r="AJ666" i="7"/>
  <c r="AJ661" i="7"/>
  <c r="AJ656" i="7"/>
  <c r="AJ650" i="7"/>
  <c r="AJ646" i="7"/>
  <c r="AJ638" i="7"/>
  <c r="AJ639" i="7" s="1"/>
  <c r="AJ624" i="7"/>
  <c r="AJ618" i="7"/>
  <c r="AJ613" i="7"/>
  <c r="AJ606" i="7"/>
  <c r="AJ600" i="7"/>
  <c r="AJ595" i="7"/>
  <c r="AJ590" i="7"/>
  <c r="AJ582" i="7"/>
  <c r="AJ576" i="7"/>
  <c r="AJ570" i="7"/>
  <c r="AJ563" i="7"/>
  <c r="AJ556" i="7"/>
  <c r="AJ557" i="7" s="1"/>
  <c r="AJ544" i="7"/>
  <c r="AJ545" i="7" s="1"/>
  <c r="AJ546" i="7" s="1"/>
  <c r="AJ547" i="7" s="1"/>
  <c r="AJ534" i="7"/>
  <c r="AJ535" i="7" s="1"/>
  <c r="AJ525" i="7"/>
  <c r="AJ521" i="7"/>
  <c r="AJ517" i="7"/>
  <c r="AJ513" i="7"/>
  <c r="AJ508" i="7"/>
  <c r="AJ501" i="7"/>
  <c r="AJ497" i="7"/>
  <c r="AJ491" i="7"/>
  <c r="AJ485" i="7"/>
  <c r="AJ479" i="7"/>
  <c r="AJ480" i="7" s="1"/>
  <c r="AJ468" i="7"/>
  <c r="AJ469" i="7" s="1"/>
  <c r="AJ462" i="7"/>
  <c r="AJ457" i="7"/>
  <c r="AJ453" i="7"/>
  <c r="AJ449" i="7"/>
  <c r="AJ442" i="7"/>
  <c r="AJ434" i="7"/>
  <c r="AJ424" i="7"/>
  <c r="AJ420" i="7"/>
  <c r="AJ413" i="7"/>
  <c r="AJ400" i="7"/>
  <c r="AJ387" i="7"/>
  <c r="AJ383" i="7"/>
  <c r="AJ374" i="7"/>
  <c r="AJ362" i="7"/>
  <c r="AJ363" i="7" s="1"/>
  <c r="AJ356" i="7"/>
  <c r="AJ357" i="7" s="1"/>
  <c r="AJ345" i="7"/>
  <c r="AJ346" i="7" s="1"/>
  <c r="AJ347" i="7" s="1"/>
  <c r="AJ333" i="7"/>
  <c r="AJ327" i="7"/>
  <c r="AJ320" i="7"/>
  <c r="AJ311" i="7"/>
  <c r="AJ300" i="7"/>
  <c r="AJ291" i="7"/>
  <c r="AJ286" i="7"/>
  <c r="AJ271" i="7"/>
  <c r="AJ267" i="7"/>
  <c r="AJ263" i="7"/>
  <c r="AJ256" i="7"/>
  <c r="AJ250" i="7"/>
  <c r="AJ243" i="7"/>
  <c r="AJ229" i="7"/>
  <c r="AJ224" i="7"/>
  <c r="AJ218" i="7"/>
  <c r="AJ214" i="7"/>
  <c r="AJ210" i="7"/>
  <c r="AJ197" i="7"/>
  <c r="AJ193" i="7"/>
  <c r="AJ185" i="7"/>
  <c r="AJ186" i="7" s="1"/>
  <c r="AJ177" i="7"/>
  <c r="AJ172" i="7"/>
  <c r="AJ162" i="7"/>
  <c r="AJ157" i="7"/>
  <c r="AJ151" i="7"/>
  <c r="AJ134" i="7"/>
  <c r="AJ142" i="7" s="1"/>
  <c r="AJ120" i="7"/>
  <c r="AJ121" i="7" s="1"/>
  <c r="AJ114" i="7"/>
  <c r="AJ115" i="7" s="1"/>
  <c r="AJ101" i="7"/>
  <c r="AJ89" i="7"/>
  <c r="AJ77" i="7"/>
  <c r="AJ78" i="7" s="1"/>
  <c r="AJ79" i="7" s="1"/>
  <c r="AJ80" i="7" s="1"/>
  <c r="AJ30" i="7"/>
  <c r="AJ34" i="7"/>
  <c r="AJ40" i="7"/>
  <c r="AJ41" i="7" s="1"/>
  <c r="AJ63" i="7"/>
  <c r="AJ64" i="7" s="1"/>
  <c r="AJ20" i="7"/>
  <c r="AJ21" i="7" s="1"/>
  <c r="AJ22" i="7" s="1"/>
  <c r="AJ23" i="7" s="1"/>
  <c r="AJ719" i="7"/>
  <c r="AJ720" i="7" s="1"/>
  <c r="AJ713" i="7"/>
  <c r="AJ709" i="7"/>
  <c r="AJ701" i="7"/>
  <c r="AJ695" i="7"/>
  <c r="AJ691" i="7"/>
  <c r="AJ687" i="7"/>
  <c r="AJ736" i="7"/>
  <c r="AJ729" i="7"/>
  <c r="AI674" i="7"/>
  <c r="AI675" i="7" s="1"/>
  <c r="AI666" i="7"/>
  <c r="AI661" i="7"/>
  <c r="AI656" i="7"/>
  <c r="AI650" i="7"/>
  <c r="AI646" i="7"/>
  <c r="AI638" i="7"/>
  <c r="AI634" i="7"/>
  <c r="AI630" i="7"/>
  <c r="AI624" i="7"/>
  <c r="AI618" i="7"/>
  <c r="AI613" i="7"/>
  <c r="AI606" i="7"/>
  <c r="AI600" i="7"/>
  <c r="AI595" i="7"/>
  <c r="AI590" i="7"/>
  <c r="AI582" i="7"/>
  <c r="AI576" i="7"/>
  <c r="AI570" i="7"/>
  <c r="AI563" i="7"/>
  <c r="AI556" i="7"/>
  <c r="AI557" i="7" s="1"/>
  <c r="AI544" i="7"/>
  <c r="AI545" i="7" s="1"/>
  <c r="AI546" i="7" s="1"/>
  <c r="AI547" i="7" s="1"/>
  <c r="AI534" i="7"/>
  <c r="AI535" i="7" s="1"/>
  <c r="AI525" i="7"/>
  <c r="AI521" i="7"/>
  <c r="AI517" i="7"/>
  <c r="AI513" i="7"/>
  <c r="AI508" i="7"/>
  <c r="AI501" i="7"/>
  <c r="AI497" i="7"/>
  <c r="AI491" i="7"/>
  <c r="AI485" i="7"/>
  <c r="AI479" i="7"/>
  <c r="AI480" i="7" s="1"/>
  <c r="AI468" i="7"/>
  <c r="AI469" i="7" s="1"/>
  <c r="AI462" i="7"/>
  <c r="AI457" i="7"/>
  <c r="AI453" i="7"/>
  <c r="AI449" i="7"/>
  <c r="AI442" i="7"/>
  <c r="AI434" i="7"/>
  <c r="AI424" i="7"/>
  <c r="AI420" i="7"/>
  <c r="AI400" i="7"/>
  <c r="AI387" i="7"/>
  <c r="AI383" i="7"/>
  <c r="AI374" i="7"/>
  <c r="AI362" i="7"/>
  <c r="AI363" i="7" s="1"/>
  <c r="AI356" i="7"/>
  <c r="AI357" i="7" s="1"/>
  <c r="AI345" i="7"/>
  <c r="AI346" i="7" s="1"/>
  <c r="AI347" i="7" s="1"/>
  <c r="AI333" i="7"/>
  <c r="AI327" i="7"/>
  <c r="AI320" i="7"/>
  <c r="AI311" i="7"/>
  <c r="AI300" i="7"/>
  <c r="AI291" i="7"/>
  <c r="AI286" i="7"/>
  <c r="AI271" i="7"/>
  <c r="AI267" i="7"/>
  <c r="AI263" i="7"/>
  <c r="AI256" i="7"/>
  <c r="AI250" i="7"/>
  <c r="AI243" i="7"/>
  <c r="AI229" i="7"/>
  <c r="AI224" i="7"/>
  <c r="AI218" i="7"/>
  <c r="AI214" i="7"/>
  <c r="AI210" i="7"/>
  <c r="AI197" i="7"/>
  <c r="AI193" i="7"/>
  <c r="AI185" i="7"/>
  <c r="AI186" i="7" s="1"/>
  <c r="AI177" i="7"/>
  <c r="AI172" i="7"/>
  <c r="AI162" i="7"/>
  <c r="AI157" i="7"/>
  <c r="AI151" i="7"/>
  <c r="AI134" i="7"/>
  <c r="AI142" i="7" s="1"/>
  <c r="AI120" i="7"/>
  <c r="AI121" i="7" s="1"/>
  <c r="AI114" i="7"/>
  <c r="AI115" i="7" s="1"/>
  <c r="AI101" i="7"/>
  <c r="AI89" i="7"/>
  <c r="AI77" i="7"/>
  <c r="AI78" i="7" s="1"/>
  <c r="AI79" i="7" s="1"/>
  <c r="AI80" i="7" s="1"/>
  <c r="AI30" i="7"/>
  <c r="AI34" i="7"/>
  <c r="AI40" i="7"/>
  <c r="AI41" i="7" s="1"/>
  <c r="AI63" i="7"/>
  <c r="AI64" i="7" s="1"/>
  <c r="AI20" i="7"/>
  <c r="AI21" i="7" s="1"/>
  <c r="AI22" i="7" s="1"/>
  <c r="AI23" i="7" s="1"/>
  <c r="AI719" i="7"/>
  <c r="AI720" i="7" s="1"/>
  <c r="AI713" i="7"/>
  <c r="AI709" i="7"/>
  <c r="AI701" i="7"/>
  <c r="AI695" i="7"/>
  <c r="AI691" i="7"/>
  <c r="AI687" i="7"/>
  <c r="AI736" i="7"/>
  <c r="AI729" i="7"/>
  <c r="AI748" i="7"/>
  <c r="AI749" i="7" s="1"/>
  <c r="AI750" i="7" s="1"/>
  <c r="AI751" i="7" s="1"/>
  <c r="AH674" i="7"/>
  <c r="AH675" i="7" s="1"/>
  <c r="AH666" i="7"/>
  <c r="AH661" i="7"/>
  <c r="AH656" i="7"/>
  <c r="AH650" i="7"/>
  <c r="AH646" i="7"/>
  <c r="AH638" i="7"/>
  <c r="AH639" i="7" s="1"/>
  <c r="AH624" i="7"/>
  <c r="AH618" i="7"/>
  <c r="AH613" i="7"/>
  <c r="AH606" i="7"/>
  <c r="AH600" i="7"/>
  <c r="AH595" i="7"/>
  <c r="AH590" i="7"/>
  <c r="AH582" i="7"/>
  <c r="AH576" i="7"/>
  <c r="AH570" i="7"/>
  <c r="AH563" i="7"/>
  <c r="AH556" i="7"/>
  <c r="AH557" i="7" s="1"/>
  <c r="AH544" i="7"/>
  <c r="AH545" i="7" s="1"/>
  <c r="AH546" i="7" s="1"/>
  <c r="AH547" i="7" s="1"/>
  <c r="AH534" i="7"/>
  <c r="AH535" i="7" s="1"/>
  <c r="AH525" i="7"/>
  <c r="AH521" i="7"/>
  <c r="AH517" i="7"/>
  <c r="AH513" i="7"/>
  <c r="AH508" i="7"/>
  <c r="AH501" i="7"/>
  <c r="AH497" i="7"/>
  <c r="AH491" i="7"/>
  <c r="AH485" i="7"/>
  <c r="AH479" i="7"/>
  <c r="AH480" i="7" s="1"/>
  <c r="AH468" i="7"/>
  <c r="AH469" i="7" s="1"/>
  <c r="AH462" i="7"/>
  <c r="AH457" i="7"/>
  <c r="AH453" i="7"/>
  <c r="AH449" i="7"/>
  <c r="AH442" i="7"/>
  <c r="AH434" i="7"/>
  <c r="AH424" i="7"/>
  <c r="AH420" i="7"/>
  <c r="AH413" i="7"/>
  <c r="AH400" i="7"/>
  <c r="AH387" i="7"/>
  <c r="AH383" i="7"/>
  <c r="AH374" i="7"/>
  <c r="AH362" i="7"/>
  <c r="AH363" i="7" s="1"/>
  <c r="AH356" i="7"/>
  <c r="AH357" i="7" s="1"/>
  <c r="AH345" i="7"/>
  <c r="AH346" i="7" s="1"/>
  <c r="AH347" i="7" s="1"/>
  <c r="AH333" i="7"/>
  <c r="AH327" i="7"/>
  <c r="AH320" i="7"/>
  <c r="AH311" i="7"/>
  <c r="AH300" i="7"/>
  <c r="AH291" i="7"/>
  <c r="AH286" i="7"/>
  <c r="AH271" i="7"/>
  <c r="AH267" i="7"/>
  <c r="AH263" i="7"/>
  <c r="AH256" i="7"/>
  <c r="AH250" i="7"/>
  <c r="AH243" i="7"/>
  <c r="AH229" i="7"/>
  <c r="AH224" i="7"/>
  <c r="AH218" i="7"/>
  <c r="AH214" i="7"/>
  <c r="AH210" i="7"/>
  <c r="AH197" i="7"/>
  <c r="AH193" i="7"/>
  <c r="AH185" i="7"/>
  <c r="AH186" i="7" s="1"/>
  <c r="AH177" i="7"/>
  <c r="AH172" i="7"/>
  <c r="AH162" i="7"/>
  <c r="AH157" i="7"/>
  <c r="AH151" i="7"/>
  <c r="AH134" i="7"/>
  <c r="AH142" i="7" s="1"/>
  <c r="AH120" i="7"/>
  <c r="AH121" i="7" s="1"/>
  <c r="AH114" i="7"/>
  <c r="AH115" i="7" s="1"/>
  <c r="AH101" i="7"/>
  <c r="AH89" i="7"/>
  <c r="AH102" i="7" s="1"/>
  <c r="AH103" i="7" s="1"/>
  <c r="AH77" i="7"/>
  <c r="AH78" i="7" s="1"/>
  <c r="AH79" i="7" s="1"/>
  <c r="AH80" i="7" s="1"/>
  <c r="AH30" i="7"/>
  <c r="AH35" i="7" s="1"/>
  <c r="AH34" i="7"/>
  <c r="AH40" i="7"/>
  <c r="AH41" i="7" s="1"/>
  <c r="AH63" i="7"/>
  <c r="AH64" i="7" s="1"/>
  <c r="AH20" i="7"/>
  <c r="AH21" i="7" s="1"/>
  <c r="AH22" i="7" s="1"/>
  <c r="AH23" i="7" s="1"/>
  <c r="AH719" i="7"/>
  <c r="AH720" i="7" s="1"/>
  <c r="AH713" i="7"/>
  <c r="AH709" i="7"/>
  <c r="AH701" i="7"/>
  <c r="AH695" i="7"/>
  <c r="AH691" i="7"/>
  <c r="AH687" i="7"/>
  <c r="AH736" i="7"/>
  <c r="AH729" i="7"/>
  <c r="AG674" i="7"/>
  <c r="AG675" i="7" s="1"/>
  <c r="AG666" i="7"/>
  <c r="AG661" i="7"/>
  <c r="AG656" i="7"/>
  <c r="AG650" i="7"/>
  <c r="AG646" i="7"/>
  <c r="AG638" i="7"/>
  <c r="AG639" i="7" s="1"/>
  <c r="AG624" i="7"/>
  <c r="AG618" i="7"/>
  <c r="AG613" i="7"/>
  <c r="AG606" i="7"/>
  <c r="AG600" i="7"/>
  <c r="AG595" i="7"/>
  <c r="AG590" i="7"/>
  <c r="AG582" i="7"/>
  <c r="AG576" i="7"/>
  <c r="AG570" i="7"/>
  <c r="AG563" i="7"/>
  <c r="AG556" i="7"/>
  <c r="AG557" i="7" s="1"/>
  <c r="AG544" i="7"/>
  <c r="AG545" i="7" s="1"/>
  <c r="AG546" i="7" s="1"/>
  <c r="AG547" i="7" s="1"/>
  <c r="AG534" i="7"/>
  <c r="AG535" i="7" s="1"/>
  <c r="AG525" i="7"/>
  <c r="AG521" i="7"/>
  <c r="AG517" i="7"/>
  <c r="AG513" i="7"/>
  <c r="AG508" i="7"/>
  <c r="AG501" i="7"/>
  <c r="AG497" i="7"/>
  <c r="AG491" i="7"/>
  <c r="AG485" i="7"/>
  <c r="AG479" i="7"/>
  <c r="AG480" i="7" s="1"/>
  <c r="AG468" i="7"/>
  <c r="AG469" i="7" s="1"/>
  <c r="AG462" i="7"/>
  <c r="AG457" i="7"/>
  <c r="AG453" i="7"/>
  <c r="AG449" i="7"/>
  <c r="AG442" i="7"/>
  <c r="AG434" i="7"/>
  <c r="AG424" i="7"/>
  <c r="AG420" i="7"/>
  <c r="AG413" i="7"/>
  <c r="AG400" i="7"/>
  <c r="AG387" i="7"/>
  <c r="AG383" i="7"/>
  <c r="AG374" i="7"/>
  <c r="AG362" i="7"/>
  <c r="AG363" i="7" s="1"/>
  <c r="AG356" i="7"/>
  <c r="AG357" i="7" s="1"/>
  <c r="AG345" i="7"/>
  <c r="AG346" i="7" s="1"/>
  <c r="AG347" i="7" s="1"/>
  <c r="AG333" i="7"/>
  <c r="AG327" i="7"/>
  <c r="AG320" i="7"/>
  <c r="AG311" i="7"/>
  <c r="AG300" i="7"/>
  <c r="AG291" i="7"/>
  <c r="AG286" i="7"/>
  <c r="AG271" i="7"/>
  <c r="AG267" i="7"/>
  <c r="AG263" i="7"/>
  <c r="AG256" i="7"/>
  <c r="AG250" i="7"/>
  <c r="AG243" i="7"/>
  <c r="AG229" i="7"/>
  <c r="AG224" i="7"/>
  <c r="AG218" i="7"/>
  <c r="AG214" i="7"/>
  <c r="AG210" i="7"/>
  <c r="AG197" i="7"/>
  <c r="AG193" i="7"/>
  <c r="AG185" i="7"/>
  <c r="AG186" i="7" s="1"/>
  <c r="AG177" i="7"/>
  <c r="AG172" i="7"/>
  <c r="AG162" i="7"/>
  <c r="AG157" i="7"/>
  <c r="AG151" i="7"/>
  <c r="AG134" i="7"/>
  <c r="AG142" i="7" s="1"/>
  <c r="AG120" i="7"/>
  <c r="AG121" i="7" s="1"/>
  <c r="AG114" i="7"/>
  <c r="AG115" i="7" s="1"/>
  <c r="AG101" i="7"/>
  <c r="AG89" i="7"/>
  <c r="AG77" i="7"/>
  <c r="AG78" i="7" s="1"/>
  <c r="AG79" i="7" s="1"/>
  <c r="AG80" i="7" s="1"/>
  <c r="AG30" i="7"/>
  <c r="AG34" i="7"/>
  <c r="AG40" i="7"/>
  <c r="AG41" i="7" s="1"/>
  <c r="AG63" i="7"/>
  <c r="AG64" i="7" s="1"/>
  <c r="AG20" i="7"/>
  <c r="AG21" i="7" s="1"/>
  <c r="AG22" i="7" s="1"/>
  <c r="AG23" i="7" s="1"/>
  <c r="AG719" i="7"/>
  <c r="AG720" i="7" s="1"/>
  <c r="AG713" i="7"/>
  <c r="AG709" i="7"/>
  <c r="AG701" i="7"/>
  <c r="AG695" i="7"/>
  <c r="AG691" i="7"/>
  <c r="AG687" i="7"/>
  <c r="AG736" i="7"/>
  <c r="AG729" i="7"/>
  <c r="AF674" i="7"/>
  <c r="AF675" i="7" s="1"/>
  <c r="AF666" i="7"/>
  <c r="AF661" i="7"/>
  <c r="AF656" i="7"/>
  <c r="AF650" i="7"/>
  <c r="AF646" i="7"/>
  <c r="AF638" i="7"/>
  <c r="AF634" i="7"/>
  <c r="AF630" i="7"/>
  <c r="AF624" i="7"/>
  <c r="AF618" i="7"/>
  <c r="AF613" i="7"/>
  <c r="AF606" i="7"/>
  <c r="AF600" i="7"/>
  <c r="AF595" i="7"/>
  <c r="AF590" i="7"/>
  <c r="AF582" i="7"/>
  <c r="AF576" i="7"/>
  <c r="AF570" i="7"/>
  <c r="AF563" i="7"/>
  <c r="AF556" i="7"/>
  <c r="AF557" i="7" s="1"/>
  <c r="AF544" i="7"/>
  <c r="AF545" i="7" s="1"/>
  <c r="AF546" i="7" s="1"/>
  <c r="AF547" i="7" s="1"/>
  <c r="AF534" i="7"/>
  <c r="AF535" i="7" s="1"/>
  <c r="AF525" i="7"/>
  <c r="AF521" i="7"/>
  <c r="AF517" i="7"/>
  <c r="AF513" i="7"/>
  <c r="AF508" i="7"/>
  <c r="AF501" i="7"/>
  <c r="AF497" i="7"/>
  <c r="AF491" i="7"/>
  <c r="AF485" i="7"/>
  <c r="AF479" i="7"/>
  <c r="AF480" i="7" s="1"/>
  <c r="AF468" i="7"/>
  <c r="AF469" i="7" s="1"/>
  <c r="AF462" i="7"/>
  <c r="AF457" i="7"/>
  <c r="AF453" i="7"/>
  <c r="AF449" i="7"/>
  <c r="AF442" i="7"/>
  <c r="AF434" i="7"/>
  <c r="AF424" i="7"/>
  <c r="AF420" i="7"/>
  <c r="AF413" i="7"/>
  <c r="AF400" i="7"/>
  <c r="AF387" i="7"/>
  <c r="AF383" i="7"/>
  <c r="AF374" i="7"/>
  <c r="AF362" i="7"/>
  <c r="AF363" i="7" s="1"/>
  <c r="AF356" i="7"/>
  <c r="AF357" i="7" s="1"/>
  <c r="AF345" i="7"/>
  <c r="AF346" i="7" s="1"/>
  <c r="AF347" i="7"/>
  <c r="AF333" i="7"/>
  <c r="AF327" i="7"/>
  <c r="AF320" i="7"/>
  <c r="AF311" i="7"/>
  <c r="AF300" i="7"/>
  <c r="AF291" i="7"/>
  <c r="AF286" i="7"/>
  <c r="AF271" i="7"/>
  <c r="AF267" i="7"/>
  <c r="AF263" i="7"/>
  <c r="AF256" i="7"/>
  <c r="AF250" i="7"/>
  <c r="AF243" i="7"/>
  <c r="AF229" i="7"/>
  <c r="AF224" i="7"/>
  <c r="AF218" i="7"/>
  <c r="AF214" i="7"/>
  <c r="AF210" i="7"/>
  <c r="AF197" i="7"/>
  <c r="AF193" i="7"/>
  <c r="AF185" i="7"/>
  <c r="AF186" i="7" s="1"/>
  <c r="AF177" i="7"/>
  <c r="AF172" i="7"/>
  <c r="AF162" i="7"/>
  <c r="AF157" i="7"/>
  <c r="AF151" i="7"/>
  <c r="AF134" i="7"/>
  <c r="AF142" i="7" s="1"/>
  <c r="AF120" i="7"/>
  <c r="AF121" i="7" s="1"/>
  <c r="AF114" i="7"/>
  <c r="AF115" i="7" s="1"/>
  <c r="AF101" i="7"/>
  <c r="AF89" i="7"/>
  <c r="AF77" i="7"/>
  <c r="AF78" i="7" s="1"/>
  <c r="AF79" i="7" s="1"/>
  <c r="AF80" i="7" s="1"/>
  <c r="AF30" i="7"/>
  <c r="AF34" i="7"/>
  <c r="AF40" i="7"/>
  <c r="AF41" i="7" s="1"/>
  <c r="AF63" i="7"/>
  <c r="AF64" i="7" s="1"/>
  <c r="AF20" i="7"/>
  <c r="AF21" i="7" s="1"/>
  <c r="AF22" i="7" s="1"/>
  <c r="AF23" i="7" s="1"/>
  <c r="AF719" i="7"/>
  <c r="AF720" i="7" s="1"/>
  <c r="AF713" i="7"/>
  <c r="AF709" i="7"/>
  <c r="AF701" i="7"/>
  <c r="AF695" i="7"/>
  <c r="AF691" i="7"/>
  <c r="AF687" i="7"/>
  <c r="AF736" i="7"/>
  <c r="AF729" i="7"/>
  <c r="AF748" i="7"/>
  <c r="AF749" i="7" s="1"/>
  <c r="AF750" i="7" s="1"/>
  <c r="AF751" i="7" s="1"/>
  <c r="AE674" i="7"/>
  <c r="AE675" i="7" s="1"/>
  <c r="AE666" i="7"/>
  <c r="AE661" i="7"/>
  <c r="AE656" i="7"/>
  <c r="AE650" i="7"/>
  <c r="AE646" i="7"/>
  <c r="AE638" i="7"/>
  <c r="AE639" i="7" s="1"/>
  <c r="AE624" i="7"/>
  <c r="AE618" i="7"/>
  <c r="AE613" i="7"/>
  <c r="AE606" i="7"/>
  <c r="AE600" i="7"/>
  <c r="AE595" i="7"/>
  <c r="AE590" i="7"/>
  <c r="AE582" i="7"/>
  <c r="AE576" i="7"/>
  <c r="AE570" i="7"/>
  <c r="AE563" i="7"/>
  <c r="AE556" i="7"/>
  <c r="AE557" i="7" s="1"/>
  <c r="AE544" i="7"/>
  <c r="AE545" i="7" s="1"/>
  <c r="AE546" i="7" s="1"/>
  <c r="AE547" i="7" s="1"/>
  <c r="AE534" i="7"/>
  <c r="AE535" i="7" s="1"/>
  <c r="AE525" i="7"/>
  <c r="AE521" i="7"/>
  <c r="AE517" i="7"/>
  <c r="AE513" i="7"/>
  <c r="AE508" i="7"/>
  <c r="AE501" i="7"/>
  <c r="AE497" i="7"/>
  <c r="AE491" i="7"/>
  <c r="AE485" i="7"/>
  <c r="AE479" i="7"/>
  <c r="AE480" i="7" s="1"/>
  <c r="AE468" i="7"/>
  <c r="AE469" i="7" s="1"/>
  <c r="AE462" i="7"/>
  <c r="AE457" i="7"/>
  <c r="AE453" i="7"/>
  <c r="AE449" i="7"/>
  <c r="AE442" i="7"/>
  <c r="AE434" i="7"/>
  <c r="AE424" i="7"/>
  <c r="AE420" i="7"/>
  <c r="AE413" i="7"/>
  <c r="AE400" i="7"/>
  <c r="AE387" i="7"/>
  <c r="AE383" i="7"/>
  <c r="AE374" i="7"/>
  <c r="AE362" i="7"/>
  <c r="AE363" i="7" s="1"/>
  <c r="AE356" i="7"/>
  <c r="AE357" i="7" s="1"/>
  <c r="AE345" i="7"/>
  <c r="AE346" i="7" s="1"/>
  <c r="AE347" i="7" s="1"/>
  <c r="AE333" i="7"/>
  <c r="AE327" i="7"/>
  <c r="AE320" i="7"/>
  <c r="AE311" i="7"/>
  <c r="AE300" i="7"/>
  <c r="AE291" i="7"/>
  <c r="AE286" i="7"/>
  <c r="AE271" i="7"/>
  <c r="AE267" i="7"/>
  <c r="AE263" i="7"/>
  <c r="AE256" i="7"/>
  <c r="AE250" i="7"/>
  <c r="AE243" i="7"/>
  <c r="AE229" i="7"/>
  <c r="AE224" i="7"/>
  <c r="AE218" i="7"/>
  <c r="AE214" i="7"/>
  <c r="AE210" i="7"/>
  <c r="AE197" i="7"/>
  <c r="AE193" i="7"/>
  <c r="AE185" i="7"/>
  <c r="AE186" i="7" s="1"/>
  <c r="AE177" i="7"/>
  <c r="AE172" i="7"/>
  <c r="AE162" i="7"/>
  <c r="AE157" i="7"/>
  <c r="AE151" i="7"/>
  <c r="AE134" i="7"/>
  <c r="AE142" i="7" s="1"/>
  <c r="AE120" i="7"/>
  <c r="AE121" i="7" s="1"/>
  <c r="AE114" i="7"/>
  <c r="AE115" i="7" s="1"/>
  <c r="AE101" i="7"/>
  <c r="AE89" i="7"/>
  <c r="AE77" i="7"/>
  <c r="AE78" i="7" s="1"/>
  <c r="AE79" i="7" s="1"/>
  <c r="AE80" i="7" s="1"/>
  <c r="AE30" i="7"/>
  <c r="AE34" i="7"/>
  <c r="AE40" i="7"/>
  <c r="AE41" i="7" s="1"/>
  <c r="AE63" i="7"/>
  <c r="AE64" i="7" s="1"/>
  <c r="AE20" i="7"/>
  <c r="AE21" i="7" s="1"/>
  <c r="AE22" i="7" s="1"/>
  <c r="AE23" i="7" s="1"/>
  <c r="AE719" i="7"/>
  <c r="AE720" i="7" s="1"/>
  <c r="AE713" i="7"/>
  <c r="AE709" i="7"/>
  <c r="AE701" i="7"/>
  <c r="AE695" i="7"/>
  <c r="AE691" i="7"/>
  <c r="AE687" i="7"/>
  <c r="AE736" i="7"/>
  <c r="AE729" i="7"/>
  <c r="AD674" i="7"/>
  <c r="AD675" i="7" s="1"/>
  <c r="AD666" i="7"/>
  <c r="AD661" i="7"/>
  <c r="AD656" i="7"/>
  <c r="AD650" i="7"/>
  <c r="AD646" i="7"/>
  <c r="AD638" i="7"/>
  <c r="AD639" i="7" s="1"/>
  <c r="AD624" i="7"/>
  <c r="AD618" i="7"/>
  <c r="AD613" i="7"/>
  <c r="AD606" i="7"/>
  <c r="AD600" i="7"/>
  <c r="AD595" i="7"/>
  <c r="AD590" i="7"/>
  <c r="AD582" i="7"/>
  <c r="AD576" i="7"/>
  <c r="AD570" i="7"/>
  <c r="AD563" i="7"/>
  <c r="AD556" i="7"/>
  <c r="AD557" i="7" s="1"/>
  <c r="AD544" i="7"/>
  <c r="AD545" i="7" s="1"/>
  <c r="AD546" i="7" s="1"/>
  <c r="AD547" i="7" s="1"/>
  <c r="AD534" i="7"/>
  <c r="AD535" i="7" s="1"/>
  <c r="AD525" i="7"/>
  <c r="AD521" i="7"/>
  <c r="AD517" i="7"/>
  <c r="AD513" i="7"/>
  <c r="AD508" i="7"/>
  <c r="AD501" i="7"/>
  <c r="AD497" i="7"/>
  <c r="AD491" i="7"/>
  <c r="AD485" i="7"/>
  <c r="AD479" i="7"/>
  <c r="AD480" i="7" s="1"/>
  <c r="AD468" i="7"/>
  <c r="AD469" i="7" s="1"/>
  <c r="AD462" i="7"/>
  <c r="AD457" i="7"/>
  <c r="AD453" i="7"/>
  <c r="AD449" i="7"/>
  <c r="AD442" i="7"/>
  <c r="AD434" i="7"/>
  <c r="AD424" i="7"/>
  <c r="AD420" i="7"/>
  <c r="AD413" i="7"/>
  <c r="AD400" i="7"/>
  <c r="AD387" i="7"/>
  <c r="AD383" i="7"/>
  <c r="AD374" i="7"/>
  <c r="AD362" i="7"/>
  <c r="AD363" i="7" s="1"/>
  <c r="AD356" i="7"/>
  <c r="AD357" i="7" s="1"/>
  <c r="AD345" i="7"/>
  <c r="AD346" i="7" s="1"/>
  <c r="AD347" i="7" s="1"/>
  <c r="AD333" i="7"/>
  <c r="AD327" i="7"/>
  <c r="AD320" i="7"/>
  <c r="AD311" i="7"/>
  <c r="AD300" i="7"/>
  <c r="AD291" i="7"/>
  <c r="AD286" i="7"/>
  <c r="AD271" i="7"/>
  <c r="AD267" i="7"/>
  <c r="AD263" i="7"/>
  <c r="AD256" i="7"/>
  <c r="AD250" i="7"/>
  <c r="AD243" i="7"/>
  <c r="AD229" i="7"/>
  <c r="AD224" i="7"/>
  <c r="AD218" i="7"/>
  <c r="AD214" i="7"/>
  <c r="AD210" i="7"/>
  <c r="AD197" i="7"/>
  <c r="AD193" i="7"/>
  <c r="AD185" i="7"/>
  <c r="AD186" i="7" s="1"/>
  <c r="AD177" i="7"/>
  <c r="AD172" i="7"/>
  <c r="AD162" i="7"/>
  <c r="AD157" i="7"/>
  <c r="AD151" i="7"/>
  <c r="AD134" i="7"/>
  <c r="AD142" i="7" s="1"/>
  <c r="AD120" i="7"/>
  <c r="AD121" i="7" s="1"/>
  <c r="AD114" i="7"/>
  <c r="AD115" i="7" s="1"/>
  <c r="AD101" i="7"/>
  <c r="AD89" i="7"/>
  <c r="AD77" i="7"/>
  <c r="AD78" i="7" s="1"/>
  <c r="AD79" i="7" s="1"/>
  <c r="AD80" i="7" s="1"/>
  <c r="AD30" i="7"/>
  <c r="AD34" i="7"/>
  <c r="AD35" i="7" s="1"/>
  <c r="AD40" i="7"/>
  <c r="AD41" i="7" s="1"/>
  <c r="AD63" i="7"/>
  <c r="AD64" i="7" s="1"/>
  <c r="AD20" i="7"/>
  <c r="AD21" i="7" s="1"/>
  <c r="AD22" i="7" s="1"/>
  <c r="AD23" i="7" s="1"/>
  <c r="AD719" i="7"/>
  <c r="AD720" i="7" s="1"/>
  <c r="AD713" i="7"/>
  <c r="AD709" i="7"/>
  <c r="AD701" i="7"/>
  <c r="AD695" i="7"/>
  <c r="AD691" i="7"/>
  <c r="AD687" i="7"/>
  <c r="AD736" i="7"/>
  <c r="AD729" i="7"/>
  <c r="AC674" i="7"/>
  <c r="AC675" i="7" s="1"/>
  <c r="AC666" i="7"/>
  <c r="AC661" i="7"/>
  <c r="AC656" i="7"/>
  <c r="AC650" i="7"/>
  <c r="AC646" i="7"/>
  <c r="AC638" i="7"/>
  <c r="AC634" i="7"/>
  <c r="AC630" i="7"/>
  <c r="AC624" i="7"/>
  <c r="AC618" i="7"/>
  <c r="AC613" i="7"/>
  <c r="AC606" i="7"/>
  <c r="AC600" i="7"/>
  <c r="AC595" i="7"/>
  <c r="AC590" i="7"/>
  <c r="AC582" i="7"/>
  <c r="AC576" i="7"/>
  <c r="AC570" i="7"/>
  <c r="AC563" i="7"/>
  <c r="AC556" i="7"/>
  <c r="AC557" i="7" s="1"/>
  <c r="AC544" i="7"/>
  <c r="AC545" i="7" s="1"/>
  <c r="AC546" i="7" s="1"/>
  <c r="AC547" i="7" s="1"/>
  <c r="AC534" i="7"/>
  <c r="AC535" i="7" s="1"/>
  <c r="AC525" i="7"/>
  <c r="AC521" i="7"/>
  <c r="AC517" i="7"/>
  <c r="AC513" i="7"/>
  <c r="AC508" i="7"/>
  <c r="AC501" i="7"/>
  <c r="AC497" i="7"/>
  <c r="AC491" i="7"/>
  <c r="AC485" i="7"/>
  <c r="AC479" i="7"/>
  <c r="AC480" i="7" s="1"/>
  <c r="AC468" i="7"/>
  <c r="AC469" i="7" s="1"/>
  <c r="AC462" i="7"/>
  <c r="AC457" i="7"/>
  <c r="AC453" i="7"/>
  <c r="AC449" i="7"/>
  <c r="AC442" i="7"/>
  <c r="AC434" i="7"/>
  <c r="AC424" i="7"/>
  <c r="AC420" i="7"/>
  <c r="AC413" i="7"/>
  <c r="AC400" i="7"/>
  <c r="AC387" i="7"/>
  <c r="AC383" i="7"/>
  <c r="AC374" i="7"/>
  <c r="AC362" i="7"/>
  <c r="AC363" i="7" s="1"/>
  <c r="AC356" i="7"/>
  <c r="AC357" i="7" s="1"/>
  <c r="AC345" i="7"/>
  <c r="AC346" i="7" s="1"/>
  <c r="AC347" i="7" s="1"/>
  <c r="AC333" i="7"/>
  <c r="AC327" i="7"/>
  <c r="AC320" i="7"/>
  <c r="AC311" i="7"/>
  <c r="AC300" i="7"/>
  <c r="AC291" i="7"/>
  <c r="AC286" i="7"/>
  <c r="AC271" i="7"/>
  <c r="AC267" i="7"/>
  <c r="AC263" i="7"/>
  <c r="AC256" i="7"/>
  <c r="AC250" i="7"/>
  <c r="AC243" i="7"/>
  <c r="AC229" i="7"/>
  <c r="AC224" i="7"/>
  <c r="AC218" i="7"/>
  <c r="AC214" i="7"/>
  <c r="AC210" i="7"/>
  <c r="AC197" i="7"/>
  <c r="AC193" i="7"/>
  <c r="AC185" i="7"/>
  <c r="AC186" i="7" s="1"/>
  <c r="AC177" i="7"/>
  <c r="AC172" i="7"/>
  <c r="AC162" i="7"/>
  <c r="AC157" i="7"/>
  <c r="AC151" i="7"/>
  <c r="AC134" i="7"/>
  <c r="AC142" i="7" s="1"/>
  <c r="AC120" i="7"/>
  <c r="AC121" i="7" s="1"/>
  <c r="AC114" i="7"/>
  <c r="AC115" i="7" s="1"/>
  <c r="AC101" i="7"/>
  <c r="AC89" i="7"/>
  <c r="AC30" i="7"/>
  <c r="AC34" i="7"/>
  <c r="AC40" i="7"/>
  <c r="AC41" i="7" s="1"/>
  <c r="AC63" i="7"/>
  <c r="AC64" i="7" s="1"/>
  <c r="AC20" i="7"/>
  <c r="AC21" i="7"/>
  <c r="AC22" i="7" s="1"/>
  <c r="AC23" i="7" s="1"/>
  <c r="AC719" i="7"/>
  <c r="AC720" i="7" s="1"/>
  <c r="AC713" i="7"/>
  <c r="AC709" i="7"/>
  <c r="AC714" i="7"/>
  <c r="AC701" i="7"/>
  <c r="AC695" i="7"/>
  <c r="AC691" i="7"/>
  <c r="AC687" i="7"/>
  <c r="AC736" i="7"/>
  <c r="AC729" i="7"/>
  <c r="AC748" i="7"/>
  <c r="AC749" i="7" s="1"/>
  <c r="AC750" i="7" s="1"/>
  <c r="AC751" i="7" s="1"/>
  <c r="AB674" i="7"/>
  <c r="AB675" i="7" s="1"/>
  <c r="AB666" i="7"/>
  <c r="AB661" i="7"/>
  <c r="AB656" i="7"/>
  <c r="AB650" i="7"/>
  <c r="AB646" i="7"/>
  <c r="AB638" i="7"/>
  <c r="AB639" i="7" s="1"/>
  <c r="AB624" i="7"/>
  <c r="AB618" i="7"/>
  <c r="AB613" i="7"/>
  <c r="AB606" i="7"/>
  <c r="AB600" i="7"/>
  <c r="AB595" i="7"/>
  <c r="AB590" i="7"/>
  <c r="AB582" i="7"/>
  <c r="AB576" i="7"/>
  <c r="AB570" i="7"/>
  <c r="AB563" i="7"/>
  <c r="AB556" i="7"/>
  <c r="AB557" i="7" s="1"/>
  <c r="AB544" i="7"/>
  <c r="AB545" i="7" s="1"/>
  <c r="AB546" i="7" s="1"/>
  <c r="AB547" i="7" s="1"/>
  <c r="AB534" i="7"/>
  <c r="AB535" i="7" s="1"/>
  <c r="AB525" i="7"/>
  <c r="AB521" i="7"/>
  <c r="AB517" i="7"/>
  <c r="AB513" i="7"/>
  <c r="AB508" i="7"/>
  <c r="AB501" i="7"/>
  <c r="AB497" i="7"/>
  <c r="AB491" i="7"/>
  <c r="AB485" i="7"/>
  <c r="AB479" i="7"/>
  <c r="AB480" i="7" s="1"/>
  <c r="AB468" i="7"/>
  <c r="AB469" i="7" s="1"/>
  <c r="AB462" i="7"/>
  <c r="AB457" i="7"/>
  <c r="AB453" i="7"/>
  <c r="AB449" i="7"/>
  <c r="AB442" i="7"/>
  <c r="AB434" i="7"/>
  <c r="AB424" i="7"/>
  <c r="AB420" i="7"/>
  <c r="AB413" i="7"/>
  <c r="AB400" i="7"/>
  <c r="AB387" i="7"/>
  <c r="AB383" i="7"/>
  <c r="AB374" i="7"/>
  <c r="AB362" i="7"/>
  <c r="AB363" i="7" s="1"/>
  <c r="AB356" i="7"/>
  <c r="AB357" i="7" s="1"/>
  <c r="AB345" i="7"/>
  <c r="AB346" i="7" s="1"/>
  <c r="AB347" i="7" s="1"/>
  <c r="AB333" i="7"/>
  <c r="AB327" i="7"/>
  <c r="AB320" i="7"/>
  <c r="AB311" i="7"/>
  <c r="AB300" i="7"/>
  <c r="AB291" i="7"/>
  <c r="AB286" i="7"/>
  <c r="AB271" i="7"/>
  <c r="AB267" i="7"/>
  <c r="AB263" i="7"/>
  <c r="AB256" i="7"/>
  <c r="AB250" i="7"/>
  <c r="AB243" i="7"/>
  <c r="AB229" i="7"/>
  <c r="AB224" i="7"/>
  <c r="AB218" i="7"/>
  <c r="AB214" i="7"/>
  <c r="AB210" i="7"/>
  <c r="AB197" i="7"/>
  <c r="AB193" i="7"/>
  <c r="AB185" i="7"/>
  <c r="AB186" i="7" s="1"/>
  <c r="AB177" i="7"/>
  <c r="AB172" i="7"/>
  <c r="AB162" i="7"/>
  <c r="AB157" i="7"/>
  <c r="AB151" i="7"/>
  <c r="AB120" i="7"/>
  <c r="AB121" i="7" s="1"/>
  <c r="AB114" i="7"/>
  <c r="AB115" i="7" s="1"/>
  <c r="AB101" i="7"/>
  <c r="AB89" i="7"/>
  <c r="AB77" i="7"/>
  <c r="AB78" i="7" s="1"/>
  <c r="AB79" i="7" s="1"/>
  <c r="AB80" i="7" s="1"/>
  <c r="AB30" i="7"/>
  <c r="AB34" i="7"/>
  <c r="AB40" i="7"/>
  <c r="AB41" i="7" s="1"/>
  <c r="AB63" i="7"/>
  <c r="AB64" i="7" s="1"/>
  <c r="AB20" i="7"/>
  <c r="AB21" i="7" s="1"/>
  <c r="AB22" i="7" s="1"/>
  <c r="AB23" i="7" s="1"/>
  <c r="AB719" i="7"/>
  <c r="AB720" i="7" s="1"/>
  <c r="AB713" i="7"/>
  <c r="AB709" i="7"/>
  <c r="AB701" i="7"/>
  <c r="AB695" i="7"/>
  <c r="AB691" i="7"/>
  <c r="AB687" i="7"/>
  <c r="AB736" i="7"/>
  <c r="AB729" i="7"/>
  <c r="AA674" i="7"/>
  <c r="AA675" i="7" s="1"/>
  <c r="AA666" i="7"/>
  <c r="AA661" i="7"/>
  <c r="AA656" i="7"/>
  <c r="AA650" i="7"/>
  <c r="AA646" i="7"/>
  <c r="AA638" i="7"/>
  <c r="AA639" i="7" s="1"/>
  <c r="AA624" i="7"/>
  <c r="AA618" i="7"/>
  <c r="AA613" i="7"/>
  <c r="AA606" i="7"/>
  <c r="AA600" i="7"/>
  <c r="AA595" i="7"/>
  <c r="AA590" i="7"/>
  <c r="AA582" i="7"/>
  <c r="AA576" i="7"/>
  <c r="AA570" i="7"/>
  <c r="AA563" i="7"/>
  <c r="AA556" i="7"/>
  <c r="AA557" i="7" s="1"/>
  <c r="AA544" i="7"/>
  <c r="AA545" i="7" s="1"/>
  <c r="AA546" i="7" s="1"/>
  <c r="AA547" i="7" s="1"/>
  <c r="AA534" i="7"/>
  <c r="AA535" i="7" s="1"/>
  <c r="AA525" i="7"/>
  <c r="AA521" i="7"/>
  <c r="AA517" i="7"/>
  <c r="AA513" i="7"/>
  <c r="AA508" i="7"/>
  <c r="AA501" i="7"/>
  <c r="AA497" i="7"/>
  <c r="AA491" i="7"/>
  <c r="AA485" i="7"/>
  <c r="AA479" i="7"/>
  <c r="AA480" i="7" s="1"/>
  <c r="AA468" i="7"/>
  <c r="AA469" i="7" s="1"/>
  <c r="AA462" i="7"/>
  <c r="AA457" i="7"/>
  <c r="AA453" i="7"/>
  <c r="AA449" i="7"/>
  <c r="AA442" i="7"/>
  <c r="AA434" i="7"/>
  <c r="AA424" i="7"/>
  <c r="AA420" i="7"/>
  <c r="AA413" i="7"/>
  <c r="AA400" i="7"/>
  <c r="AA387" i="7"/>
  <c r="AA383" i="7"/>
  <c r="AA374" i="7"/>
  <c r="AA362" i="7"/>
  <c r="AA363" i="7" s="1"/>
  <c r="AA356" i="7"/>
  <c r="AA357" i="7" s="1"/>
  <c r="AA345" i="7"/>
  <c r="AA346" i="7" s="1"/>
  <c r="AA347" i="7" s="1"/>
  <c r="AA333" i="7"/>
  <c r="AA327" i="7"/>
  <c r="AA320" i="7"/>
  <c r="AA311" i="7"/>
  <c r="AA300" i="7"/>
  <c r="AA291" i="7"/>
  <c r="AA286" i="7"/>
  <c r="AA271" i="7"/>
  <c r="AA267" i="7"/>
  <c r="AA263" i="7"/>
  <c r="AA256" i="7"/>
  <c r="AA250" i="7"/>
  <c r="AA243" i="7"/>
  <c r="AA229" i="7"/>
  <c r="AA224" i="7"/>
  <c r="AA218" i="7"/>
  <c r="AA214" i="7"/>
  <c r="AA210" i="7"/>
  <c r="AA197" i="7"/>
  <c r="AA193" i="7"/>
  <c r="AA185" i="7"/>
  <c r="AA186" i="7" s="1"/>
  <c r="AA177" i="7"/>
  <c r="AA172" i="7"/>
  <c r="AA162" i="7"/>
  <c r="AA157" i="7"/>
  <c r="AA151" i="7"/>
  <c r="AA120" i="7"/>
  <c r="AA121" i="7" s="1"/>
  <c r="AA114" i="7"/>
  <c r="AA115" i="7" s="1"/>
  <c r="AA101" i="7"/>
  <c r="AA89" i="7"/>
  <c r="AA77" i="7"/>
  <c r="AA78" i="7" s="1"/>
  <c r="AA79" i="7" s="1"/>
  <c r="AA80" i="7" s="1"/>
  <c r="AA30" i="7"/>
  <c r="AA34" i="7"/>
  <c r="AA40" i="7"/>
  <c r="AA41" i="7" s="1"/>
  <c r="AA63" i="7"/>
  <c r="AA64" i="7" s="1"/>
  <c r="AA20" i="7"/>
  <c r="AA21" i="7" s="1"/>
  <c r="AA22" i="7" s="1"/>
  <c r="AA23" i="7" s="1"/>
  <c r="AA719" i="7"/>
  <c r="AA720" i="7" s="1"/>
  <c r="AA713" i="7"/>
  <c r="AA709" i="7"/>
  <c r="AA714" i="7" s="1"/>
  <c r="AA701" i="7"/>
  <c r="AA695" i="7"/>
  <c r="AA691" i="7"/>
  <c r="AA687" i="7"/>
  <c r="AA736" i="7"/>
  <c r="AA729" i="7"/>
  <c r="Z674" i="7"/>
  <c r="Z675" i="7" s="1"/>
  <c r="Z666" i="7"/>
  <c r="Z661" i="7"/>
  <c r="Z656" i="7"/>
  <c r="Z650" i="7"/>
  <c r="Z646" i="7"/>
  <c r="Z638" i="7"/>
  <c r="Z634" i="7"/>
  <c r="Z630" i="7"/>
  <c r="Z624" i="7"/>
  <c r="Z618" i="7"/>
  <c r="Z613" i="7"/>
  <c r="Z606" i="7"/>
  <c r="Z600" i="7"/>
  <c r="Z595" i="7"/>
  <c r="Z590" i="7"/>
  <c r="Z582" i="7"/>
  <c r="Z576" i="7"/>
  <c r="Z570" i="7"/>
  <c r="Z563" i="7"/>
  <c r="Z556" i="7"/>
  <c r="Z557" i="7" s="1"/>
  <c r="Z544" i="7"/>
  <c r="Z545" i="7" s="1"/>
  <c r="Z546" i="7" s="1"/>
  <c r="Z547" i="7" s="1"/>
  <c r="Z534" i="7"/>
  <c r="Z535" i="7" s="1"/>
  <c r="Z525" i="7"/>
  <c r="Z521" i="7"/>
  <c r="Z517" i="7"/>
  <c r="Z513" i="7"/>
  <c r="Z508" i="7"/>
  <c r="Z501" i="7"/>
  <c r="Z497" i="7"/>
  <c r="Z491" i="7"/>
  <c r="Z485" i="7"/>
  <c r="Z479" i="7"/>
  <c r="Z480" i="7" s="1"/>
  <c r="Z468" i="7"/>
  <c r="Z469" i="7" s="1"/>
  <c r="Z462" i="7"/>
  <c r="Z457" i="7"/>
  <c r="Z453" i="7"/>
  <c r="Z449" i="7"/>
  <c r="Z442" i="7"/>
  <c r="Z434" i="7"/>
  <c r="Z424" i="7"/>
  <c r="Z420" i="7"/>
  <c r="Z413" i="7"/>
  <c r="Z400" i="7"/>
  <c r="Z387" i="7"/>
  <c r="Z383" i="7"/>
  <c r="Z374" i="7"/>
  <c r="Z362" i="7"/>
  <c r="Z363" i="7" s="1"/>
  <c r="Z356" i="7"/>
  <c r="Z357" i="7" s="1"/>
  <c r="Z345" i="7"/>
  <c r="Z346" i="7" s="1"/>
  <c r="Z347" i="7" s="1"/>
  <c r="Z333" i="7"/>
  <c r="Z327" i="7"/>
  <c r="Z320" i="7"/>
  <c r="Z311" i="7"/>
  <c r="Z300" i="7"/>
  <c r="Z291" i="7"/>
  <c r="Z286" i="7"/>
  <c r="Z271" i="7"/>
  <c r="Z267" i="7"/>
  <c r="Z263" i="7"/>
  <c r="Z256" i="7"/>
  <c r="Z250" i="7"/>
  <c r="Z243" i="7"/>
  <c r="Z229" i="7"/>
  <c r="Z224" i="7"/>
  <c r="Z218" i="7"/>
  <c r="Z214" i="7"/>
  <c r="Z210" i="7"/>
  <c r="Z197" i="7"/>
  <c r="Z193" i="7"/>
  <c r="Z185" i="7"/>
  <c r="Z186" i="7" s="1"/>
  <c r="Z177" i="7"/>
  <c r="Z172" i="7"/>
  <c r="Z162" i="7"/>
  <c r="Z157" i="7"/>
  <c r="Z151" i="7"/>
  <c r="Z120" i="7"/>
  <c r="Z121" i="7" s="1"/>
  <c r="Z114" i="7"/>
  <c r="Z115" i="7" s="1"/>
  <c r="Z101" i="7"/>
  <c r="Z89" i="7"/>
  <c r="Z77" i="7"/>
  <c r="Z78" i="7" s="1"/>
  <c r="Z79" i="7" s="1"/>
  <c r="Z80" i="7" s="1"/>
  <c r="Z30" i="7"/>
  <c r="Z34" i="7"/>
  <c r="Z40" i="7"/>
  <c r="Z41" i="7" s="1"/>
  <c r="Z63" i="7"/>
  <c r="Z64" i="7" s="1"/>
  <c r="Z20" i="7"/>
  <c r="Z21" i="7" s="1"/>
  <c r="Z22" i="7" s="1"/>
  <c r="Z23" i="7" s="1"/>
  <c r="Z719" i="7"/>
  <c r="Z720" i="7" s="1"/>
  <c r="Z713" i="7"/>
  <c r="Z709" i="7"/>
  <c r="Z701" i="7"/>
  <c r="Z695" i="7"/>
  <c r="Z691" i="7"/>
  <c r="Z687" i="7"/>
  <c r="Z736" i="7"/>
  <c r="Z729" i="7"/>
  <c r="Z748" i="7"/>
  <c r="Z749" i="7" s="1"/>
  <c r="Z750" i="7" s="1"/>
  <c r="Z751" i="7" s="1"/>
  <c r="Y674" i="7"/>
  <c r="Y675" i="7" s="1"/>
  <c r="Y666" i="7"/>
  <c r="Y661" i="7"/>
  <c r="Y656" i="7"/>
  <c r="Y650" i="7"/>
  <c r="Y646" i="7"/>
  <c r="Y638" i="7"/>
  <c r="Y639" i="7" s="1"/>
  <c r="Y624" i="7"/>
  <c r="Y618" i="7"/>
  <c r="Y613" i="7"/>
  <c r="Y606" i="7"/>
  <c r="Y600" i="7"/>
  <c r="Y595" i="7"/>
  <c r="Y590" i="7"/>
  <c r="Y582" i="7"/>
  <c r="Y576" i="7"/>
  <c r="Y570" i="7"/>
  <c r="Y563" i="7"/>
  <c r="Y556" i="7"/>
  <c r="Y557" i="7" s="1"/>
  <c r="Y544" i="7"/>
  <c r="Y545" i="7" s="1"/>
  <c r="Y546" i="7" s="1"/>
  <c r="Y547" i="7" s="1"/>
  <c r="Y534" i="7"/>
  <c r="Y535" i="7" s="1"/>
  <c r="Y525" i="7"/>
  <c r="Y521" i="7"/>
  <c r="Y517" i="7"/>
  <c r="Y513" i="7"/>
  <c r="Y508" i="7"/>
  <c r="Y501" i="7"/>
  <c r="Y497" i="7"/>
  <c r="Y491" i="7"/>
  <c r="Y485" i="7"/>
  <c r="Y479" i="7"/>
  <c r="Y480" i="7" s="1"/>
  <c r="Y468" i="7"/>
  <c r="Y469" i="7" s="1"/>
  <c r="Y462" i="7"/>
  <c r="Y457" i="7"/>
  <c r="Y453" i="7"/>
  <c r="Y449" i="7"/>
  <c r="Y442" i="7"/>
  <c r="Y434" i="7"/>
  <c r="Y424" i="7"/>
  <c r="Y420" i="7"/>
  <c r="Y413" i="7"/>
  <c r="Y400" i="7"/>
  <c r="Y387" i="7"/>
  <c r="Y383" i="7"/>
  <c r="Y374" i="7"/>
  <c r="Y362" i="7"/>
  <c r="Y363" i="7" s="1"/>
  <c r="Y356" i="7"/>
  <c r="Y357" i="7" s="1"/>
  <c r="Y345" i="7"/>
  <c r="Y346" i="7" s="1"/>
  <c r="Y347" i="7" s="1"/>
  <c r="Y333" i="7"/>
  <c r="Y327" i="7"/>
  <c r="Y320" i="7"/>
  <c r="Y311" i="7"/>
  <c r="Y300" i="7"/>
  <c r="Y291" i="7"/>
  <c r="Y286" i="7"/>
  <c r="Y271" i="7"/>
  <c r="Y267" i="7"/>
  <c r="Y263" i="7"/>
  <c r="Y256" i="7"/>
  <c r="Y250" i="7"/>
  <c r="Y243" i="7"/>
  <c r="Y229" i="7"/>
  <c r="Y224" i="7"/>
  <c r="Y218" i="7"/>
  <c r="Y214" i="7"/>
  <c r="Y210" i="7"/>
  <c r="Y197" i="7"/>
  <c r="Y193" i="7"/>
  <c r="Y185" i="7"/>
  <c r="Y186" i="7" s="1"/>
  <c r="Y177" i="7"/>
  <c r="Y172" i="7"/>
  <c r="Y162" i="7"/>
  <c r="Y157" i="7"/>
  <c r="Y151" i="7"/>
  <c r="Y134" i="7"/>
  <c r="Y142" i="7" s="1"/>
  <c r="Y120" i="7"/>
  <c r="Y121" i="7" s="1"/>
  <c r="Y114" i="7"/>
  <c r="Y115" i="7" s="1"/>
  <c r="Y101" i="7"/>
  <c r="Y89" i="7"/>
  <c r="Y77" i="7"/>
  <c r="Y78" i="7" s="1"/>
  <c r="Y79" i="7" s="1"/>
  <c r="Y80" i="7" s="1"/>
  <c r="Y30" i="7"/>
  <c r="Y34" i="7"/>
  <c r="Y40" i="7"/>
  <c r="Y41" i="7"/>
  <c r="Y63" i="7"/>
  <c r="Y64" i="7" s="1"/>
  <c r="Y20" i="7"/>
  <c r="Y21" i="7" s="1"/>
  <c r="Y22" i="7" s="1"/>
  <c r="Y23" i="7" s="1"/>
  <c r="Y719" i="7"/>
  <c r="Y720" i="7" s="1"/>
  <c r="Y713" i="7"/>
  <c r="Y714" i="7" s="1"/>
  <c r="Y709" i="7"/>
  <c r="Y701" i="7"/>
  <c r="Y695" i="7"/>
  <c r="Y691" i="7"/>
  <c r="Y687" i="7"/>
  <c r="Y736" i="7"/>
  <c r="Y729" i="7"/>
  <c r="X674" i="7"/>
  <c r="X675" i="7" s="1"/>
  <c r="X666" i="7"/>
  <c r="X661" i="7"/>
  <c r="X656" i="7"/>
  <c r="X650" i="7"/>
  <c r="X646" i="7"/>
  <c r="X638" i="7"/>
  <c r="X639" i="7" s="1"/>
  <c r="X624" i="7"/>
  <c r="X618" i="7"/>
  <c r="X613" i="7"/>
  <c r="X606" i="7"/>
  <c r="X600" i="7"/>
  <c r="X595" i="7"/>
  <c r="X590" i="7"/>
  <c r="X582" i="7"/>
  <c r="X576" i="7"/>
  <c r="X570" i="7"/>
  <c r="X563" i="7"/>
  <c r="X556" i="7"/>
  <c r="X557" i="7" s="1"/>
  <c r="X544" i="7"/>
  <c r="X545" i="7" s="1"/>
  <c r="X546" i="7" s="1"/>
  <c r="X547" i="7" s="1"/>
  <c r="X534" i="7"/>
  <c r="X535" i="7" s="1"/>
  <c r="X525" i="7"/>
  <c r="X521" i="7"/>
  <c r="X517" i="7"/>
  <c r="X513" i="7"/>
  <c r="X508" i="7"/>
  <c r="X501" i="7"/>
  <c r="X497" i="7"/>
  <c r="X491" i="7"/>
  <c r="X485" i="7"/>
  <c r="X479" i="7"/>
  <c r="X480" i="7" s="1"/>
  <c r="X468" i="7"/>
  <c r="X469" i="7"/>
  <c r="X462" i="7"/>
  <c r="X457" i="7"/>
  <c r="X453" i="7"/>
  <c r="X449" i="7"/>
  <c r="X442" i="7"/>
  <c r="X434" i="7"/>
  <c r="X424" i="7"/>
  <c r="X420" i="7"/>
  <c r="X413" i="7"/>
  <c r="X400" i="7"/>
  <c r="X387" i="7"/>
  <c r="X383" i="7"/>
  <c r="X374" i="7"/>
  <c r="X362" i="7"/>
  <c r="X363" i="7" s="1"/>
  <c r="X356" i="7"/>
  <c r="X357" i="7" s="1"/>
  <c r="X345" i="7"/>
  <c r="X346" i="7" s="1"/>
  <c r="X347" i="7" s="1"/>
  <c r="X333" i="7"/>
  <c r="X327" i="7"/>
  <c r="X320" i="7"/>
  <c r="X311" i="7"/>
  <c r="X300" i="7"/>
  <c r="X291" i="7"/>
  <c r="X286" i="7"/>
  <c r="X271" i="7"/>
  <c r="X267" i="7"/>
  <c r="X263" i="7"/>
  <c r="X256" i="7"/>
  <c r="X250" i="7"/>
  <c r="X243" i="7"/>
  <c r="X229" i="7"/>
  <c r="X224" i="7"/>
  <c r="X218" i="7"/>
  <c r="X214" i="7"/>
  <c r="X210" i="7"/>
  <c r="X197" i="7"/>
  <c r="X193" i="7"/>
  <c r="X185" i="7"/>
  <c r="X186" i="7" s="1"/>
  <c r="X177" i="7"/>
  <c r="X172" i="7"/>
  <c r="X162" i="7"/>
  <c r="X157" i="7"/>
  <c r="X151" i="7"/>
  <c r="X134" i="7"/>
  <c r="X142" i="7" s="1"/>
  <c r="X120" i="7"/>
  <c r="X121" i="7" s="1"/>
  <c r="X114" i="7"/>
  <c r="X115" i="7" s="1"/>
  <c r="X101" i="7"/>
  <c r="X89" i="7"/>
  <c r="X77" i="7"/>
  <c r="X78" i="7" s="1"/>
  <c r="X79" i="7" s="1"/>
  <c r="X80" i="7" s="1"/>
  <c r="X30" i="7"/>
  <c r="X34" i="7"/>
  <c r="X40" i="7"/>
  <c r="X41" i="7" s="1"/>
  <c r="X63" i="7"/>
  <c r="X64" i="7" s="1"/>
  <c r="X20" i="7"/>
  <c r="X21" i="7" s="1"/>
  <c r="X22" i="7" s="1"/>
  <c r="X23" i="7" s="1"/>
  <c r="X719" i="7"/>
  <c r="X720" i="7" s="1"/>
  <c r="X713" i="7"/>
  <c r="X709" i="7"/>
  <c r="X701" i="7"/>
  <c r="X695" i="7"/>
  <c r="X691" i="7"/>
  <c r="X687" i="7"/>
  <c r="X736" i="7"/>
  <c r="X729" i="7"/>
  <c r="W674" i="7"/>
  <c r="W675" i="7" s="1"/>
  <c r="W666" i="7"/>
  <c r="W661" i="7"/>
  <c r="W656" i="7"/>
  <c r="W650" i="7"/>
  <c r="W646" i="7"/>
  <c r="W638" i="7"/>
  <c r="W634" i="7"/>
  <c r="W630" i="7"/>
  <c r="W624" i="7"/>
  <c r="W618" i="7"/>
  <c r="W613" i="7"/>
  <c r="W606" i="7"/>
  <c r="W600" i="7"/>
  <c r="W595" i="7"/>
  <c r="W590" i="7"/>
  <c r="W582" i="7"/>
  <c r="W576" i="7"/>
  <c r="W570" i="7"/>
  <c r="W563" i="7"/>
  <c r="W556" i="7"/>
  <c r="W557" i="7" s="1"/>
  <c r="W544" i="7"/>
  <c r="W545" i="7" s="1"/>
  <c r="W546" i="7" s="1"/>
  <c r="W547" i="7" s="1"/>
  <c r="W534" i="7"/>
  <c r="W535" i="7" s="1"/>
  <c r="W525" i="7"/>
  <c r="W521" i="7"/>
  <c r="W517" i="7"/>
  <c r="W513" i="7"/>
  <c r="W508" i="7"/>
  <c r="W501" i="7"/>
  <c r="W497" i="7"/>
  <c r="W491" i="7"/>
  <c r="W485" i="7"/>
  <c r="W479" i="7"/>
  <c r="W480" i="7" s="1"/>
  <c r="W468" i="7"/>
  <c r="W469" i="7" s="1"/>
  <c r="W462" i="7"/>
  <c r="W457" i="7"/>
  <c r="W453" i="7"/>
  <c r="W449" i="7"/>
  <c r="W442" i="7"/>
  <c r="W434" i="7"/>
  <c r="W424" i="7"/>
  <c r="W420" i="7"/>
  <c r="W413" i="7"/>
  <c r="W400" i="7"/>
  <c r="W387" i="7"/>
  <c r="W383" i="7"/>
  <c r="W374" i="7"/>
  <c r="W362" i="7"/>
  <c r="W363" i="7" s="1"/>
  <c r="W356" i="7"/>
  <c r="W357" i="7" s="1"/>
  <c r="W345" i="7"/>
  <c r="W346" i="7" s="1"/>
  <c r="W347" i="7" s="1"/>
  <c r="W333" i="7"/>
  <c r="W327" i="7"/>
  <c r="W320" i="7"/>
  <c r="W311" i="7"/>
  <c r="W300" i="7"/>
  <c r="W291" i="7"/>
  <c r="W286" i="7"/>
  <c r="W271" i="7"/>
  <c r="W267" i="7"/>
  <c r="W263" i="7"/>
  <c r="W256" i="7"/>
  <c r="W250" i="7"/>
  <c r="W243" i="7"/>
  <c r="W229" i="7"/>
  <c r="W224" i="7"/>
  <c r="W218" i="7"/>
  <c r="W214" i="7"/>
  <c r="W210" i="7"/>
  <c r="W197" i="7"/>
  <c r="W193" i="7"/>
  <c r="W185" i="7"/>
  <c r="W186" i="7" s="1"/>
  <c r="W177" i="7"/>
  <c r="W172" i="7"/>
  <c r="W162" i="7"/>
  <c r="W157" i="7"/>
  <c r="W151" i="7"/>
  <c r="W134" i="7"/>
  <c r="W142" i="7" s="1"/>
  <c r="W120" i="7"/>
  <c r="W121" i="7" s="1"/>
  <c r="W114" i="7"/>
  <c r="W115" i="7" s="1"/>
  <c r="W101" i="7"/>
  <c r="W89" i="7"/>
  <c r="W77" i="7"/>
  <c r="W78" i="7" s="1"/>
  <c r="W79" i="7" s="1"/>
  <c r="W80" i="7" s="1"/>
  <c r="W30" i="7"/>
  <c r="W34" i="7"/>
  <c r="W40" i="7"/>
  <c r="W41" i="7" s="1"/>
  <c r="W63" i="7"/>
  <c r="W64" i="7" s="1"/>
  <c r="W20" i="7"/>
  <c r="W21" i="7" s="1"/>
  <c r="W22" i="7" s="1"/>
  <c r="W23" i="7" s="1"/>
  <c r="W719" i="7"/>
  <c r="W720" i="7" s="1"/>
  <c r="W713" i="7"/>
  <c r="W709" i="7"/>
  <c r="W701" i="7"/>
  <c r="W695" i="7"/>
  <c r="W691" i="7"/>
  <c r="W687" i="7"/>
  <c r="W729" i="7"/>
  <c r="W748" i="7"/>
  <c r="W749" i="7" s="1"/>
  <c r="W750" i="7" s="1"/>
  <c r="W751" i="7" s="1"/>
  <c r="V674" i="7"/>
  <c r="V675" i="7" s="1"/>
  <c r="V666" i="7"/>
  <c r="V661" i="7"/>
  <c r="V656" i="7"/>
  <c r="V650" i="7"/>
  <c r="V646" i="7"/>
  <c r="V638" i="7"/>
  <c r="V639" i="7" s="1"/>
  <c r="V624" i="7"/>
  <c r="V618" i="7"/>
  <c r="V613" i="7"/>
  <c r="V606" i="7"/>
  <c r="V600" i="7"/>
  <c r="V595" i="7"/>
  <c r="V590" i="7"/>
  <c r="V582" i="7"/>
  <c r="V576" i="7"/>
  <c r="V570" i="7"/>
  <c r="V563" i="7"/>
  <c r="V556" i="7"/>
  <c r="V557" i="7" s="1"/>
  <c r="V544" i="7"/>
  <c r="V545" i="7" s="1"/>
  <c r="V546" i="7" s="1"/>
  <c r="V547" i="7" s="1"/>
  <c r="V534" i="7"/>
  <c r="V535" i="7" s="1"/>
  <c r="V525" i="7"/>
  <c r="V521" i="7"/>
  <c r="V517" i="7"/>
  <c r="V513" i="7"/>
  <c r="V508" i="7"/>
  <c r="V501" i="7"/>
  <c r="V497" i="7"/>
  <c r="V491" i="7"/>
  <c r="V485" i="7"/>
  <c r="V479" i="7"/>
  <c r="V480" i="7" s="1"/>
  <c r="V468" i="7"/>
  <c r="V469" i="7" s="1"/>
  <c r="V462" i="7"/>
  <c r="V457" i="7"/>
  <c r="V453" i="7"/>
  <c r="V449" i="7"/>
  <c r="V442" i="7"/>
  <c r="V434" i="7"/>
  <c r="V424" i="7"/>
  <c r="V420" i="7"/>
  <c r="V413" i="7"/>
  <c r="V400" i="7"/>
  <c r="V387" i="7"/>
  <c r="V383" i="7"/>
  <c r="V374" i="7"/>
  <c r="V362" i="7"/>
  <c r="V363" i="7" s="1"/>
  <c r="V356" i="7"/>
  <c r="V357" i="7" s="1"/>
  <c r="V345" i="7"/>
  <c r="V346" i="7" s="1"/>
  <c r="V347" i="7" s="1"/>
  <c r="V333" i="7"/>
  <c r="V327" i="7"/>
  <c r="V320" i="7"/>
  <c r="V311" i="7"/>
  <c r="V300" i="7"/>
  <c r="V291" i="7"/>
  <c r="V286" i="7"/>
  <c r="V271" i="7"/>
  <c r="V267" i="7"/>
  <c r="V263" i="7"/>
  <c r="V256" i="7"/>
  <c r="V250" i="7"/>
  <c r="V243" i="7"/>
  <c r="V229" i="7"/>
  <c r="V224" i="7"/>
  <c r="V218" i="7"/>
  <c r="V214" i="7"/>
  <c r="V210" i="7"/>
  <c r="V197" i="7"/>
  <c r="V193" i="7"/>
  <c r="V185" i="7"/>
  <c r="V186" i="7" s="1"/>
  <c r="V177" i="7"/>
  <c r="V172" i="7"/>
  <c r="V162" i="7"/>
  <c r="V157" i="7"/>
  <c r="V151" i="7"/>
  <c r="V134" i="7"/>
  <c r="V142" i="7" s="1"/>
  <c r="V120" i="7"/>
  <c r="V121" i="7" s="1"/>
  <c r="V114" i="7"/>
  <c r="V115" i="7" s="1"/>
  <c r="V101" i="7"/>
  <c r="V89" i="7"/>
  <c r="V77" i="7"/>
  <c r="V78" i="7" s="1"/>
  <c r="V79" i="7" s="1"/>
  <c r="V80" i="7" s="1"/>
  <c r="V30" i="7"/>
  <c r="V34" i="7"/>
  <c r="V40" i="7"/>
  <c r="V41" i="7" s="1"/>
  <c r="V63" i="7"/>
  <c r="V64" i="7" s="1"/>
  <c r="V20" i="7"/>
  <c r="V21" i="7" s="1"/>
  <c r="V22" i="7" s="1"/>
  <c r="V23" i="7" s="1"/>
  <c r="V719" i="7"/>
  <c r="V720" i="7" s="1"/>
  <c r="V713" i="7"/>
  <c r="V709" i="7"/>
  <c r="V701" i="7"/>
  <c r="V695" i="7"/>
  <c r="V691" i="7"/>
  <c r="V687" i="7"/>
  <c r="U674" i="7"/>
  <c r="U675" i="7" s="1"/>
  <c r="U666" i="7"/>
  <c r="U661" i="7"/>
  <c r="U656" i="7"/>
  <c r="U650" i="7"/>
  <c r="U646" i="7"/>
  <c r="U638" i="7"/>
  <c r="U639" i="7" s="1"/>
  <c r="U624" i="7"/>
  <c r="U618" i="7"/>
  <c r="U613" i="7"/>
  <c r="U606" i="7"/>
  <c r="U600" i="7"/>
  <c r="U595" i="7"/>
  <c r="U590" i="7"/>
  <c r="U582" i="7"/>
  <c r="U576" i="7"/>
  <c r="U570" i="7"/>
  <c r="U563" i="7"/>
  <c r="U556" i="7"/>
  <c r="U557" i="7" s="1"/>
  <c r="U544" i="7"/>
  <c r="U545" i="7" s="1"/>
  <c r="U546" i="7" s="1"/>
  <c r="U547" i="7" s="1"/>
  <c r="U534" i="7"/>
  <c r="U535" i="7" s="1"/>
  <c r="U525" i="7"/>
  <c r="U521" i="7"/>
  <c r="U517" i="7"/>
  <c r="U513" i="7"/>
  <c r="U508" i="7"/>
  <c r="U501" i="7"/>
  <c r="U497" i="7"/>
  <c r="U491" i="7"/>
  <c r="U485" i="7"/>
  <c r="U479" i="7"/>
  <c r="U480" i="7" s="1"/>
  <c r="U468" i="7"/>
  <c r="U469" i="7" s="1"/>
  <c r="U462" i="7"/>
  <c r="U457" i="7"/>
  <c r="U453" i="7"/>
  <c r="U449" i="7"/>
  <c r="U442" i="7"/>
  <c r="U434" i="7"/>
  <c r="U424" i="7"/>
  <c r="U420" i="7"/>
  <c r="U413" i="7"/>
  <c r="U400" i="7"/>
  <c r="U387" i="7"/>
  <c r="U383" i="7"/>
  <c r="U374" i="7"/>
  <c r="U362" i="7"/>
  <c r="U363" i="7" s="1"/>
  <c r="U356" i="7"/>
  <c r="U357" i="7" s="1"/>
  <c r="U345" i="7"/>
  <c r="U346" i="7" s="1"/>
  <c r="U347" i="7" s="1"/>
  <c r="U333" i="7"/>
  <c r="U327" i="7"/>
  <c r="U320" i="7"/>
  <c r="U311" i="7"/>
  <c r="U300" i="7"/>
  <c r="U291" i="7"/>
  <c r="U286" i="7"/>
  <c r="U271" i="7"/>
  <c r="U267" i="7"/>
  <c r="U263" i="7"/>
  <c r="U256" i="7"/>
  <c r="U250" i="7"/>
  <c r="U243" i="7"/>
  <c r="U229" i="7"/>
  <c r="U224" i="7"/>
  <c r="U218" i="7"/>
  <c r="U214" i="7"/>
  <c r="U210" i="7"/>
  <c r="U197" i="7"/>
  <c r="U193" i="7"/>
  <c r="U185" i="7"/>
  <c r="U186" i="7" s="1"/>
  <c r="U177" i="7"/>
  <c r="U172" i="7"/>
  <c r="U162" i="7"/>
  <c r="U157" i="7"/>
  <c r="U151" i="7"/>
  <c r="U134" i="7"/>
  <c r="U142" i="7" s="1"/>
  <c r="U120" i="7"/>
  <c r="U121" i="7"/>
  <c r="U114" i="7"/>
  <c r="U115" i="7" s="1"/>
  <c r="U101" i="7"/>
  <c r="U89" i="7"/>
  <c r="U77" i="7"/>
  <c r="U78" i="7" s="1"/>
  <c r="U79" i="7" s="1"/>
  <c r="U80" i="7" s="1"/>
  <c r="U30" i="7"/>
  <c r="U34" i="7"/>
  <c r="U40" i="7"/>
  <c r="U41" i="7" s="1"/>
  <c r="U63" i="7"/>
  <c r="U64" i="7" s="1"/>
  <c r="U20" i="7"/>
  <c r="U21" i="7" s="1"/>
  <c r="U22" i="7" s="1"/>
  <c r="U23" i="7" s="1"/>
  <c r="U719" i="7"/>
  <c r="U720" i="7" s="1"/>
  <c r="U713" i="7"/>
  <c r="U709" i="7"/>
  <c r="U701" i="7"/>
  <c r="U695" i="7"/>
  <c r="U691" i="7"/>
  <c r="U687" i="7"/>
  <c r="T674" i="7"/>
  <c r="T675" i="7" s="1"/>
  <c r="T666" i="7"/>
  <c r="T661" i="7"/>
  <c r="T656" i="7"/>
  <c r="T650" i="7"/>
  <c r="T646" i="7"/>
  <c r="T638" i="7"/>
  <c r="T634" i="7"/>
  <c r="T630" i="7"/>
  <c r="T624" i="7"/>
  <c r="T618" i="7"/>
  <c r="T613" i="7"/>
  <c r="T606" i="7"/>
  <c r="T600" i="7"/>
  <c r="T595" i="7"/>
  <c r="T590" i="7"/>
  <c r="T582" i="7"/>
  <c r="T576" i="7"/>
  <c r="T570" i="7"/>
  <c r="T563" i="7"/>
  <c r="T556" i="7"/>
  <c r="T557" i="7" s="1"/>
  <c r="T544" i="7"/>
  <c r="T545" i="7" s="1"/>
  <c r="T546" i="7" s="1"/>
  <c r="T547" i="7" s="1"/>
  <c r="T525" i="7"/>
  <c r="T521" i="7"/>
  <c r="T517" i="7"/>
  <c r="T513" i="7"/>
  <c r="T508" i="7"/>
  <c r="T501" i="7"/>
  <c r="T497" i="7"/>
  <c r="T491" i="7"/>
  <c r="T485" i="7"/>
  <c r="T479" i="7"/>
  <c r="T480" i="7" s="1"/>
  <c r="T468" i="7"/>
  <c r="T469" i="7" s="1"/>
  <c r="T462" i="7"/>
  <c r="T457" i="7"/>
  <c r="T453" i="7"/>
  <c r="T449" i="7"/>
  <c r="T442" i="7"/>
  <c r="T434" i="7"/>
  <c r="T424" i="7"/>
  <c r="T420" i="7"/>
  <c r="T413" i="7"/>
  <c r="T400" i="7"/>
  <c r="T387" i="7"/>
  <c r="T383" i="7"/>
  <c r="T374" i="7"/>
  <c r="T362" i="7"/>
  <c r="T363" i="7" s="1"/>
  <c r="T356" i="7"/>
  <c r="T357" i="7" s="1"/>
  <c r="T345" i="7"/>
  <c r="T346" i="7" s="1"/>
  <c r="T347" i="7" s="1"/>
  <c r="T333" i="7"/>
  <c r="T327" i="7"/>
  <c r="T320" i="7"/>
  <c r="T311" i="7"/>
  <c r="T300" i="7"/>
  <c r="T291" i="7"/>
  <c r="T286" i="7"/>
  <c r="T271" i="7"/>
  <c r="T267" i="7"/>
  <c r="T263" i="7"/>
  <c r="T256" i="7"/>
  <c r="T250" i="7"/>
  <c r="T243" i="7"/>
  <c r="T229" i="7"/>
  <c r="T224" i="7"/>
  <c r="T218" i="7"/>
  <c r="T214" i="7"/>
  <c r="T210" i="7"/>
  <c r="T197" i="7"/>
  <c r="T193" i="7"/>
  <c r="T185" i="7"/>
  <c r="T186" i="7" s="1"/>
  <c r="T177" i="7"/>
  <c r="T172" i="7"/>
  <c r="T162" i="7"/>
  <c r="T157" i="7"/>
  <c r="T151" i="7"/>
  <c r="T134" i="7"/>
  <c r="T142" i="7" s="1"/>
  <c r="T120" i="7"/>
  <c r="T121" i="7" s="1"/>
  <c r="T114" i="7"/>
  <c r="T115" i="7" s="1"/>
  <c r="T101" i="7"/>
  <c r="T89" i="7"/>
  <c r="T77" i="7"/>
  <c r="T78" i="7" s="1"/>
  <c r="T79" i="7" s="1"/>
  <c r="T80" i="7" s="1"/>
  <c r="T30" i="7"/>
  <c r="T35" i="7" s="1"/>
  <c r="T34" i="7"/>
  <c r="T40" i="7"/>
  <c r="T41" i="7" s="1"/>
  <c r="T63" i="7"/>
  <c r="T64" i="7" s="1"/>
  <c r="T20" i="7"/>
  <c r="T21" i="7" s="1"/>
  <c r="T22" i="7" s="1"/>
  <c r="T23" i="7" s="1"/>
  <c r="T719" i="7"/>
  <c r="T720" i="7" s="1"/>
  <c r="T713" i="7"/>
  <c r="T709" i="7"/>
  <c r="T701" i="7"/>
  <c r="T695" i="7"/>
  <c r="T691" i="7"/>
  <c r="T687" i="7"/>
  <c r="T736" i="7"/>
  <c r="T737" i="7" s="1"/>
  <c r="T738" i="7" s="1"/>
  <c r="T739" i="7" s="1"/>
  <c r="T748" i="7"/>
  <c r="T749" i="7" s="1"/>
  <c r="T750" i="7" s="1"/>
  <c r="T751" i="7" s="1"/>
  <c r="S674" i="7"/>
  <c r="S675" i="7" s="1"/>
  <c r="S666" i="7"/>
  <c r="S661" i="7"/>
  <c r="S656" i="7"/>
  <c r="S650" i="7"/>
  <c r="S646" i="7"/>
  <c r="S638" i="7"/>
  <c r="S639" i="7" s="1"/>
  <c r="S624" i="7"/>
  <c r="S618" i="7"/>
  <c r="S613" i="7"/>
  <c r="S606" i="7"/>
  <c r="S600" i="7"/>
  <c r="S595" i="7"/>
  <c r="S590" i="7"/>
  <c r="S582" i="7"/>
  <c r="S576" i="7"/>
  <c r="S570" i="7"/>
  <c r="S563" i="7"/>
  <c r="S556" i="7"/>
  <c r="S557" i="7" s="1"/>
  <c r="S544" i="7"/>
  <c r="S545" i="7" s="1"/>
  <c r="S546" i="7" s="1"/>
  <c r="S547" i="7" s="1"/>
  <c r="S534" i="7"/>
  <c r="S535" i="7" s="1"/>
  <c r="S525" i="7"/>
  <c r="S521" i="7"/>
  <c r="S517" i="7"/>
  <c r="S513" i="7"/>
  <c r="S508" i="7"/>
  <c r="S501" i="7"/>
  <c r="S497" i="7"/>
  <c r="S491" i="7"/>
  <c r="S485" i="7"/>
  <c r="S479" i="7"/>
  <c r="S480" i="7" s="1"/>
  <c r="S468" i="7"/>
  <c r="S469" i="7" s="1"/>
  <c r="S462" i="7"/>
  <c r="S457" i="7"/>
  <c r="S453" i="7"/>
  <c r="S449" i="7"/>
  <c r="S442" i="7"/>
  <c r="S434" i="7"/>
  <c r="S424" i="7"/>
  <c r="S420" i="7"/>
  <c r="S413" i="7"/>
  <c r="S400" i="7"/>
  <c r="S387" i="7"/>
  <c r="S383" i="7"/>
  <c r="S374" i="7"/>
  <c r="S362" i="7"/>
  <c r="S363" i="7" s="1"/>
  <c r="S356" i="7"/>
  <c r="S357" i="7" s="1"/>
  <c r="S345" i="7"/>
  <c r="S346" i="7" s="1"/>
  <c r="S347" i="7" s="1"/>
  <c r="S333" i="7"/>
  <c r="S327" i="7"/>
  <c r="S320" i="7"/>
  <c r="S311" i="7"/>
  <c r="S300" i="7"/>
  <c r="S291" i="7"/>
  <c r="S286" i="7"/>
  <c r="S271" i="7"/>
  <c r="S267" i="7"/>
  <c r="S263" i="7"/>
  <c r="S256" i="7"/>
  <c r="S250" i="7"/>
  <c r="S243" i="7"/>
  <c r="S229" i="7"/>
  <c r="S224" i="7"/>
  <c r="S218" i="7"/>
  <c r="S214" i="7"/>
  <c r="S210" i="7"/>
  <c r="S197" i="7"/>
  <c r="S193" i="7"/>
  <c r="S185" i="7"/>
  <c r="S186" i="7" s="1"/>
  <c r="S177" i="7"/>
  <c r="S172" i="7"/>
  <c r="S162" i="7"/>
  <c r="S157" i="7"/>
  <c r="S151" i="7"/>
  <c r="S134" i="7"/>
  <c r="S142" i="7" s="1"/>
  <c r="S120" i="7"/>
  <c r="S121" i="7" s="1"/>
  <c r="S114" i="7"/>
  <c r="S115" i="7" s="1"/>
  <c r="S101" i="7"/>
  <c r="S89" i="7"/>
  <c r="S77" i="7"/>
  <c r="S78" i="7" s="1"/>
  <c r="S79" i="7" s="1"/>
  <c r="S80" i="7" s="1"/>
  <c r="S30" i="7"/>
  <c r="S34" i="7"/>
  <c r="S40" i="7"/>
  <c r="S41" i="7" s="1"/>
  <c r="S63" i="7"/>
  <c r="S64" i="7" s="1"/>
  <c r="S20" i="7"/>
  <c r="S21" i="7" s="1"/>
  <c r="S22" i="7" s="1"/>
  <c r="S23" i="7" s="1"/>
  <c r="S719" i="7"/>
  <c r="S720" i="7" s="1"/>
  <c r="S713" i="7"/>
  <c r="S709" i="7"/>
  <c r="S701" i="7"/>
  <c r="S695" i="7"/>
  <c r="S691" i="7"/>
  <c r="S687" i="7"/>
  <c r="R674" i="7"/>
  <c r="R675" i="7" s="1"/>
  <c r="R666" i="7"/>
  <c r="R661" i="7"/>
  <c r="R656" i="7"/>
  <c r="R650" i="7"/>
  <c r="R646" i="7"/>
  <c r="R638" i="7"/>
  <c r="R639" i="7" s="1"/>
  <c r="R624" i="7"/>
  <c r="R618" i="7"/>
  <c r="R613" i="7"/>
  <c r="R606" i="7"/>
  <c r="R600" i="7"/>
  <c r="R595" i="7"/>
  <c r="R590" i="7"/>
  <c r="R582" i="7"/>
  <c r="R576" i="7"/>
  <c r="R570" i="7"/>
  <c r="R563" i="7"/>
  <c r="R556" i="7"/>
  <c r="R557" i="7" s="1"/>
  <c r="R544" i="7"/>
  <c r="R545" i="7" s="1"/>
  <c r="R546" i="7" s="1"/>
  <c r="R547" i="7" s="1"/>
  <c r="R534" i="7"/>
  <c r="R535" i="7" s="1"/>
  <c r="R525" i="7"/>
  <c r="R521" i="7"/>
  <c r="R517" i="7"/>
  <c r="R513" i="7"/>
  <c r="R508" i="7"/>
  <c r="R501" i="7"/>
  <c r="R497" i="7"/>
  <c r="R491" i="7"/>
  <c r="R485" i="7"/>
  <c r="R479" i="7"/>
  <c r="R480" i="7" s="1"/>
  <c r="R468" i="7"/>
  <c r="R469" i="7" s="1"/>
  <c r="R462" i="7"/>
  <c r="R457" i="7"/>
  <c r="R453" i="7"/>
  <c r="R449" i="7"/>
  <c r="R442" i="7"/>
  <c r="R434" i="7"/>
  <c r="R424" i="7"/>
  <c r="R420" i="7"/>
  <c r="R413" i="7"/>
  <c r="R400" i="7"/>
  <c r="R387" i="7"/>
  <c r="R383" i="7"/>
  <c r="R374" i="7"/>
  <c r="R388" i="7" s="1"/>
  <c r="R362" i="7"/>
  <c r="R363" i="7" s="1"/>
  <c r="R356" i="7"/>
  <c r="R357" i="7" s="1"/>
  <c r="R345" i="7"/>
  <c r="R346" i="7" s="1"/>
  <c r="R347" i="7" s="1"/>
  <c r="R333" i="7"/>
  <c r="R327" i="7"/>
  <c r="R320" i="7"/>
  <c r="R311" i="7"/>
  <c r="R300" i="7"/>
  <c r="R291" i="7"/>
  <c r="R286" i="7"/>
  <c r="R271" i="7"/>
  <c r="R267" i="7"/>
  <c r="R263" i="7"/>
  <c r="R256" i="7"/>
  <c r="R250" i="7"/>
  <c r="R243" i="7"/>
  <c r="R229" i="7"/>
  <c r="R224" i="7"/>
  <c r="R218" i="7"/>
  <c r="R214" i="7"/>
  <c r="R210" i="7"/>
  <c r="R197" i="7"/>
  <c r="R198" i="7" s="1"/>
  <c r="R193" i="7"/>
  <c r="R185" i="7"/>
  <c r="R186" i="7" s="1"/>
  <c r="R177" i="7"/>
  <c r="R178" i="7" s="1"/>
  <c r="R172" i="7"/>
  <c r="R162" i="7"/>
  <c r="R157" i="7"/>
  <c r="R151" i="7"/>
  <c r="R134" i="7"/>
  <c r="R142" i="7" s="1"/>
  <c r="R120" i="7"/>
  <c r="R121" i="7" s="1"/>
  <c r="R114" i="7"/>
  <c r="R115" i="7" s="1"/>
  <c r="R101" i="7"/>
  <c r="R89" i="7"/>
  <c r="R77" i="7"/>
  <c r="R78" i="7" s="1"/>
  <c r="R79" i="7" s="1"/>
  <c r="R80" i="7" s="1"/>
  <c r="R30" i="7"/>
  <c r="R34" i="7"/>
  <c r="R40" i="7"/>
  <c r="R41" i="7" s="1"/>
  <c r="R63" i="7"/>
  <c r="R64" i="7" s="1"/>
  <c r="R20" i="7"/>
  <c r="R21" i="7" s="1"/>
  <c r="R22" i="7" s="1"/>
  <c r="R23" i="7" s="1"/>
  <c r="R719" i="7"/>
  <c r="R720" i="7" s="1"/>
  <c r="R713" i="7"/>
  <c r="R709" i="7"/>
  <c r="R701" i="7"/>
  <c r="R695" i="7"/>
  <c r="R691" i="7"/>
  <c r="R687" i="7"/>
  <c r="Q674" i="7"/>
  <c r="Q675" i="7" s="1"/>
  <c r="Q666" i="7"/>
  <c r="Q661" i="7"/>
  <c r="Q656" i="7"/>
  <c r="Q650" i="7"/>
  <c r="Q646" i="7"/>
  <c r="Q638" i="7"/>
  <c r="Q634" i="7"/>
  <c r="Q630" i="7"/>
  <c r="Q624" i="7"/>
  <c r="Q618" i="7"/>
  <c r="Q613" i="7"/>
  <c r="Q606" i="7"/>
  <c r="Q600" i="7"/>
  <c r="Q595" i="7"/>
  <c r="Q590" i="7"/>
  <c r="Q582" i="7"/>
  <c r="Q576" i="7"/>
  <c r="Q570" i="7"/>
  <c r="Q563" i="7"/>
  <c r="Q556" i="7"/>
  <c r="Q557" i="7" s="1"/>
  <c r="Q544" i="7"/>
  <c r="Q545" i="7" s="1"/>
  <c r="Q546" i="7" s="1"/>
  <c r="Q547" i="7" s="1"/>
  <c r="Q534" i="7"/>
  <c r="Q535" i="7" s="1"/>
  <c r="Q525" i="7"/>
  <c r="Q521" i="7"/>
  <c r="Q517" i="7"/>
  <c r="Q513" i="7"/>
  <c r="Q508" i="7"/>
  <c r="Q501" i="7"/>
  <c r="Q497" i="7"/>
  <c r="Q491" i="7"/>
  <c r="Q485" i="7"/>
  <c r="Q479" i="7"/>
  <c r="Q480" i="7" s="1"/>
  <c r="Q468" i="7"/>
  <c r="Q469" i="7" s="1"/>
  <c r="Q462" i="7"/>
  <c r="Q457" i="7"/>
  <c r="Q453" i="7"/>
  <c r="Q449" i="7"/>
  <c r="Q442" i="7"/>
  <c r="Q434" i="7"/>
  <c r="Q424" i="7"/>
  <c r="Q420" i="7"/>
  <c r="Q413" i="7"/>
  <c r="Q400" i="7"/>
  <c r="Q387" i="7"/>
  <c r="Q383" i="7"/>
  <c r="Q374" i="7"/>
  <c r="Q362" i="7"/>
  <c r="Q363" i="7" s="1"/>
  <c r="Q356" i="7"/>
  <c r="Q357" i="7" s="1"/>
  <c r="Q345" i="7"/>
  <c r="Q346" i="7" s="1"/>
  <c r="Q347" i="7" s="1"/>
  <c r="Q333" i="7"/>
  <c r="Q327" i="7"/>
  <c r="Q320" i="7"/>
  <c r="Q311" i="7"/>
  <c r="Q300" i="7"/>
  <c r="Q291" i="7"/>
  <c r="Q286" i="7"/>
  <c r="Q271" i="7"/>
  <c r="Q267" i="7"/>
  <c r="Q263" i="7"/>
  <c r="Q256" i="7"/>
  <c r="Q250" i="7"/>
  <c r="Q243" i="7"/>
  <c r="Q229" i="7"/>
  <c r="Q224" i="7"/>
  <c r="Q218" i="7"/>
  <c r="Q214" i="7"/>
  <c r="Q197" i="7"/>
  <c r="Q193" i="7"/>
  <c r="Q185" i="7"/>
  <c r="Q186" i="7" s="1"/>
  <c r="Q177" i="7"/>
  <c r="Q172" i="7"/>
  <c r="Q162" i="7"/>
  <c r="Q157" i="7"/>
  <c r="Q151" i="7"/>
  <c r="Q134" i="7"/>
  <c r="Q142" i="7" s="1"/>
  <c r="Q120" i="7"/>
  <c r="Q121" i="7" s="1"/>
  <c r="Q114" i="7"/>
  <c r="Q115" i="7" s="1"/>
  <c r="Q101" i="7"/>
  <c r="Q89" i="7"/>
  <c r="Q77" i="7"/>
  <c r="Q78" i="7" s="1"/>
  <c r="Q79" i="7" s="1"/>
  <c r="Q80" i="7" s="1"/>
  <c r="Q30" i="7"/>
  <c r="Q34" i="7"/>
  <c r="Q40" i="7"/>
  <c r="Q41" i="7" s="1"/>
  <c r="Q63" i="7"/>
  <c r="Q64" i="7" s="1"/>
  <c r="Q20" i="7"/>
  <c r="Q21" i="7" s="1"/>
  <c r="Q22" i="7" s="1"/>
  <c r="Q23" i="7" s="1"/>
  <c r="Q719" i="7"/>
  <c r="Q720" i="7" s="1"/>
  <c r="Q713" i="7"/>
  <c r="Q709" i="7"/>
  <c r="Q701" i="7"/>
  <c r="Q695" i="7"/>
  <c r="Q691" i="7"/>
  <c r="Q687" i="7"/>
  <c r="Q736" i="7"/>
  <c r="Q737" i="7" s="1"/>
  <c r="Q738" i="7" s="1"/>
  <c r="Q739" i="7" s="1"/>
  <c r="Q748" i="7"/>
  <c r="Q749" i="7" s="1"/>
  <c r="Q750" i="7" s="1"/>
  <c r="Q751" i="7" s="1"/>
  <c r="CQ731" i="7"/>
  <c r="CN731" i="7"/>
  <c r="CE731" i="7"/>
  <c r="CB731" i="7"/>
  <c r="BY731" i="7"/>
  <c r="BV731" i="7"/>
  <c r="BS731" i="7"/>
  <c r="BP731" i="7"/>
  <c r="BJ731" i="7"/>
  <c r="BG731" i="7"/>
  <c r="BD731" i="7"/>
  <c r="BA731" i="7"/>
  <c r="AX731" i="7"/>
  <c r="AU731" i="7"/>
  <c r="AR731" i="7"/>
  <c r="AO731" i="7"/>
  <c r="AL731" i="7"/>
  <c r="AI731" i="7"/>
  <c r="AF731" i="7"/>
  <c r="AC731" i="7"/>
  <c r="Z731" i="7"/>
  <c r="W731" i="7"/>
  <c r="T731" i="7"/>
  <c r="Q731" i="7"/>
  <c r="V729" i="7"/>
  <c r="U729" i="7"/>
  <c r="T729" i="7"/>
  <c r="S729" i="7"/>
  <c r="R729" i="7"/>
  <c r="Q729" i="7"/>
  <c r="P687" i="7"/>
  <c r="P677" i="7"/>
  <c r="CQ313" i="7"/>
  <c r="CN313" i="7"/>
  <c r="CK313" i="7"/>
  <c r="A184" i="7"/>
  <c r="CS141" i="7"/>
  <c r="CR141" i="7"/>
  <c r="CQ141" i="7"/>
  <c r="CP141" i="7"/>
  <c r="CO141" i="7"/>
  <c r="CN141" i="7"/>
  <c r="CM141" i="7"/>
  <c r="CL141" i="7"/>
  <c r="CK141" i="7"/>
  <c r="CJ141" i="7"/>
  <c r="CI141" i="7"/>
  <c r="CH141" i="7"/>
  <c r="CD141" i="7"/>
  <c r="CC141" i="7"/>
  <c r="CB141" i="7"/>
  <c r="CA141" i="7"/>
  <c r="BZ141" i="7"/>
  <c r="BY141" i="7"/>
  <c r="BX141" i="7"/>
  <c r="BW141" i="7"/>
  <c r="BV141" i="7"/>
  <c r="BU141" i="7"/>
  <c r="BT141" i="7"/>
  <c r="BS141" i="7"/>
  <c r="BR141" i="7"/>
  <c r="BQ141" i="7"/>
  <c r="BP141" i="7"/>
  <c r="BO141" i="7"/>
  <c r="BN141" i="7"/>
  <c r="BM141" i="7"/>
  <c r="BL141" i="7"/>
  <c r="BK141" i="7"/>
  <c r="BJ141" i="7"/>
  <c r="BI141" i="7"/>
  <c r="BH141" i="7"/>
  <c r="BG141" i="7"/>
  <c r="BF141" i="7"/>
  <c r="BE141" i="7"/>
  <c r="BD141" i="7"/>
  <c r="BC141" i="7"/>
  <c r="BB141" i="7"/>
  <c r="BA141" i="7"/>
  <c r="AZ141" i="7"/>
  <c r="AY141" i="7"/>
  <c r="AX141" i="7"/>
  <c r="AW141" i="7"/>
  <c r="AV141" i="7"/>
  <c r="AU141" i="7"/>
  <c r="AT141" i="7"/>
  <c r="AS141" i="7"/>
  <c r="AR141" i="7"/>
  <c r="AQ141" i="7"/>
  <c r="AP141" i="7"/>
  <c r="AO141" i="7"/>
  <c r="AN141" i="7"/>
  <c r="AM141" i="7"/>
  <c r="AL141" i="7"/>
  <c r="AK141" i="7"/>
  <c r="AJ141" i="7"/>
  <c r="AI141" i="7"/>
  <c r="AH141" i="7"/>
  <c r="AG141" i="7"/>
  <c r="AF141" i="7"/>
  <c r="AE141" i="7"/>
  <c r="AD141" i="7"/>
  <c r="AC141" i="7"/>
  <c r="Y141" i="7"/>
  <c r="X141" i="7"/>
  <c r="W141" i="7"/>
  <c r="V141" i="7"/>
  <c r="U141" i="7"/>
  <c r="T141" i="7"/>
  <c r="S141" i="7"/>
  <c r="R141" i="7"/>
  <c r="Q141" i="7"/>
  <c r="AC178" i="7" l="1"/>
  <c r="AE35" i="7"/>
  <c r="BK230" i="7"/>
  <c r="BV526" i="7"/>
  <c r="BW198" i="7"/>
  <c r="CK443" i="7"/>
  <c r="CL272" i="7"/>
  <c r="C57" i="10"/>
  <c r="W736" i="7"/>
  <c r="C58" i="10"/>
  <c r="V35" i="7"/>
  <c r="AX684" i="7"/>
  <c r="Y102" i="7"/>
  <c r="Y103" i="7" s="1"/>
  <c r="Z737" i="7"/>
  <c r="Z738" i="7" s="1"/>
  <c r="Z739" i="7" s="1"/>
  <c r="BA606" i="7"/>
  <c r="BN230" i="7"/>
  <c r="CC102" i="7"/>
  <c r="CC103" i="7" s="1"/>
  <c r="CD35" i="7"/>
  <c r="CE525" i="7"/>
  <c r="CN178" i="7"/>
  <c r="C56" i="10"/>
  <c r="U102" i="7"/>
  <c r="AE102" i="7"/>
  <c r="AE103" i="7" s="1"/>
  <c r="AO198" i="7"/>
  <c r="AT714" i="7"/>
  <c r="AU35" i="7"/>
  <c r="AU65" i="7" s="1"/>
  <c r="AU66" i="7" s="1"/>
  <c r="AX714" i="7"/>
  <c r="AX721" i="7" s="1"/>
  <c r="AX722" i="7" s="1"/>
  <c r="AY35" i="7"/>
  <c r="AY163" i="7"/>
  <c r="AY272" i="7"/>
  <c r="BW714" i="7"/>
  <c r="BW721" i="7" s="1"/>
  <c r="BW722" i="7" s="1"/>
  <c r="CB737" i="7"/>
  <c r="CB738" i="7" s="1"/>
  <c r="CB739" i="7" s="1"/>
  <c r="CB114" i="7"/>
  <c r="CB115" i="7" s="1"/>
  <c r="CE497" i="7"/>
  <c r="CF256" i="7"/>
  <c r="CI35" i="7"/>
  <c r="CL443" i="7"/>
  <c r="T364" i="7"/>
  <c r="T365" i="7" s="1"/>
  <c r="V178" i="7"/>
  <c r="V364" i="7"/>
  <c r="V365" i="7" s="1"/>
  <c r="W443" i="7"/>
  <c r="AA102" i="7"/>
  <c r="AA103" i="7" s="1"/>
  <c r="AF178" i="7"/>
  <c r="AS737" i="7"/>
  <c r="AS738" i="7" s="1"/>
  <c r="AS739" i="7" s="1"/>
  <c r="AT737" i="7"/>
  <c r="AT738" i="7" s="1"/>
  <c r="AT739" i="7" s="1"/>
  <c r="BC714" i="7"/>
  <c r="BC35" i="7"/>
  <c r="BC65" i="7" s="1"/>
  <c r="BC66" i="7" s="1"/>
  <c r="BG102" i="7"/>
  <c r="BG103" i="7" s="1"/>
  <c r="BO714" i="7"/>
  <c r="BO198" i="7"/>
  <c r="BO230" i="7"/>
  <c r="BO257" i="7"/>
  <c r="BO301" i="7"/>
  <c r="BO302" i="7" s="1"/>
  <c r="BO502" i="7"/>
  <c r="BQ463" i="7"/>
  <c r="BR737" i="7"/>
  <c r="BR738" i="7" s="1"/>
  <c r="BR739" i="7" s="1"/>
  <c r="BR301" i="7"/>
  <c r="BR302" i="7" s="1"/>
  <c r="BS364" i="7"/>
  <c r="BS365" i="7" s="1"/>
  <c r="BU178" i="7"/>
  <c r="CE413" i="7"/>
  <c r="CF102" i="7"/>
  <c r="CF103" i="7" s="1"/>
  <c r="CH639" i="7"/>
  <c r="CI102" i="7"/>
  <c r="CI103" i="7" s="1"/>
  <c r="CK719" i="7"/>
  <c r="CK720" i="7" s="1"/>
  <c r="CK230" i="7"/>
  <c r="CL35" i="7"/>
  <c r="CN257" i="7"/>
  <c r="CU508" i="7"/>
  <c r="T534" i="7"/>
  <c r="T535" i="7" s="1"/>
  <c r="CE479" i="7"/>
  <c r="CE480" i="7" s="1"/>
  <c r="CG301" i="7"/>
  <c r="CG302" i="7" s="1"/>
  <c r="R35" i="7"/>
  <c r="R219" i="7"/>
  <c r="X230" i="7"/>
  <c r="AC257" i="7"/>
  <c r="AL624" i="7"/>
  <c r="AM198" i="7"/>
  <c r="AN714" i="7"/>
  <c r="AP714" i="7"/>
  <c r="AU178" i="7"/>
  <c r="AY198" i="7"/>
  <c r="AY334" i="7"/>
  <c r="AY335" i="7" s="1"/>
  <c r="AZ388" i="7"/>
  <c r="BD737" i="7"/>
  <c r="BD738" i="7" s="1"/>
  <c r="BD739" i="7" s="1"/>
  <c r="BE198" i="7"/>
  <c r="BI714" i="7"/>
  <c r="BJ102" i="7"/>
  <c r="BJ103" i="7" s="1"/>
  <c r="CE210" i="7"/>
  <c r="CP198" i="7"/>
  <c r="CP199" i="7" s="1"/>
  <c r="Q388" i="7"/>
  <c r="T714" i="7"/>
  <c r="V198" i="7"/>
  <c r="AC272" i="7"/>
  <c r="AR35" i="7"/>
  <c r="AV178" i="7"/>
  <c r="CT140" i="7"/>
  <c r="CE141" i="7"/>
  <c r="CT616" i="7"/>
  <c r="CT618" i="7" s="1"/>
  <c r="AL618" i="7"/>
  <c r="CU618" i="7"/>
  <c r="Q198" i="7"/>
  <c r="U443" i="7"/>
  <c r="CU344" i="7"/>
  <c r="CF345" i="7"/>
  <c r="CF346" i="7" s="1"/>
  <c r="CF347" i="7" s="1"/>
  <c r="CK736" i="7"/>
  <c r="CT706" i="7"/>
  <c r="CT709" i="7" s="1"/>
  <c r="CE709" i="7"/>
  <c r="CT655" i="7"/>
  <c r="CE656" i="7"/>
  <c r="CT512" i="7"/>
  <c r="CT513" i="7" s="1"/>
  <c r="CE513" i="7"/>
  <c r="CT408" i="7"/>
  <c r="AI413" i="7"/>
  <c r="CT354" i="7"/>
  <c r="CE356" i="7"/>
  <c r="CE357" i="7" s="1"/>
  <c r="CT290" i="7"/>
  <c r="CE291" i="7"/>
  <c r="CT309" i="7"/>
  <c r="CT311" i="7" s="1"/>
  <c r="CE311" i="7"/>
  <c r="CT262" i="7"/>
  <c r="CE263" i="7"/>
  <c r="CT191" i="7"/>
  <c r="CE193" i="7"/>
  <c r="AR425" i="7"/>
  <c r="AU257" i="7"/>
  <c r="AU425" i="7"/>
  <c r="AU526" i="7"/>
  <c r="AU639" i="7"/>
  <c r="AV639" i="7"/>
  <c r="BB102" i="7"/>
  <c r="BB103" i="7" s="1"/>
  <c r="BK702" i="7"/>
  <c r="BU35" i="7"/>
  <c r="BV463" i="7"/>
  <c r="BW102" i="7"/>
  <c r="CA425" i="7"/>
  <c r="CN443" i="7"/>
  <c r="CT735" i="7"/>
  <c r="CT732" i="7"/>
  <c r="CT699" i="7"/>
  <c r="AJ667" i="7"/>
  <c r="AL178" i="7"/>
  <c r="AN702" i="7"/>
  <c r="AO443" i="7"/>
  <c r="AQ102" i="7"/>
  <c r="AQ103" i="7" s="1"/>
  <c r="AQ198" i="7"/>
  <c r="AR65" i="7"/>
  <c r="AR66" i="7" s="1"/>
  <c r="AV163" i="7"/>
  <c r="AV364" i="7"/>
  <c r="AV365" i="7" s="1"/>
  <c r="AV463" i="7"/>
  <c r="BE102" i="7"/>
  <c r="BE103" i="7" s="1"/>
  <c r="BH102" i="7"/>
  <c r="BN334" i="7"/>
  <c r="BN335" i="7" s="1"/>
  <c r="BQ272" i="7"/>
  <c r="BT301" i="7"/>
  <c r="BT302" i="7" s="1"/>
  <c r="BT443" i="7"/>
  <c r="BT470" i="7" s="1"/>
  <c r="BT471" i="7" s="1"/>
  <c r="BU230" i="7"/>
  <c r="BU364" i="7"/>
  <c r="BU365" i="7" s="1"/>
  <c r="BU463" i="7"/>
  <c r="BW163" i="7"/>
  <c r="BY737" i="7"/>
  <c r="BY738" i="7" s="1"/>
  <c r="BY739" i="7" s="1"/>
  <c r="CD102" i="7"/>
  <c r="CD103" i="7" s="1"/>
  <c r="CD257" i="7"/>
  <c r="CG102" i="7"/>
  <c r="CG103" i="7" s="1"/>
  <c r="CO230" i="7"/>
  <c r="CO364" i="7"/>
  <c r="CO365" i="7" s="1"/>
  <c r="CR198" i="7"/>
  <c r="CR199" i="7" s="1"/>
  <c r="CV661" i="7"/>
  <c r="CV462" i="7"/>
  <c r="CT694" i="7"/>
  <c r="CT209" i="7"/>
  <c r="AD301" i="7"/>
  <c r="AD302" i="7" s="1"/>
  <c r="AE163" i="7"/>
  <c r="AE301" i="7"/>
  <c r="AE302" i="7" s="1"/>
  <c r="AF714" i="7"/>
  <c r="AF301" i="7"/>
  <c r="AF302" i="7" s="1"/>
  <c r="AG257" i="7"/>
  <c r="AH198" i="7"/>
  <c r="AH199" i="7" s="1"/>
  <c r="AH257" i="7"/>
  <c r="AI714" i="7"/>
  <c r="AI102" i="7"/>
  <c r="AI103" i="7" s="1"/>
  <c r="AJ102" i="7"/>
  <c r="AJ103" i="7" s="1"/>
  <c r="AJ198" i="7"/>
  <c r="AJ199" i="7" s="1"/>
  <c r="AN35" i="7"/>
  <c r="AN443" i="7"/>
  <c r="BA102" i="7"/>
  <c r="BA103" i="7" s="1"/>
  <c r="BD334" i="7"/>
  <c r="BD335" i="7" s="1"/>
  <c r="BE443" i="7"/>
  <c r="BG198" i="7"/>
  <c r="BH230" i="7"/>
  <c r="BI198" i="7"/>
  <c r="BI199" i="7" s="1"/>
  <c r="BN219" i="7"/>
  <c r="BN231" i="7" s="1"/>
  <c r="BN232" i="7" s="1"/>
  <c r="BT714" i="7"/>
  <c r="BY230" i="7"/>
  <c r="CH178" i="7"/>
  <c r="CI737" i="7"/>
  <c r="CI738" i="7" s="1"/>
  <c r="CI739" i="7" s="1"/>
  <c r="CK714" i="7"/>
  <c r="CK272" i="7"/>
  <c r="CM198" i="7"/>
  <c r="CM199" i="7" s="1"/>
  <c r="CN364" i="7"/>
  <c r="CN365" i="7" s="1"/>
  <c r="CO714" i="7"/>
  <c r="CV618" i="7"/>
  <c r="CV162" i="7"/>
  <c r="CV687" i="7"/>
  <c r="CU687" i="7"/>
  <c r="Q443" i="7"/>
  <c r="Q639" i="7"/>
  <c r="R714" i="7"/>
  <c r="BK667" i="7"/>
  <c r="Q667" i="7"/>
  <c r="Q301" i="7"/>
  <c r="Q302" i="7" s="1"/>
  <c r="S334" i="7"/>
  <c r="S335" i="7" s="1"/>
  <c r="S388" i="7"/>
  <c r="S502" i="7"/>
  <c r="V388" i="7"/>
  <c r="AT625" i="7"/>
  <c r="S702" i="7"/>
  <c r="T301" i="7"/>
  <c r="T302" i="7" s="1"/>
  <c r="T443" i="7"/>
  <c r="V230" i="7"/>
  <c r="V231" i="7" s="1"/>
  <c r="V232" i="7" s="1"/>
  <c r="V257" i="7"/>
  <c r="AU625" i="7"/>
  <c r="AU667" i="7"/>
  <c r="AZ463" i="7"/>
  <c r="AT102" i="7"/>
  <c r="AT103" i="7" s="1"/>
  <c r="AZ425" i="7"/>
  <c r="Z443" i="7"/>
  <c r="AB714" i="7"/>
  <c r="AB102" i="7"/>
  <c r="AB103" i="7" s="1"/>
  <c r="AD364" i="7"/>
  <c r="AD365" i="7" s="1"/>
  <c r="AG102" i="7"/>
  <c r="AG178" i="7"/>
  <c r="AJ178" i="7"/>
  <c r="AK35" i="7"/>
  <c r="AK463" i="7"/>
  <c r="AP667" i="7"/>
  <c r="AP676" i="7" s="1"/>
  <c r="AP677" i="7" s="1"/>
  <c r="AQ178" i="7"/>
  <c r="AS219" i="7"/>
  <c r="AS425" i="7"/>
  <c r="AV625" i="7"/>
  <c r="AX425" i="7"/>
  <c r="AY102" i="7"/>
  <c r="AY103" i="7" s="1"/>
  <c r="BB737" i="7"/>
  <c r="BB738" i="7" s="1"/>
  <c r="BB739" i="7" s="1"/>
  <c r="BC702" i="7"/>
  <c r="BG272" i="7"/>
  <c r="BM639" i="7"/>
  <c r="BN102" i="7"/>
  <c r="BN272" i="7"/>
  <c r="CV286" i="7"/>
  <c r="W737" i="7"/>
  <c r="W738" i="7" s="1"/>
  <c r="W739" i="7" s="1"/>
  <c r="W198" i="7"/>
  <c r="X737" i="7"/>
  <c r="X738" i="7" s="1"/>
  <c r="X739" i="7" s="1"/>
  <c r="X502" i="7"/>
  <c r="AA35" i="7"/>
  <c r="AB35" i="7"/>
  <c r="AB425" i="7"/>
  <c r="AB502" i="7"/>
  <c r="AC163" i="7"/>
  <c r="AD272" i="7"/>
  <c r="AE198" i="7"/>
  <c r="AE199" i="7" s="1"/>
  <c r="AE200" i="7" s="1"/>
  <c r="AF272" i="7"/>
  <c r="AF443" i="7"/>
  <c r="AG443" i="7"/>
  <c r="AH178" i="7"/>
  <c r="AH230" i="7"/>
  <c r="AI35" i="7"/>
  <c r="AJ219" i="7"/>
  <c r="AK219" i="7"/>
  <c r="AM102" i="7"/>
  <c r="AM103" i="7" s="1"/>
  <c r="AM230" i="7"/>
  <c r="AN463" i="7"/>
  <c r="AP702" i="7"/>
  <c r="AP388" i="7"/>
  <c r="AW219" i="7"/>
  <c r="AW425" i="7"/>
  <c r="AX388" i="7"/>
  <c r="BE163" i="7"/>
  <c r="BG714" i="7"/>
  <c r="BM737" i="7"/>
  <c r="BM738" i="7" s="1"/>
  <c r="BM739" i="7" s="1"/>
  <c r="BM272" i="7"/>
  <c r="BM301" i="7"/>
  <c r="BM302" i="7" s="1"/>
  <c r="BR257" i="7"/>
  <c r="BR625" i="7"/>
  <c r="BS257" i="7"/>
  <c r="BS301" i="7"/>
  <c r="BS302" i="7" s="1"/>
  <c r="BS425" i="7"/>
  <c r="CD65" i="7"/>
  <c r="CD66" i="7" s="1"/>
  <c r="V443" i="7"/>
  <c r="V470" i="7" s="1"/>
  <c r="V471" i="7" s="1"/>
  <c r="Y122" i="7"/>
  <c r="Y123" i="7" s="1"/>
  <c r="Y443" i="7"/>
  <c r="AA198" i="7"/>
  <c r="AB230" i="7"/>
  <c r="AC198" i="7"/>
  <c r="AC230" i="7"/>
  <c r="AG714" i="7"/>
  <c r="AK230" i="7"/>
  <c r="AL334" i="7"/>
  <c r="AL335" i="7" s="1"/>
  <c r="AO102" i="7"/>
  <c r="AO103" i="7" s="1"/>
  <c r="AO388" i="7"/>
  <c r="AO502" i="7"/>
  <c r="AP737" i="7"/>
  <c r="AP738" i="7" s="1"/>
  <c r="AP739" i="7" s="1"/>
  <c r="AP178" i="7"/>
  <c r="AP230" i="7"/>
  <c r="AR714" i="7"/>
  <c r="AS230" i="7"/>
  <c r="AS334" i="7"/>
  <c r="AS335" i="7" s="1"/>
  <c r="AT198" i="7"/>
  <c r="AT199" i="7" s="1"/>
  <c r="AT272" i="7"/>
  <c r="AV230" i="7"/>
  <c r="AV667" i="7"/>
  <c r="AW702" i="7"/>
  <c r="AW388" i="7"/>
  <c r="AX178" i="7"/>
  <c r="AX230" i="7"/>
  <c r="BC219" i="7"/>
  <c r="BC443" i="7"/>
  <c r="BF502" i="7"/>
  <c r="BH714" i="7"/>
  <c r="BH301" i="7"/>
  <c r="BH302" i="7" s="1"/>
  <c r="BJ122" i="7"/>
  <c r="BJ123" i="7" s="1"/>
  <c r="BJ178" i="7"/>
  <c r="BJ198" i="7"/>
  <c r="BJ199" i="7" s="1"/>
  <c r="BJ257" i="7"/>
  <c r="BK219" i="7"/>
  <c r="BK231" i="7" s="1"/>
  <c r="BK232" i="7" s="1"/>
  <c r="BM35" i="7"/>
  <c r="BM163" i="7"/>
  <c r="BM443" i="7"/>
  <c r="CA230" i="7"/>
  <c r="CH714" i="7"/>
  <c r="CT556" i="7"/>
  <c r="CU534" i="7"/>
  <c r="CU535" i="7" s="1"/>
  <c r="BP737" i="7"/>
  <c r="BP738" i="7" s="1"/>
  <c r="BP739" i="7" s="1"/>
  <c r="BR714" i="7"/>
  <c r="BR198" i="7"/>
  <c r="BR272" i="7"/>
  <c r="BR273" i="7" s="1"/>
  <c r="BR274" i="7" s="1"/>
  <c r="BS714" i="7"/>
  <c r="BS721" i="7" s="1"/>
  <c r="BS722" i="7" s="1"/>
  <c r="BS272" i="7"/>
  <c r="BS639" i="7"/>
  <c r="BT702" i="7"/>
  <c r="BT721" i="7" s="1"/>
  <c r="BT722" i="7" s="1"/>
  <c r="BT35" i="7"/>
  <c r="BT65" i="7" s="1"/>
  <c r="BT66" i="7" s="1"/>
  <c r="BT272" i="7"/>
  <c r="BT425" i="7"/>
  <c r="BU737" i="7"/>
  <c r="BU738" i="7" s="1"/>
  <c r="BU739" i="7" s="1"/>
  <c r="BU702" i="7"/>
  <c r="BU219" i="7"/>
  <c r="BU231" i="7" s="1"/>
  <c r="BU232" i="7" s="1"/>
  <c r="BV301" i="7"/>
  <c r="BV302" i="7" s="1"/>
  <c r="BX714" i="7"/>
  <c r="BY198" i="7"/>
  <c r="BY199" i="7" s="1"/>
  <c r="BY272" i="7"/>
  <c r="CA334" i="7"/>
  <c r="CA335" i="7" s="1"/>
  <c r="CA364" i="7"/>
  <c r="CA365" i="7" s="1"/>
  <c r="CC737" i="7"/>
  <c r="CC738" i="7" s="1"/>
  <c r="CC739" i="7" s="1"/>
  <c r="CD178" i="7"/>
  <c r="CD230" i="7"/>
  <c r="CG230" i="7"/>
  <c r="CG257" i="7"/>
  <c r="CG502" i="7"/>
  <c r="CH163" i="7"/>
  <c r="CH272" i="7"/>
  <c r="CI198" i="7"/>
  <c r="CI199" i="7" s="1"/>
  <c r="CK257" i="7"/>
  <c r="CL714" i="7"/>
  <c r="CL178" i="7"/>
  <c r="CL257" i="7"/>
  <c r="CN163" i="7"/>
  <c r="CO702" i="7"/>
  <c r="CO163" i="7"/>
  <c r="CO272" i="7"/>
  <c r="CP425" i="7"/>
  <c r="CP502" i="7"/>
  <c r="CP526" i="7"/>
  <c r="CQ102" i="7"/>
  <c r="CQ103" i="7" s="1"/>
  <c r="CR102" i="7"/>
  <c r="CR103" i="7" s="1"/>
  <c r="CS35" i="7"/>
  <c r="AA142" i="7"/>
  <c r="CU748" i="7"/>
  <c r="CU749" i="7" s="1"/>
  <c r="CU750" i="7" s="1"/>
  <c r="CU751" i="7" s="1"/>
  <c r="CU736" i="7"/>
  <c r="CU356" i="7"/>
  <c r="CU357" i="7" s="1"/>
  <c r="BV163" i="7"/>
  <c r="BV425" i="7"/>
  <c r="BV502" i="7"/>
  <c r="BV536" i="7" s="1"/>
  <c r="BV537" i="7" s="1"/>
  <c r="CA219" i="7"/>
  <c r="CK219" i="7"/>
  <c r="CP163" i="7"/>
  <c r="CQ463" i="7"/>
  <c r="CR625" i="7"/>
  <c r="CV420" i="7"/>
  <c r="CV748" i="7"/>
  <c r="CV749" i="7" s="1"/>
  <c r="CV750" i="7" s="1"/>
  <c r="CV751" i="7" s="1"/>
  <c r="CU413" i="7"/>
  <c r="CU364" i="7"/>
  <c r="CU365" i="7" s="1"/>
  <c r="G11" i="10" s="1"/>
  <c r="CU210" i="7"/>
  <c r="CT185" i="7"/>
  <c r="CT186" i="7" s="1"/>
  <c r="BP163" i="7"/>
  <c r="BP272" i="7"/>
  <c r="BP443" i="7"/>
  <c r="BQ702" i="7"/>
  <c r="BQ198" i="7"/>
  <c r="BR334" i="7"/>
  <c r="BR335" i="7" s="1"/>
  <c r="BS702" i="7"/>
  <c r="BS35" i="7"/>
  <c r="BS65" i="7" s="1"/>
  <c r="BS66" i="7" s="1"/>
  <c r="BS178" i="7"/>
  <c r="BS230" i="7"/>
  <c r="BS388" i="7"/>
  <c r="BV35" i="7"/>
  <c r="BV65" i="7" s="1"/>
  <c r="BV66" i="7" s="1"/>
  <c r="BV102" i="7"/>
  <c r="BV103" i="7" s="1"/>
  <c r="BV178" i="7"/>
  <c r="BZ667" i="7"/>
  <c r="CA178" i="7"/>
  <c r="CB35" i="7"/>
  <c r="CD272" i="7"/>
  <c r="CE178" i="7"/>
  <c r="CF198" i="7"/>
  <c r="CF199" i="7" s="1"/>
  <c r="CJ178" i="7"/>
  <c r="CJ198" i="7"/>
  <c r="CJ199" i="7" s="1"/>
  <c r="CJ257" i="7"/>
  <c r="CN35" i="7"/>
  <c r="CN272" i="7"/>
  <c r="CV491" i="7"/>
  <c r="CU582" i="7"/>
  <c r="CU624" i="7"/>
  <c r="CU497" i="7"/>
  <c r="AI364" i="7"/>
  <c r="AI365" i="7" s="1"/>
  <c r="R199" i="7"/>
  <c r="R230" i="7"/>
  <c r="R231" i="7" s="1"/>
  <c r="R232" i="7" s="1"/>
  <c r="R257" i="7"/>
  <c r="S102" i="7"/>
  <c r="S103" i="7" s="1"/>
  <c r="T230" i="7"/>
  <c r="T463" i="7"/>
  <c r="U272" i="7"/>
  <c r="V163" i="7"/>
  <c r="V425" i="7"/>
  <c r="W230" i="7"/>
  <c r="W502" i="7"/>
  <c r="W526" i="7"/>
  <c r="W536" i="7" s="1"/>
  <c r="W537" i="7" s="1"/>
  <c r="Y35" i="7"/>
  <c r="Y163" i="7"/>
  <c r="Z178" i="7"/>
  <c r="Z198" i="7"/>
  <c r="Z199" i="7" s="1"/>
  <c r="AA230" i="7"/>
  <c r="AC35" i="7"/>
  <c r="AC102" i="7"/>
  <c r="AC103" i="7" s="1"/>
  <c r="AC463" i="7"/>
  <c r="AD163" i="7"/>
  <c r="AE230" i="7"/>
  <c r="AE334" i="7"/>
  <c r="AE335" i="7" s="1"/>
  <c r="AE463" i="7"/>
  <c r="AF163" i="7"/>
  <c r="AF364" i="7"/>
  <c r="AF365" i="7" s="1"/>
  <c r="AG219" i="7"/>
  <c r="AG272" i="7"/>
  <c r="AG502" i="7"/>
  <c r="AH714" i="7"/>
  <c r="AH388" i="7"/>
  <c r="AI198" i="7"/>
  <c r="AI639" i="7"/>
  <c r="AK702" i="7"/>
  <c r="AK65" i="7"/>
  <c r="AK66" i="7" s="1"/>
  <c r="AL737" i="7"/>
  <c r="AL738" i="7" s="1"/>
  <c r="AL739" i="7" s="1"/>
  <c r="AL102" i="7"/>
  <c r="AL103" i="7" s="1"/>
  <c r="AO667" i="7"/>
  <c r="AR230" i="7"/>
  <c r="AR334" i="7"/>
  <c r="AR335" i="7" s="1"/>
  <c r="Q257" i="7"/>
  <c r="Q625" i="7"/>
  <c r="X219" i="7"/>
  <c r="AA301" i="7"/>
  <c r="AA302" i="7" s="1"/>
  <c r="Q526" i="7"/>
  <c r="R163" i="7"/>
  <c r="R179" i="7" s="1"/>
  <c r="R443" i="7"/>
  <c r="S230" i="7"/>
  <c r="U364" i="7"/>
  <c r="U365" i="7" s="1"/>
  <c r="X178" i="7"/>
  <c r="X198" i="7"/>
  <c r="X199" i="7" s="1"/>
  <c r="Y178" i="7"/>
  <c r="Y179" i="7" s="1"/>
  <c r="Y198" i="7"/>
  <c r="Y199" i="7" s="1"/>
  <c r="Y257" i="7"/>
  <c r="AA443" i="7"/>
  <c r="AC443" i="7"/>
  <c r="AD737" i="7"/>
  <c r="AD738" i="7" s="1"/>
  <c r="AD739" i="7" s="1"/>
  <c r="AD443" i="7"/>
  <c r="AE714" i="7"/>
  <c r="AE219" i="7"/>
  <c r="AE231" i="7" s="1"/>
  <c r="AE232" i="7" s="1"/>
  <c r="AE257" i="7"/>
  <c r="AF737" i="7"/>
  <c r="AF738" i="7" s="1"/>
  <c r="AF739" i="7" s="1"/>
  <c r="AF35" i="7"/>
  <c r="AF102" i="7"/>
  <c r="AF257" i="7"/>
  <c r="AF273" i="7" s="1"/>
  <c r="AF274" i="7" s="1"/>
  <c r="AF502" i="7"/>
  <c r="AF639" i="7"/>
  <c r="AG737" i="7"/>
  <c r="AG738" i="7" s="1"/>
  <c r="AG739" i="7" s="1"/>
  <c r="AG35" i="7"/>
  <c r="AG65" i="7" s="1"/>
  <c r="AG66" i="7" s="1"/>
  <c r="AG301" i="7"/>
  <c r="AG302" i="7" s="1"/>
  <c r="AG364" i="7"/>
  <c r="AG365" i="7" s="1"/>
  <c r="AH737" i="7"/>
  <c r="AH738" i="7" s="1"/>
  <c r="AH739" i="7" s="1"/>
  <c r="AH301" i="7"/>
  <c r="AH302" i="7" s="1"/>
  <c r="AH443" i="7"/>
  <c r="AI230" i="7"/>
  <c r="AI272" i="7"/>
  <c r="AI425" i="7"/>
  <c r="AI443" i="7"/>
  <c r="AI526" i="7"/>
  <c r="AJ388" i="7"/>
  <c r="AK714" i="7"/>
  <c r="AK721" i="7" s="1"/>
  <c r="AK722" i="7" s="1"/>
  <c r="AK425" i="7"/>
  <c r="AP625" i="7"/>
  <c r="AR219" i="7"/>
  <c r="AR231" i="7" s="1"/>
  <c r="AR232" i="7" s="1"/>
  <c r="AR388" i="7"/>
  <c r="Q35" i="7"/>
  <c r="S219" i="7"/>
  <c r="S231" i="7" s="1"/>
  <c r="S232" i="7" s="1"/>
  <c r="S257" i="7"/>
  <c r="T272" i="7"/>
  <c r="U198" i="7"/>
  <c r="V714" i="7"/>
  <c r="V721" i="7" s="1"/>
  <c r="V722" i="7" s="1"/>
  <c r="V219" i="7"/>
  <c r="V502" i="7"/>
  <c r="X425" i="7"/>
  <c r="Z272" i="7"/>
  <c r="AB219" i="7"/>
  <c r="AB301" i="7"/>
  <c r="AB302" i="7" s="1"/>
  <c r="AE502" i="7"/>
  <c r="AG163" i="7"/>
  <c r="AH502" i="7"/>
  <c r="AJ334" i="7"/>
  <c r="AJ335" i="7" s="1"/>
  <c r="AJ364" i="7"/>
  <c r="AJ365" i="7" s="1"/>
  <c r="AY667" i="7"/>
  <c r="BC526" i="7"/>
  <c r="CA625" i="7"/>
  <c r="CT695" i="7"/>
  <c r="CT462" i="7"/>
  <c r="CT713" i="7"/>
  <c r="CT557" i="7"/>
  <c r="AL230" i="7"/>
  <c r="AM702" i="7"/>
  <c r="AM667" i="7"/>
  <c r="AN257" i="7"/>
  <c r="AN334" i="7"/>
  <c r="AN335" i="7" s="1"/>
  <c r="AN425" i="7"/>
  <c r="AN625" i="7"/>
  <c r="AO301" i="7"/>
  <c r="AO302" i="7" s="1"/>
  <c r="AP219" i="7"/>
  <c r="AP364" i="7"/>
  <c r="AP365" i="7" s="1"/>
  <c r="AP463" i="7"/>
  <c r="AQ463" i="7"/>
  <c r="AS526" i="7"/>
  <c r="AU230" i="7"/>
  <c r="AU231" i="7" s="1"/>
  <c r="AU232" i="7" s="1"/>
  <c r="AV502" i="7"/>
  <c r="AW198" i="7"/>
  <c r="AW364" i="7"/>
  <c r="AW365" i="7" s="1"/>
  <c r="AW502" i="7"/>
  <c r="AX163" i="7"/>
  <c r="AX179" i="7" s="1"/>
  <c r="AY230" i="7"/>
  <c r="BB198" i="7"/>
  <c r="BB199" i="7" s="1"/>
  <c r="BC178" i="7"/>
  <c r="BC179" i="7" s="1"/>
  <c r="BC425" i="7"/>
  <c r="BD102" i="7"/>
  <c r="BD103" i="7" s="1"/>
  <c r="BD178" i="7"/>
  <c r="BD230" i="7"/>
  <c r="BD231" i="7" s="1"/>
  <c r="BD232" i="7" s="1"/>
  <c r="BF737" i="7"/>
  <c r="BF738" i="7" s="1"/>
  <c r="BF739" i="7" s="1"/>
  <c r="BF102" i="7"/>
  <c r="BF103" i="7" s="1"/>
  <c r="BG737" i="7"/>
  <c r="BG738" i="7" s="1"/>
  <c r="BG739" i="7" s="1"/>
  <c r="BG443" i="7"/>
  <c r="BI102" i="7"/>
  <c r="BI443" i="7"/>
  <c r="BJ714" i="7"/>
  <c r="BJ35" i="7"/>
  <c r="BJ65" i="7" s="1"/>
  <c r="BJ66" i="7" s="1"/>
  <c r="BK178" i="7"/>
  <c r="BL301" i="7"/>
  <c r="BL302" i="7" s="1"/>
  <c r="BM102" i="7"/>
  <c r="BM103" i="7" s="1"/>
  <c r="BM257" i="7"/>
  <c r="BN737" i="7"/>
  <c r="BN738" i="7" s="1"/>
  <c r="BN739" i="7" s="1"/>
  <c r="BN502" i="7"/>
  <c r="BN667" i="7"/>
  <c r="BO35" i="7"/>
  <c r="BO65" i="7" s="1"/>
  <c r="BO66" i="7" s="1"/>
  <c r="BO334" i="7"/>
  <c r="BO335" i="7" s="1"/>
  <c r="BO364" i="7"/>
  <c r="BO365" i="7" s="1"/>
  <c r="BO625" i="7"/>
  <c r="BP35" i="7"/>
  <c r="BP65" i="7" s="1"/>
  <c r="BP66" i="7" s="1"/>
  <c r="BP102" i="7"/>
  <c r="BP103" i="7" s="1"/>
  <c r="BQ199" i="7"/>
  <c r="BQ219" i="7"/>
  <c r="BS625" i="7"/>
  <c r="BS667" i="7"/>
  <c r="BT737" i="7"/>
  <c r="BT738" i="7" s="1"/>
  <c r="BT739" i="7" s="1"/>
  <c r="BV702" i="7"/>
  <c r="BW257" i="7"/>
  <c r="BW388" i="7"/>
  <c r="CA272" i="7"/>
  <c r="CA463" i="7"/>
  <c r="CC178" i="7"/>
  <c r="CF702" i="7"/>
  <c r="CK35" i="7"/>
  <c r="CK102" i="7"/>
  <c r="CK103" i="7" s="1"/>
  <c r="CM102" i="7"/>
  <c r="CM103" i="7" s="1"/>
  <c r="CO257" i="7"/>
  <c r="CP388" i="7"/>
  <c r="CR230" i="7"/>
  <c r="CT729" i="7"/>
  <c r="CT521" i="7"/>
  <c r="CT214" i="7"/>
  <c r="CT40" i="7"/>
  <c r="CF142" i="7"/>
  <c r="CT748" i="7"/>
  <c r="CT630" i="7"/>
  <c r="CT177" i="7"/>
  <c r="CT89" i="7"/>
  <c r="CT30" i="7"/>
  <c r="AK178" i="7"/>
  <c r="AK334" i="7"/>
  <c r="AK335" i="7" s="1"/>
  <c r="AK388" i="7"/>
  <c r="AL35" i="7"/>
  <c r="AN230" i="7"/>
  <c r="AN388" i="7"/>
  <c r="AN526" i="7"/>
  <c r="AO199" i="7"/>
  <c r="AO272" i="7"/>
  <c r="AP35" i="7"/>
  <c r="AP65" i="7" s="1"/>
  <c r="AP66" i="7" s="1"/>
  <c r="AP102" i="7"/>
  <c r="AP443" i="7"/>
  <c r="AQ737" i="7"/>
  <c r="AQ738" i="7" s="1"/>
  <c r="AQ739" i="7" s="1"/>
  <c r="AS102" i="7"/>
  <c r="AS103" i="7" s="1"/>
  <c r="AT388" i="7"/>
  <c r="AU463" i="7"/>
  <c r="AV257" i="7"/>
  <c r="AV425" i="7"/>
  <c r="AW102" i="7"/>
  <c r="AX526" i="7"/>
  <c r="AX536" i="7" s="1"/>
  <c r="AX537" i="7" s="1"/>
  <c r="AY257" i="7"/>
  <c r="AZ257" i="7"/>
  <c r="AZ526" i="7"/>
  <c r="BB178" i="7"/>
  <c r="BC230" i="7"/>
  <c r="BC334" i="7"/>
  <c r="BC335" i="7" s="1"/>
  <c r="BC388" i="7"/>
  <c r="BC470" i="7" s="1"/>
  <c r="BC471" i="7" s="1"/>
  <c r="BD364" i="7"/>
  <c r="BD365" i="7" s="1"/>
  <c r="BE502" i="7"/>
  <c r="BF198" i="7"/>
  <c r="BF301" i="7"/>
  <c r="BF302" i="7" s="1"/>
  <c r="BF348" i="7" s="1"/>
  <c r="BF388" i="7"/>
  <c r="BG702" i="7"/>
  <c r="BG35" i="7"/>
  <c r="BG364" i="7"/>
  <c r="BG365" i="7" s="1"/>
  <c r="BH198" i="7"/>
  <c r="BH199" i="7" s="1"/>
  <c r="BI364" i="7"/>
  <c r="BI365" i="7" s="1"/>
  <c r="BI463" i="7"/>
  <c r="BJ301" i="7"/>
  <c r="BJ302" i="7" s="1"/>
  <c r="BL714" i="7"/>
  <c r="BL219" i="7"/>
  <c r="BL257" i="7"/>
  <c r="BL443" i="7"/>
  <c r="BM178" i="7"/>
  <c r="BM179" i="7" s="1"/>
  <c r="BM198" i="7"/>
  <c r="BM199" i="7" s="1"/>
  <c r="BM463" i="7"/>
  <c r="BM667" i="7"/>
  <c r="BM676" i="7" s="1"/>
  <c r="BM677" i="7" s="1"/>
  <c r="BO163" i="7"/>
  <c r="BP178" i="7"/>
  <c r="BP230" i="7"/>
  <c r="BP257" i="7"/>
  <c r="BP273" i="7" s="1"/>
  <c r="BP274" i="7" s="1"/>
  <c r="BP502" i="7"/>
  <c r="BQ334" i="7"/>
  <c r="BQ335" i="7" s="1"/>
  <c r="BR35" i="7"/>
  <c r="BR425" i="7"/>
  <c r="BR443" i="7"/>
  <c r="BR667" i="7"/>
  <c r="BU443" i="7"/>
  <c r="BV388" i="7"/>
  <c r="BV470" i="7" s="1"/>
  <c r="BV471" i="7" s="1"/>
  <c r="BV667" i="7"/>
  <c r="BZ178" i="7"/>
  <c r="BZ334" i="7"/>
  <c r="BZ335" i="7" s="1"/>
  <c r="CA163" i="7"/>
  <c r="CA179" i="7" s="1"/>
  <c r="CB198" i="7"/>
  <c r="CE35" i="7"/>
  <c r="CO178" i="7"/>
  <c r="CP702" i="7"/>
  <c r="CP721" i="7" s="1"/>
  <c r="CP722" i="7" s="1"/>
  <c r="CV600" i="7"/>
  <c r="CV613" i="7"/>
  <c r="CV508" i="7"/>
  <c r="CT650" i="7"/>
  <c r="CT453" i="7"/>
  <c r="CU141" i="7"/>
  <c r="AK301" i="7"/>
  <c r="AK302" i="7" s="1"/>
  <c r="AK443" i="7"/>
  <c r="AK470" i="7" s="1"/>
  <c r="AK471" i="7" s="1"/>
  <c r="AK625" i="7"/>
  <c r="AL198" i="7"/>
  <c r="AL199" i="7" s="1"/>
  <c r="AL388" i="7"/>
  <c r="AM425" i="7"/>
  <c r="AM470" i="7" s="1"/>
  <c r="AM471" i="7" s="1"/>
  <c r="AM443" i="7"/>
  <c r="AM526" i="7"/>
  <c r="AN219" i="7"/>
  <c r="AP257" i="7"/>
  <c r="AP273" i="7" s="1"/>
  <c r="AP274" i="7" s="1"/>
  <c r="AP301" i="7"/>
  <c r="AP302" i="7" s="1"/>
  <c r="AP334" i="7"/>
  <c r="AP335" i="7" s="1"/>
  <c r="AP425" i="7"/>
  <c r="AP526" i="7"/>
  <c r="AQ257" i="7"/>
  <c r="AQ667" i="7"/>
  <c r="AR702" i="7"/>
  <c r="AR178" i="7"/>
  <c r="AR179" i="7" s="1"/>
  <c r="AR272" i="7"/>
  <c r="AR443" i="7"/>
  <c r="AR463" i="7"/>
  <c r="AR470" i="7" s="1"/>
  <c r="AR471" i="7" s="1"/>
  <c r="AR526" i="7"/>
  <c r="AR625" i="7"/>
  <c r="AS667" i="7"/>
  <c r="AT301" i="7"/>
  <c r="AT302" i="7" s="1"/>
  <c r="AT463" i="7"/>
  <c r="AT470" i="7" s="1"/>
  <c r="AT471" i="7" s="1"/>
  <c r="AU702" i="7"/>
  <c r="AU714" i="7"/>
  <c r="AU163" i="7"/>
  <c r="AU179" i="7" s="1"/>
  <c r="AV388" i="7"/>
  <c r="AV470" i="7" s="1"/>
  <c r="AV471" i="7" s="1"/>
  <c r="AW443" i="7"/>
  <c r="AW625" i="7"/>
  <c r="AX35" i="7"/>
  <c r="AX65" i="7" s="1"/>
  <c r="AX66" i="7" s="1"/>
  <c r="AX257" i="7"/>
  <c r="AX301" i="7"/>
  <c r="AX302" i="7" s="1"/>
  <c r="AY702" i="7"/>
  <c r="AY425" i="7"/>
  <c r="AZ35" i="7"/>
  <c r="AZ65" i="7" s="1"/>
  <c r="AZ66" i="7" s="1"/>
  <c r="AZ102" i="7"/>
  <c r="AZ103" i="7" s="1"/>
  <c r="AZ178" i="7"/>
  <c r="AZ230" i="7"/>
  <c r="AZ364" i="7"/>
  <c r="AZ365" i="7" s="1"/>
  <c r="BC364" i="7"/>
  <c r="BC365" i="7" s="1"/>
  <c r="BC463" i="7"/>
  <c r="BD425" i="7"/>
  <c r="BD526" i="7"/>
  <c r="BD536" i="7" s="1"/>
  <c r="BD537" i="7" s="1"/>
  <c r="BE301" i="7"/>
  <c r="BE302" i="7" s="1"/>
  <c r="BF639" i="7"/>
  <c r="BG301" i="7"/>
  <c r="BG302" i="7" s="1"/>
  <c r="BH737" i="7"/>
  <c r="BH738" i="7" s="1"/>
  <c r="BH739" i="7" s="1"/>
  <c r="BI219" i="7"/>
  <c r="BI257" i="7"/>
  <c r="BI301" i="7"/>
  <c r="BI302" i="7" s="1"/>
  <c r="BJ272" i="7"/>
  <c r="BJ273" i="7" s="1"/>
  <c r="BJ274" i="7" s="1"/>
  <c r="BJ502" i="7"/>
  <c r="BK714" i="7"/>
  <c r="BK334" i="7"/>
  <c r="BK335" i="7" s="1"/>
  <c r="BK348" i="7" s="1"/>
  <c r="BL102" i="7"/>
  <c r="BL103" i="7" s="1"/>
  <c r="BL425" i="7"/>
  <c r="BN714" i="7"/>
  <c r="BO102" i="7"/>
  <c r="BO103" i="7" s="1"/>
  <c r="BO443" i="7"/>
  <c r="BO470" i="7" s="1"/>
  <c r="BO471" i="7" s="1"/>
  <c r="BP702" i="7"/>
  <c r="BP334" i="7"/>
  <c r="BP335" i="7" s="1"/>
  <c r="BP388" i="7"/>
  <c r="BP639" i="7"/>
  <c r="BP676" i="7" s="1"/>
  <c r="BP677" i="7" s="1"/>
  <c r="BQ737" i="7"/>
  <c r="BQ738" i="7" s="1"/>
  <c r="BQ739" i="7" s="1"/>
  <c r="BQ230" i="7"/>
  <c r="BQ301" i="7"/>
  <c r="BQ302" i="7" s="1"/>
  <c r="BT102" i="7"/>
  <c r="BT163" i="7"/>
  <c r="BT219" i="7"/>
  <c r="BT625" i="7"/>
  <c r="BU272" i="7"/>
  <c r="BV334" i="7"/>
  <c r="BV335" i="7" s="1"/>
  <c r="BX122" i="7"/>
  <c r="BX123" i="7" s="1"/>
  <c r="BX178" i="7"/>
  <c r="BX179" i="7" s="1"/>
  <c r="BX198" i="7"/>
  <c r="BX199" i="7" s="1"/>
  <c r="BX200" i="7" s="1"/>
  <c r="BX257" i="7"/>
  <c r="CB178" i="7"/>
  <c r="CD163" i="7"/>
  <c r="CG714" i="7"/>
  <c r="CG721" i="7" s="1"/>
  <c r="CG722" i="7" s="1"/>
  <c r="CG198" i="7"/>
  <c r="CG199" i="7" s="1"/>
  <c r="CH443" i="7"/>
  <c r="CK425" i="7"/>
  <c r="CM714" i="7"/>
  <c r="CM721" i="7" s="1"/>
  <c r="CM722" i="7" s="1"/>
  <c r="CM257" i="7"/>
  <c r="CN102" i="7"/>
  <c r="CN103" i="7" s="1"/>
  <c r="CO443" i="7"/>
  <c r="CQ272" i="7"/>
  <c r="CQ301" i="7"/>
  <c r="CQ302" i="7" s="1"/>
  <c r="CR502" i="7"/>
  <c r="CR526" i="7"/>
  <c r="CR536" i="7" s="1"/>
  <c r="CR537" i="7" s="1"/>
  <c r="CS714" i="7"/>
  <c r="CT638" i="7"/>
  <c r="CU576" i="7"/>
  <c r="CU590" i="7"/>
  <c r="CU600" i="7"/>
  <c r="CU613" i="7"/>
  <c r="CU661" i="7"/>
  <c r="CU491" i="7"/>
  <c r="CT442" i="7"/>
  <c r="CT457" i="7"/>
  <c r="BR163" i="7"/>
  <c r="BR219" i="7"/>
  <c r="BR388" i="7"/>
  <c r="BR502" i="7"/>
  <c r="BS219" i="7"/>
  <c r="BT198" i="7"/>
  <c r="BT199" i="7" s="1"/>
  <c r="BT257" i="7"/>
  <c r="BT273" i="7" s="1"/>
  <c r="BT274" i="7" s="1"/>
  <c r="BT388" i="7"/>
  <c r="BT526" i="7"/>
  <c r="BT667" i="7"/>
  <c r="BU257" i="7"/>
  <c r="BU273" i="7" s="1"/>
  <c r="BU274" i="7" s="1"/>
  <c r="BU425" i="7"/>
  <c r="BU526" i="7"/>
  <c r="BU667" i="7"/>
  <c r="BV219" i="7"/>
  <c r="BV639" i="7"/>
  <c r="BW219" i="7"/>
  <c r="BX35" i="7"/>
  <c r="BX65" i="7" s="1"/>
  <c r="BX66" i="7" s="1"/>
  <c r="BX219" i="7"/>
  <c r="BX231" i="7" s="1"/>
  <c r="BX232" i="7" s="1"/>
  <c r="BX443" i="7"/>
  <c r="BZ737" i="7"/>
  <c r="BZ738" i="7" s="1"/>
  <c r="BZ739" i="7" s="1"/>
  <c r="BZ301" i="7"/>
  <c r="BZ302" i="7" s="1"/>
  <c r="CA443" i="7"/>
  <c r="CB230" i="7"/>
  <c r="CC714" i="7"/>
  <c r="CC301" i="7"/>
  <c r="CC302" i="7" s="1"/>
  <c r="CC348" i="7" s="1"/>
  <c r="CC443" i="7"/>
  <c r="CC470" i="7" s="1"/>
  <c r="CC471" i="7" s="1"/>
  <c r="CD714" i="7"/>
  <c r="CD502" i="7"/>
  <c r="CF463" i="7"/>
  <c r="CG178" i="7"/>
  <c r="CH102" i="7"/>
  <c r="CH103" i="7" s="1"/>
  <c r="CH257" i="7"/>
  <c r="CI230" i="7"/>
  <c r="CI425" i="7"/>
  <c r="CI502" i="7"/>
  <c r="CI526" i="7"/>
  <c r="CJ443" i="7"/>
  <c r="CK163" i="7"/>
  <c r="CK364" i="7"/>
  <c r="CK365" i="7" s="1"/>
  <c r="CL230" i="7"/>
  <c r="CL334" i="7"/>
  <c r="CL335" i="7" s="1"/>
  <c r="CL348" i="7" s="1"/>
  <c r="CL388" i="7"/>
  <c r="CL463" i="7"/>
  <c r="CM425" i="7"/>
  <c r="CM526" i="7"/>
  <c r="CO463" i="7"/>
  <c r="CO526" i="7"/>
  <c r="CP737" i="7"/>
  <c r="CP738" i="7" s="1"/>
  <c r="CP739" i="7" s="1"/>
  <c r="CP102" i="7"/>
  <c r="CP103" i="7" s="1"/>
  <c r="CP230" i="7"/>
  <c r="CP334" i="7"/>
  <c r="CP335" i="7" s="1"/>
  <c r="CQ198" i="7"/>
  <c r="CR35" i="7"/>
  <c r="CR272" i="7"/>
  <c r="CR301" i="7"/>
  <c r="CR302" i="7" s="1"/>
  <c r="CV674" i="7"/>
  <c r="CV675" i="7" s="1"/>
  <c r="CU256" i="7"/>
  <c r="CT606" i="7"/>
  <c r="CT525" i="7"/>
  <c r="CT218" i="7"/>
  <c r="AB142" i="7"/>
  <c r="CT691" i="7"/>
  <c r="CT634" i="7"/>
  <c r="CT666" i="7"/>
  <c r="CU563" i="7"/>
  <c r="CU606" i="7"/>
  <c r="CT501" i="7"/>
  <c r="CT424" i="7"/>
  <c r="CU291" i="7"/>
  <c r="CU229" i="7"/>
  <c r="CU230" i="7" s="1"/>
  <c r="CU231" i="7" s="1"/>
  <c r="CU232" i="7" s="1"/>
  <c r="G8" i="10" s="1"/>
  <c r="BP198" i="7"/>
  <c r="BP219" i="7"/>
  <c r="BP301" i="7"/>
  <c r="BP302" i="7" s="1"/>
  <c r="BP348" i="7" s="1"/>
  <c r="BQ102" i="7"/>
  <c r="BQ178" i="7"/>
  <c r="BR102" i="7"/>
  <c r="BR103" i="7" s="1"/>
  <c r="BR178" i="7"/>
  <c r="BR179" i="7" s="1"/>
  <c r="BR230" i="7"/>
  <c r="BR463" i="7"/>
  <c r="BS737" i="7"/>
  <c r="BS738" i="7" s="1"/>
  <c r="BS739" i="7" s="1"/>
  <c r="BS443" i="7"/>
  <c r="BS526" i="7"/>
  <c r="BT178" i="7"/>
  <c r="BT230" i="7"/>
  <c r="BT334" i="7"/>
  <c r="BT335" i="7" s="1"/>
  <c r="BT348" i="7" s="1"/>
  <c r="BT364" i="7"/>
  <c r="BT365" i="7" s="1"/>
  <c r="BT463" i="7"/>
  <c r="BU163" i="7"/>
  <c r="BU198" i="7"/>
  <c r="BU199" i="7" s="1"/>
  <c r="BU388" i="7"/>
  <c r="BU502" i="7"/>
  <c r="BV714" i="7"/>
  <c r="BV198" i="7"/>
  <c r="BV199" i="7" s="1"/>
  <c r="BW35" i="7"/>
  <c r="BW65" i="7" s="1"/>
  <c r="BW66" i="7" s="1"/>
  <c r="BW301" i="7"/>
  <c r="BW302" i="7" s="1"/>
  <c r="BW443" i="7"/>
  <c r="BW502" i="7"/>
  <c r="BX702" i="7"/>
  <c r="BX721" i="7" s="1"/>
  <c r="BX722" i="7" s="1"/>
  <c r="BX163" i="7"/>
  <c r="BX463" i="7"/>
  <c r="BY102" i="7"/>
  <c r="BY103" i="7" s="1"/>
  <c r="BY163" i="7"/>
  <c r="BY301" i="7"/>
  <c r="BY302" i="7" s="1"/>
  <c r="BY463" i="7"/>
  <c r="BZ102" i="7"/>
  <c r="BZ103" i="7" s="1"/>
  <c r="BZ502" i="7"/>
  <c r="BZ536" i="7" s="1"/>
  <c r="BZ537" i="7" s="1"/>
  <c r="CA502" i="7"/>
  <c r="CB272" i="7"/>
  <c r="CB301" i="7"/>
  <c r="CB302" i="7" s="1"/>
  <c r="CB443" i="7"/>
  <c r="CC198" i="7"/>
  <c r="CC219" i="7"/>
  <c r="CC257" i="7"/>
  <c r="CC502" i="7"/>
  <c r="CC536" i="7" s="1"/>
  <c r="CC537" i="7" s="1"/>
  <c r="CD702" i="7"/>
  <c r="CD198" i="7"/>
  <c r="CD443" i="7"/>
  <c r="CE737" i="7"/>
  <c r="CE738" i="7" s="1"/>
  <c r="CE739" i="7" s="1"/>
  <c r="CF737" i="7"/>
  <c r="CF738" i="7" s="1"/>
  <c r="CF739" i="7" s="1"/>
  <c r="CF364" i="7"/>
  <c r="CF365" i="7" s="1"/>
  <c r="CG463" i="7"/>
  <c r="CH35" i="7"/>
  <c r="CH65" i="7" s="1"/>
  <c r="CH66" i="7" s="1"/>
  <c r="CH122" i="7"/>
  <c r="CH123" i="7" s="1"/>
  <c r="CH364" i="7"/>
  <c r="CH365" i="7" s="1"/>
  <c r="CH463" i="7"/>
  <c r="CJ35" i="7"/>
  <c r="CJ65" i="7" s="1"/>
  <c r="CJ66" i="7" s="1"/>
  <c r="CJ163" i="7"/>
  <c r="CJ388" i="7"/>
  <c r="CK463" i="7"/>
  <c r="CK502" i="7"/>
  <c r="CL301" i="7"/>
  <c r="CL302" i="7" s="1"/>
  <c r="CM702" i="7"/>
  <c r="CM163" i="7"/>
  <c r="CM230" i="7"/>
  <c r="CM231" i="7" s="1"/>
  <c r="CM232" i="7" s="1"/>
  <c r="CO35" i="7"/>
  <c r="CO102" i="7"/>
  <c r="CP35" i="7"/>
  <c r="CP65" i="7" s="1"/>
  <c r="CP66" i="7" s="1"/>
  <c r="CP219" i="7"/>
  <c r="CP443" i="7"/>
  <c r="CQ737" i="7"/>
  <c r="CQ738" i="7" s="1"/>
  <c r="CQ739" i="7" s="1"/>
  <c r="CQ163" i="7"/>
  <c r="CQ502" i="7"/>
  <c r="CQ536" i="7" s="1"/>
  <c r="CQ537" i="7" s="1"/>
  <c r="CQ639" i="7"/>
  <c r="CR702" i="7"/>
  <c r="CR425" i="7"/>
  <c r="CS737" i="7"/>
  <c r="CS738" i="7" s="1"/>
  <c r="CS739" i="7" s="1"/>
  <c r="CS102" i="7"/>
  <c r="CS103" i="7" s="1"/>
  <c r="CS230" i="7"/>
  <c r="CS425" i="7"/>
  <c r="CS526" i="7"/>
  <c r="CS536" i="7" s="1"/>
  <c r="CS537" i="7" s="1"/>
  <c r="CV556" i="7"/>
  <c r="CV557" i="7" s="1"/>
  <c r="CV595" i="7"/>
  <c r="CV656" i="7"/>
  <c r="CV442" i="7"/>
  <c r="CV443" i="7" s="1"/>
  <c r="CV449" i="7"/>
  <c r="CV141" i="7"/>
  <c r="CT719" i="7"/>
  <c r="CT479" i="7"/>
  <c r="CT497" i="7"/>
  <c r="CT362" i="7"/>
  <c r="CT291" i="7"/>
  <c r="CT263" i="7"/>
  <c r="CT224" i="7"/>
  <c r="CT193" i="7"/>
  <c r="CT570" i="7"/>
  <c r="CT582" i="7"/>
  <c r="CT600" i="7"/>
  <c r="CU556" i="7"/>
  <c r="CU557" i="7" s="1"/>
  <c r="CU595" i="7"/>
  <c r="CU666" i="7"/>
  <c r="CT544" i="7"/>
  <c r="CT449" i="7"/>
  <c r="CT468" i="7"/>
  <c r="CT120" i="7"/>
  <c r="CT34" i="7"/>
  <c r="AA502" i="7"/>
  <c r="U667" i="7"/>
  <c r="Q230" i="7"/>
  <c r="Q334" i="7"/>
  <c r="Q335" i="7" s="1"/>
  <c r="R102" i="7"/>
  <c r="R103" i="7" s="1"/>
  <c r="R272" i="7"/>
  <c r="R273" i="7" s="1"/>
  <c r="R274" i="7" s="1"/>
  <c r="R334" i="7"/>
  <c r="R335" i="7" s="1"/>
  <c r="S425" i="7"/>
  <c r="S667" i="7"/>
  <c r="T163" i="7"/>
  <c r="U625" i="7"/>
  <c r="V102" i="7"/>
  <c r="V103" i="7" s="1"/>
  <c r="V272" i="7"/>
  <c r="W301" i="7"/>
  <c r="W302" i="7" s="1"/>
  <c r="X301" i="7"/>
  <c r="X302" i="7" s="1"/>
  <c r="Y272" i="7"/>
  <c r="Z257" i="7"/>
  <c r="AB122" i="7"/>
  <c r="AB123" i="7" s="1"/>
  <c r="AB198" i="7"/>
  <c r="AC526" i="7"/>
  <c r="AD714" i="7"/>
  <c r="AE737" i="7"/>
  <c r="AE738" i="7" s="1"/>
  <c r="AE739" i="7" s="1"/>
  <c r="AK364" i="7"/>
  <c r="AK365" i="7" s="1"/>
  <c r="Q714" i="7"/>
  <c r="Q163" i="7"/>
  <c r="Q219" i="7"/>
  <c r="Q463" i="7"/>
  <c r="Q470" i="7" s="1"/>
  <c r="Q471" i="7" s="1"/>
  <c r="Q502" i="7"/>
  <c r="S714" i="7"/>
  <c r="S163" i="7"/>
  <c r="S272" i="7"/>
  <c r="S273" i="7" s="1"/>
  <c r="S274" i="7" s="1"/>
  <c r="T178" i="7"/>
  <c r="T198" i="7"/>
  <c r="T199" i="7" s="1"/>
  <c r="T257" i="7"/>
  <c r="Z163" i="7"/>
  <c r="AA122" i="7"/>
  <c r="AA123" i="7" s="1"/>
  <c r="AD178" i="7"/>
  <c r="AD257" i="7"/>
  <c r="AE122" i="7"/>
  <c r="AE123" i="7" s="1"/>
  <c r="AG667" i="7"/>
  <c r="AH65" i="7"/>
  <c r="AH66" i="7" s="1"/>
  <c r="AI199" i="7"/>
  <c r="AQ364" i="7"/>
  <c r="AQ365" i="7" s="1"/>
  <c r="BH625" i="7"/>
  <c r="BR526" i="7"/>
  <c r="BR536" i="7" s="1"/>
  <c r="BR537" i="7" s="1"/>
  <c r="BS273" i="7"/>
  <c r="BS274" i="7" s="1"/>
  <c r="CV77" i="7"/>
  <c r="CV78" i="7" s="1"/>
  <c r="CV79" i="7" s="1"/>
  <c r="CV80" i="7" s="1"/>
  <c r="I5" i="10" s="1"/>
  <c r="T502" i="7"/>
  <c r="T625" i="7"/>
  <c r="U178" i="7"/>
  <c r="U230" i="7"/>
  <c r="U334" i="7"/>
  <c r="U335" i="7" s="1"/>
  <c r="U425" i="7"/>
  <c r="V334" i="7"/>
  <c r="V335" i="7" s="1"/>
  <c r="W714" i="7"/>
  <c r="W35" i="7"/>
  <c r="W219" i="7"/>
  <c r="W231" i="7" s="1"/>
  <c r="W232" i="7" s="1"/>
  <c r="W425" i="7"/>
  <c r="X272" i="7"/>
  <c r="X334" i="7"/>
  <c r="X335" i="7" s="1"/>
  <c r="X364" i="7"/>
  <c r="X365" i="7" s="1"/>
  <c r="X388" i="7"/>
  <c r="AA219" i="7"/>
  <c r="AA334" i="7"/>
  <c r="AA335" i="7" s="1"/>
  <c r="AA425" i="7"/>
  <c r="AB737" i="7"/>
  <c r="AB738" i="7" s="1"/>
  <c r="AB739" i="7" s="1"/>
  <c r="AB178" i="7"/>
  <c r="AB334" i="7"/>
  <c r="AB335" i="7" s="1"/>
  <c r="AB388" i="7"/>
  <c r="AB667" i="7"/>
  <c r="AC301" i="7"/>
  <c r="AC302" i="7" s="1"/>
  <c r="AC364" i="7"/>
  <c r="AC365" i="7" s="1"/>
  <c r="AC425" i="7"/>
  <c r="AC502" i="7"/>
  <c r="AC536" i="7" s="1"/>
  <c r="AC537" i="7" s="1"/>
  <c r="AD198" i="7"/>
  <c r="AD199" i="7" s="1"/>
  <c r="AD230" i="7"/>
  <c r="AD463" i="7"/>
  <c r="AE702" i="7"/>
  <c r="AE721" i="7" s="1"/>
  <c r="AE722" i="7" s="1"/>
  <c r="AE178" i="7"/>
  <c r="AE179" i="7" s="1"/>
  <c r="AE443" i="7"/>
  <c r="AF702" i="7"/>
  <c r="AF721" i="7" s="1"/>
  <c r="AF722" i="7" s="1"/>
  <c r="AF625" i="7"/>
  <c r="AG198" i="7"/>
  <c r="AG230" i="7"/>
  <c r="AG463" i="7"/>
  <c r="AH272" i="7"/>
  <c r="AH334" i="7"/>
  <c r="AH335" i="7" s="1"/>
  <c r="AH463" i="7"/>
  <c r="AI163" i="7"/>
  <c r="AI219" i="7"/>
  <c r="AI231" i="7" s="1"/>
  <c r="AI232" i="7" s="1"/>
  <c r="AI257" i="7"/>
  <c r="AI301" i="7"/>
  <c r="AI302" i="7" s="1"/>
  <c r="AI388" i="7"/>
  <c r="AI502" i="7"/>
  <c r="AI536" i="7" s="1"/>
  <c r="AI537" i="7" s="1"/>
  <c r="AI667" i="7"/>
  <c r="AJ714" i="7"/>
  <c r="AJ35" i="7"/>
  <c r="AJ230" i="7"/>
  <c r="AJ231" i="7" s="1"/>
  <c r="AJ232" i="7" s="1"/>
  <c r="AJ272" i="7"/>
  <c r="AJ425" i="7"/>
  <c r="AJ443" i="7"/>
  <c r="AJ526" i="7"/>
  <c r="AK163" i="7"/>
  <c r="AK179" i="7" s="1"/>
  <c r="AK272" i="7"/>
  <c r="AL219" i="7"/>
  <c r="AL425" i="7"/>
  <c r="AL470" i="7" s="1"/>
  <c r="AL471" i="7" s="1"/>
  <c r="AL526" i="7"/>
  <c r="AM737" i="7"/>
  <c r="AM738" i="7" s="1"/>
  <c r="AM739" i="7" s="1"/>
  <c r="AM219" i="7"/>
  <c r="AM231" i="7" s="1"/>
  <c r="AM232" i="7" s="1"/>
  <c r="AM301" i="7"/>
  <c r="AM302" i="7" s="1"/>
  <c r="AM388" i="7"/>
  <c r="AM502" i="7"/>
  <c r="AN65" i="7"/>
  <c r="AN66" i="7" s="1"/>
  <c r="AN163" i="7"/>
  <c r="AN179" i="7" s="1"/>
  <c r="AN364" i="7"/>
  <c r="AN365" i="7" s="1"/>
  <c r="AN667" i="7"/>
  <c r="AO35" i="7"/>
  <c r="AO257" i="7"/>
  <c r="AO273" i="7" s="1"/>
  <c r="AO274" i="7" s="1"/>
  <c r="AO364" i="7"/>
  <c r="AO365" i="7" s="1"/>
  <c r="AO463" i="7"/>
  <c r="AQ702" i="7"/>
  <c r="AQ714" i="7"/>
  <c r="AQ721" i="7" s="1"/>
  <c r="AQ722" i="7" s="1"/>
  <c r="AQ35" i="7"/>
  <c r="AQ230" i="7"/>
  <c r="AQ334" i="7"/>
  <c r="AQ335" i="7" s="1"/>
  <c r="AQ348" i="7" s="1"/>
  <c r="AR163" i="7"/>
  <c r="AR257" i="7"/>
  <c r="AR502" i="7"/>
  <c r="AS714" i="7"/>
  <c r="AS272" i="7"/>
  <c r="AS388" i="7"/>
  <c r="AU334" i="7"/>
  <c r="AU335" i="7" s="1"/>
  <c r="AU364" i="7"/>
  <c r="AU365" i="7" s="1"/>
  <c r="AU388" i="7"/>
  <c r="AV219" i="7"/>
  <c r="AX219" i="7"/>
  <c r="AX463" i="7"/>
  <c r="AZ219" i="7"/>
  <c r="AZ231" i="7" s="1"/>
  <c r="AZ232" i="7" s="1"/>
  <c r="T425" i="7"/>
  <c r="Q364" i="7"/>
  <c r="Q365" i="7" s="1"/>
  <c r="Q536" i="7"/>
  <c r="Q537" i="7" s="1"/>
  <c r="Q676" i="7"/>
  <c r="Q677" i="7" s="1"/>
  <c r="R463" i="7"/>
  <c r="R526" i="7"/>
  <c r="S301" i="7"/>
  <c r="S302" i="7" s="1"/>
  <c r="S463" i="7"/>
  <c r="T102" i="7"/>
  <c r="T103" i="7" s="1"/>
  <c r="T219" i="7"/>
  <c r="T334" i="7"/>
  <c r="T335" i="7" s="1"/>
  <c r="T348" i="7" s="1"/>
  <c r="T388" i="7"/>
  <c r="U702" i="7"/>
  <c r="U35" i="7"/>
  <c r="U219" i="7"/>
  <c r="V702" i="7"/>
  <c r="V667" i="7"/>
  <c r="W702" i="7"/>
  <c r="W388" i="7"/>
  <c r="W667" i="7"/>
  <c r="Y219" i="7"/>
  <c r="Y334" i="7"/>
  <c r="Y335" i="7" s="1"/>
  <c r="Y364" i="7"/>
  <c r="Y365" i="7" s="1"/>
  <c r="Z714" i="7"/>
  <c r="Z334" i="7"/>
  <c r="Z335" i="7" s="1"/>
  <c r="Z364" i="7"/>
  <c r="Z365" i="7" s="1"/>
  <c r="AA178" i="7"/>
  <c r="AA388" i="7"/>
  <c r="AA526" i="7"/>
  <c r="AB257" i="7"/>
  <c r="AB463" i="7"/>
  <c r="AB526" i="7"/>
  <c r="AB536" i="7" s="1"/>
  <c r="AB537" i="7" s="1"/>
  <c r="AC388" i="7"/>
  <c r="AD219" i="7"/>
  <c r="AD334" i="7"/>
  <c r="AD335" i="7" s="1"/>
  <c r="AD348" i="7" s="1"/>
  <c r="AD425" i="7"/>
  <c r="AD502" i="7"/>
  <c r="AE425" i="7"/>
  <c r="AF334" i="7"/>
  <c r="AF335" i="7" s="1"/>
  <c r="AF348" i="7" s="1"/>
  <c r="AF425" i="7"/>
  <c r="AH219" i="7"/>
  <c r="AH231" i="7" s="1"/>
  <c r="AH232" i="7" s="1"/>
  <c r="AI702" i="7"/>
  <c r="AI463" i="7"/>
  <c r="AI470" i="7" s="1"/>
  <c r="AI471" i="7" s="1"/>
  <c r="AJ702" i="7"/>
  <c r="AJ257" i="7"/>
  <c r="AJ301" i="7"/>
  <c r="AJ302" i="7" s="1"/>
  <c r="AJ502" i="7"/>
  <c r="AK257" i="7"/>
  <c r="AK273" i="7" s="1"/>
  <c r="AK274" i="7" s="1"/>
  <c r="AK526" i="7"/>
  <c r="AK667" i="7"/>
  <c r="AK676" i="7" s="1"/>
  <c r="AK677" i="7" s="1"/>
  <c r="AL65" i="7"/>
  <c r="AL66" i="7" s="1"/>
  <c r="AL163" i="7"/>
  <c r="AL179" i="7" s="1"/>
  <c r="AL200" i="7" s="1"/>
  <c r="AL301" i="7"/>
  <c r="AL302" i="7" s="1"/>
  <c r="AL502" i="7"/>
  <c r="AL667" i="7"/>
  <c r="AM364" i="7"/>
  <c r="AM365" i="7" s="1"/>
  <c r="AM463" i="7"/>
  <c r="AO702" i="7"/>
  <c r="AO714" i="7"/>
  <c r="AO721" i="7" s="1"/>
  <c r="AO722" i="7" s="1"/>
  <c r="AO178" i="7"/>
  <c r="AO230" i="7"/>
  <c r="AO334" i="7"/>
  <c r="AO335" i="7" s="1"/>
  <c r="AO348" i="7" s="1"/>
  <c r="AQ219" i="7"/>
  <c r="AQ425" i="7"/>
  <c r="AQ443" i="7"/>
  <c r="AQ526" i="7"/>
  <c r="AR737" i="7"/>
  <c r="AR738" i="7" s="1"/>
  <c r="AR739" i="7" s="1"/>
  <c r="AR364" i="7"/>
  <c r="AR365" i="7" s="1"/>
  <c r="AR667" i="7"/>
  <c r="AS702" i="7"/>
  <c r="AS163" i="7"/>
  <c r="AS257" i="7"/>
  <c r="AS364" i="7"/>
  <c r="AS365" i="7" s="1"/>
  <c r="AT364" i="7"/>
  <c r="AT365" i="7" s="1"/>
  <c r="AW463" i="7"/>
  <c r="AW639" i="7"/>
  <c r="AZ702" i="7"/>
  <c r="BC625" i="7"/>
  <c r="BG526" i="7"/>
  <c r="BG625" i="7"/>
  <c r="U526" i="7"/>
  <c r="U536" i="7" s="1"/>
  <c r="U537" i="7" s="1"/>
  <c r="R625" i="7"/>
  <c r="R667" i="7"/>
  <c r="U257" i="7"/>
  <c r="U273" i="7" s="1"/>
  <c r="U274" i="7" s="1"/>
  <c r="U388" i="7"/>
  <c r="U502" i="7"/>
  <c r="W178" i="7"/>
  <c r="W334" i="7"/>
  <c r="W335" i="7" s="1"/>
  <c r="W348" i="7" s="1"/>
  <c r="X714" i="7"/>
  <c r="X257" i="7"/>
  <c r="X463" i="7"/>
  <c r="Q702" i="7"/>
  <c r="Q721" i="7" s="1"/>
  <c r="Q722" i="7" s="1"/>
  <c r="Q102" i="7"/>
  <c r="Q103" i="7" s="1"/>
  <c r="Q178" i="7"/>
  <c r="Q272" i="7"/>
  <c r="Q425" i="7"/>
  <c r="R702" i="7"/>
  <c r="R301" i="7"/>
  <c r="R302" i="7" s="1"/>
  <c r="R425" i="7"/>
  <c r="R502" i="7"/>
  <c r="R536" i="7" s="1"/>
  <c r="R537" i="7" s="1"/>
  <c r="S35" i="7"/>
  <c r="S65" i="7" s="1"/>
  <c r="S66" i="7" s="1"/>
  <c r="S122" i="7"/>
  <c r="S123" i="7" s="1"/>
  <c r="S178" i="7"/>
  <c r="S198" i="7"/>
  <c r="S199" i="7" s="1"/>
  <c r="S443" i="7"/>
  <c r="T702" i="7"/>
  <c r="U301" i="7"/>
  <c r="U302" i="7" s="1"/>
  <c r="U463" i="7"/>
  <c r="V301" i="7"/>
  <c r="V302" i="7" s="1"/>
  <c r="V463" i="7"/>
  <c r="W257" i="7"/>
  <c r="W463" i="7"/>
  <c r="W470" i="7" s="1"/>
  <c r="W471" i="7" s="1"/>
  <c r="W639" i="7"/>
  <c r="X702" i="7"/>
  <c r="X35" i="7"/>
  <c r="X443" i="7"/>
  <c r="X526" i="7"/>
  <c r="Y737" i="7"/>
  <c r="Y738" i="7" s="1"/>
  <c r="Y739" i="7" s="1"/>
  <c r="Y667" i="7"/>
  <c r="Z702" i="7"/>
  <c r="Z35" i="7"/>
  <c r="Z65" i="7" s="1"/>
  <c r="Z66" i="7" s="1"/>
  <c r="AA737" i="7"/>
  <c r="AA738" i="7" s="1"/>
  <c r="AA739" i="7" s="1"/>
  <c r="AA463" i="7"/>
  <c r="AB443" i="7"/>
  <c r="AC737" i="7"/>
  <c r="AC738" i="7" s="1"/>
  <c r="AC739" i="7" s="1"/>
  <c r="AC219" i="7"/>
  <c r="AD702" i="7"/>
  <c r="AD102" i="7"/>
  <c r="AD103" i="7" s="1"/>
  <c r="AD388" i="7"/>
  <c r="AD667" i="7"/>
  <c r="AE272" i="7"/>
  <c r="AE388" i="7"/>
  <c r="AF198" i="7"/>
  <c r="AF199" i="7" s="1"/>
  <c r="AF230" i="7"/>
  <c r="AF388" i="7"/>
  <c r="AG702" i="7"/>
  <c r="AG721" i="7" s="1"/>
  <c r="AG722" i="7" s="1"/>
  <c r="AH702" i="7"/>
  <c r="AH721" i="7" s="1"/>
  <c r="AH722" i="7" s="1"/>
  <c r="AH163" i="7"/>
  <c r="AH425" i="7"/>
  <c r="AH470" i="7" s="1"/>
  <c r="AH471" i="7" s="1"/>
  <c r="AI737" i="7"/>
  <c r="AI738" i="7" s="1"/>
  <c r="AI739" i="7" s="1"/>
  <c r="AI178" i="7"/>
  <c r="AI334" i="7"/>
  <c r="AI335" i="7" s="1"/>
  <c r="AJ737" i="7"/>
  <c r="AJ738" i="7" s="1"/>
  <c r="AJ739" i="7" s="1"/>
  <c r="AJ122" i="7"/>
  <c r="AJ123" i="7" s="1"/>
  <c r="AJ463" i="7"/>
  <c r="AK737" i="7"/>
  <c r="AK738" i="7" s="1"/>
  <c r="AK739" i="7" s="1"/>
  <c r="AK102" i="7"/>
  <c r="AK103" i="7" s="1"/>
  <c r="AK198" i="7"/>
  <c r="AK199" i="7" s="1"/>
  <c r="AL702" i="7"/>
  <c r="AL714" i="7"/>
  <c r="AL463" i="7"/>
  <c r="AL639" i="7"/>
  <c r="AM257" i="7"/>
  <c r="AM334" i="7"/>
  <c r="AM335" i="7" s="1"/>
  <c r="AN102" i="7"/>
  <c r="AN103" i="7" s="1"/>
  <c r="AN272" i="7"/>
  <c r="AN502" i="7"/>
  <c r="AO737" i="7"/>
  <c r="AO738" i="7" s="1"/>
  <c r="AO739" i="7" s="1"/>
  <c r="AO219" i="7"/>
  <c r="AO425" i="7"/>
  <c r="AO470" i="7" s="1"/>
  <c r="AO471" i="7" s="1"/>
  <c r="AO526" i="7"/>
  <c r="AP163" i="7"/>
  <c r="AP272" i="7"/>
  <c r="AP502" i="7"/>
  <c r="AQ272" i="7"/>
  <c r="AQ301" i="7"/>
  <c r="AQ302" i="7" s="1"/>
  <c r="AQ388" i="7"/>
  <c r="AQ502" i="7"/>
  <c r="AR102" i="7"/>
  <c r="AR103" i="7" s="1"/>
  <c r="AS35" i="7"/>
  <c r="AS65" i="7" s="1"/>
  <c r="AS66" i="7" s="1"/>
  <c r="AS178" i="7"/>
  <c r="AS198" i="7"/>
  <c r="AS199" i="7" s="1"/>
  <c r="AS443" i="7"/>
  <c r="AS463" i="7"/>
  <c r="AT35" i="7"/>
  <c r="AT257" i="7"/>
  <c r="AU219" i="7"/>
  <c r="AV702" i="7"/>
  <c r="AV334" i="7"/>
  <c r="AV335" i="7" s="1"/>
  <c r="AV526" i="7"/>
  <c r="AV536" i="7" s="1"/>
  <c r="AV537" i="7" s="1"/>
  <c r="AW526" i="7"/>
  <c r="AW667" i="7"/>
  <c r="AX334" i="7"/>
  <c r="AX335" i="7" s="1"/>
  <c r="AX625" i="7"/>
  <c r="AZ334" i="7"/>
  <c r="AZ335" i="7" s="1"/>
  <c r="AZ625" i="7"/>
  <c r="BA737" i="7"/>
  <c r="BA738" i="7" s="1"/>
  <c r="BA739" i="7" s="1"/>
  <c r="BA198" i="7"/>
  <c r="BA199" i="7" s="1"/>
  <c r="BB667" i="7"/>
  <c r="BE625" i="7"/>
  <c r="BF199" i="7"/>
  <c r="BL526" i="7"/>
  <c r="CT686" i="7"/>
  <c r="CE687" i="7"/>
  <c r="CT698" i="7"/>
  <c r="CH701" i="7"/>
  <c r="CH702" i="7" s="1"/>
  <c r="CH721" i="7" s="1"/>
  <c r="CH722" i="7" s="1"/>
  <c r="CT484" i="7"/>
  <c r="CE485" i="7"/>
  <c r="CT507" i="7"/>
  <c r="CE508" i="7"/>
  <c r="CE526" i="7" s="1"/>
  <c r="CT516" i="7"/>
  <c r="CE517" i="7"/>
  <c r="CT418" i="7"/>
  <c r="CE420" i="7"/>
  <c r="CE425" i="7" s="1"/>
  <c r="CT285" i="7"/>
  <c r="CE286" i="7"/>
  <c r="CT297" i="7"/>
  <c r="CE300" i="7"/>
  <c r="CT319" i="7"/>
  <c r="CE320" i="7"/>
  <c r="CT324" i="7"/>
  <c r="CE327" i="7"/>
  <c r="CE334" i="7" s="1"/>
  <c r="CE335" i="7" s="1"/>
  <c r="CT330" i="7"/>
  <c r="CE333" i="7"/>
  <c r="CT341" i="7"/>
  <c r="CE345" i="7"/>
  <c r="CE346" i="7" s="1"/>
  <c r="CE347" i="7" s="1"/>
  <c r="CT248" i="7"/>
  <c r="CE250" i="7"/>
  <c r="CT254" i="7"/>
  <c r="CE256" i="7"/>
  <c r="CT266" i="7"/>
  <c r="CE267" i="7"/>
  <c r="CT228" i="7"/>
  <c r="CE229" i="7"/>
  <c r="CE230" i="7" s="1"/>
  <c r="CT146" i="7"/>
  <c r="CE151" i="7"/>
  <c r="CT196" i="7"/>
  <c r="CE197" i="7"/>
  <c r="CE198" i="7" s="1"/>
  <c r="CT75" i="7"/>
  <c r="CE77" i="7"/>
  <c r="CE78" i="7" s="1"/>
  <c r="CE79" i="7" s="1"/>
  <c r="CE80" i="7" s="1"/>
  <c r="CT51" i="7"/>
  <c r="CE63" i="7"/>
  <c r="CE64" i="7" s="1"/>
  <c r="CE65" i="7" s="1"/>
  <c r="CE66" i="7" s="1"/>
  <c r="CT13" i="7"/>
  <c r="CE20" i="7"/>
  <c r="CE21" i="7" s="1"/>
  <c r="CE22" i="7" s="1"/>
  <c r="CE23" i="7" s="1"/>
  <c r="CU20" i="7"/>
  <c r="CU21" i="7" s="1"/>
  <c r="CU22" i="7" s="1"/>
  <c r="CU23" i="7" s="1"/>
  <c r="G3" i="10" s="1"/>
  <c r="L14" i="10"/>
  <c r="G86" i="10"/>
  <c r="L11" i="10"/>
  <c r="AT178" i="7"/>
  <c r="AT230" i="7"/>
  <c r="AT231" i="7" s="1"/>
  <c r="AT232" i="7" s="1"/>
  <c r="AT334" i="7"/>
  <c r="AT335" i="7" s="1"/>
  <c r="AU198" i="7"/>
  <c r="AU199" i="7" s="1"/>
  <c r="AU301" i="7"/>
  <c r="AU302" i="7" s="1"/>
  <c r="AV737" i="7"/>
  <c r="AV738" i="7" s="1"/>
  <c r="AV739" i="7" s="1"/>
  <c r="AV102" i="7"/>
  <c r="AV103" i="7" s="1"/>
  <c r="AV198" i="7"/>
  <c r="AV199" i="7" s="1"/>
  <c r="AV301" i="7"/>
  <c r="AV302" i="7" s="1"/>
  <c r="AW737" i="7"/>
  <c r="AW738" i="7" s="1"/>
  <c r="AW739" i="7" s="1"/>
  <c r="AW272" i="7"/>
  <c r="AY219" i="7"/>
  <c r="AY388" i="7"/>
  <c r="AY502" i="7"/>
  <c r="AZ714" i="7"/>
  <c r="AZ301" i="7"/>
  <c r="AZ302" i="7" s="1"/>
  <c r="BA443" i="7"/>
  <c r="BA625" i="7"/>
  <c r="BB35" i="7"/>
  <c r="BB230" i="7"/>
  <c r="BB425" i="7"/>
  <c r="BB502" i="7"/>
  <c r="BB536" i="7" s="1"/>
  <c r="BB537" i="7" s="1"/>
  <c r="BB526" i="7"/>
  <c r="BC163" i="7"/>
  <c r="BC272" i="7"/>
  <c r="BD219" i="7"/>
  <c r="BD257" i="7"/>
  <c r="BD388" i="7"/>
  <c r="BD502" i="7"/>
  <c r="BD667" i="7"/>
  <c r="BE737" i="7"/>
  <c r="BE738" i="7" s="1"/>
  <c r="BE739" i="7" s="1"/>
  <c r="BE334" i="7"/>
  <c r="BE335" i="7" s="1"/>
  <c r="BF35" i="7"/>
  <c r="BF272" i="7"/>
  <c r="BF273" i="7" s="1"/>
  <c r="BF274" i="7" s="1"/>
  <c r="BF334" i="7"/>
  <c r="BF335" i="7" s="1"/>
  <c r="BF463" i="7"/>
  <c r="BG463" i="7"/>
  <c r="BJ702" i="7"/>
  <c r="BJ721" i="7" s="1"/>
  <c r="BJ722" i="7" s="1"/>
  <c r="BJ230" i="7"/>
  <c r="BJ443" i="7"/>
  <c r="BK301" i="7"/>
  <c r="BK302" i="7" s="1"/>
  <c r="BK463" i="7"/>
  <c r="BL737" i="7"/>
  <c r="BL738" i="7" s="1"/>
  <c r="BL739" i="7" s="1"/>
  <c r="BM714" i="7"/>
  <c r="BM625" i="7"/>
  <c r="BP625" i="7"/>
  <c r="BP667" i="7"/>
  <c r="BQ231" i="7"/>
  <c r="BQ232" i="7" s="1"/>
  <c r="BQ425" i="7"/>
  <c r="BQ625" i="7"/>
  <c r="BQ676" i="7" s="1"/>
  <c r="BQ677" i="7" s="1"/>
  <c r="BS163" i="7"/>
  <c r="BS334" i="7"/>
  <c r="BS335" i="7" s="1"/>
  <c r="BU102" i="7"/>
  <c r="BU334" i="7"/>
  <c r="BU335" i="7" s="1"/>
  <c r="BV721" i="7"/>
  <c r="BV722" i="7" s="1"/>
  <c r="BV179" i="7"/>
  <c r="BV272" i="7"/>
  <c r="BW702" i="7"/>
  <c r="AS502" i="7"/>
  <c r="AS536" i="7" s="1"/>
  <c r="AS537" i="7" s="1"/>
  <c r="AT702" i="7"/>
  <c r="AT219" i="7"/>
  <c r="AT425" i="7"/>
  <c r="AT443" i="7"/>
  <c r="AT526" i="7"/>
  <c r="AU737" i="7"/>
  <c r="AU738" i="7" s="1"/>
  <c r="AU739" i="7" s="1"/>
  <c r="AU102" i="7"/>
  <c r="AU103" i="7" s="1"/>
  <c r="AU272" i="7"/>
  <c r="AU273" i="7" s="1"/>
  <c r="AU274" i="7" s="1"/>
  <c r="AV35" i="7"/>
  <c r="AV65" i="7" s="1"/>
  <c r="AV66" i="7" s="1"/>
  <c r="AV272" i="7"/>
  <c r="AV273" i="7" s="1"/>
  <c r="AV274" i="7" s="1"/>
  <c r="AV443" i="7"/>
  <c r="AW163" i="7"/>
  <c r="AW257" i="7"/>
  <c r="AX102" i="7"/>
  <c r="AX103" i="7" s="1"/>
  <c r="AX443" i="7"/>
  <c r="AX502" i="7"/>
  <c r="AY737" i="7"/>
  <c r="AY738" i="7" s="1"/>
  <c r="AY739" i="7" s="1"/>
  <c r="AY301" i="7"/>
  <c r="AY302" i="7" s="1"/>
  <c r="AY463" i="7"/>
  <c r="AZ163" i="7"/>
  <c r="AZ179" i="7" s="1"/>
  <c r="AZ198" i="7"/>
  <c r="AZ199" i="7" s="1"/>
  <c r="BA230" i="7"/>
  <c r="BA334" i="7"/>
  <c r="BA335" i="7" s="1"/>
  <c r="BA502" i="7"/>
  <c r="BB702" i="7"/>
  <c r="BB301" i="7"/>
  <c r="BB302" i="7" s="1"/>
  <c r="BC102" i="7"/>
  <c r="BC103" i="7" s="1"/>
  <c r="BC257" i="7"/>
  <c r="BD198" i="7"/>
  <c r="BD301" i="7"/>
  <c r="BD302" i="7" s="1"/>
  <c r="BD463" i="7"/>
  <c r="BD639" i="7"/>
  <c r="BE714" i="7"/>
  <c r="BE230" i="7"/>
  <c r="BE272" i="7"/>
  <c r="BE425" i="7"/>
  <c r="BE526" i="7"/>
  <c r="BE667" i="7"/>
  <c r="BF714" i="7"/>
  <c r="BF667" i="7"/>
  <c r="BG219" i="7"/>
  <c r="BG257" i="7"/>
  <c r="BG273" i="7" s="1"/>
  <c r="BG274" i="7" s="1"/>
  <c r="BH257" i="7"/>
  <c r="BH425" i="7"/>
  <c r="BH443" i="7"/>
  <c r="BH526" i="7"/>
  <c r="BJ737" i="7"/>
  <c r="BJ738" i="7" s="1"/>
  <c r="BJ739" i="7" s="1"/>
  <c r="BJ163" i="7"/>
  <c r="BJ179" i="7" s="1"/>
  <c r="BJ200" i="7" s="1"/>
  <c r="BJ425" i="7"/>
  <c r="BK198" i="7"/>
  <c r="BK199" i="7" s="1"/>
  <c r="BK272" i="7"/>
  <c r="BL272" i="7"/>
  <c r="BL364" i="7"/>
  <c r="BL365" i="7" s="1"/>
  <c r="BM702" i="7"/>
  <c r="BM721" i="7" s="1"/>
  <c r="BM722" i="7" s="1"/>
  <c r="BM230" i="7"/>
  <c r="BN364" i="7"/>
  <c r="BN365" i="7" s="1"/>
  <c r="BO219" i="7"/>
  <c r="BO526" i="7"/>
  <c r="BO536" i="7" s="1"/>
  <c r="BO537" i="7" s="1"/>
  <c r="BO667" i="7"/>
  <c r="BO676" i="7" s="1"/>
  <c r="BO677" i="7" s="1"/>
  <c r="BP526" i="7"/>
  <c r="BQ714" i="7"/>
  <c r="BQ721" i="7" s="1"/>
  <c r="BQ722" i="7" s="1"/>
  <c r="BQ364" i="7"/>
  <c r="BQ365" i="7" s="1"/>
  <c r="BQ388" i="7"/>
  <c r="BS463" i="7"/>
  <c r="BU179" i="7"/>
  <c r="BU301" i="7"/>
  <c r="BU302" i="7" s="1"/>
  <c r="BU348" i="7" s="1"/>
  <c r="BU625" i="7"/>
  <c r="BV257" i="7"/>
  <c r="BV625" i="7"/>
  <c r="BV676" i="7" s="1"/>
  <c r="BV677" i="7" s="1"/>
  <c r="CE243" i="7"/>
  <c r="AT502" i="7"/>
  <c r="AU443" i="7"/>
  <c r="AU470" i="7" s="1"/>
  <c r="AU471" i="7" s="1"/>
  <c r="AV714" i="7"/>
  <c r="AW714" i="7"/>
  <c r="AW35" i="7"/>
  <c r="AW65" i="7" s="1"/>
  <c r="AW66" i="7" s="1"/>
  <c r="AW178" i="7"/>
  <c r="AW199" i="7"/>
  <c r="AX272" i="7"/>
  <c r="AY714" i="7"/>
  <c r="AY178" i="7"/>
  <c r="AY179" i="7" s="1"/>
  <c r="AY200" i="7" s="1"/>
  <c r="AY199" i="7"/>
  <c r="AY443" i="7"/>
  <c r="AZ272" i="7"/>
  <c r="AZ273" i="7" s="1"/>
  <c r="AZ274" i="7" s="1"/>
  <c r="BA272" i="7"/>
  <c r="BA301" i="7"/>
  <c r="BA302" i="7" s="1"/>
  <c r="BA667" i="7"/>
  <c r="BB219" i="7"/>
  <c r="BB257" i="7"/>
  <c r="BB463" i="7"/>
  <c r="BC667" i="7"/>
  <c r="BE702" i="7"/>
  <c r="BE219" i="7"/>
  <c r="BE257" i="7"/>
  <c r="BE388" i="7"/>
  <c r="BF122" i="7"/>
  <c r="BF123" i="7" s="1"/>
  <c r="BF163" i="7"/>
  <c r="BF230" i="7"/>
  <c r="BF425" i="7"/>
  <c r="BG639" i="7"/>
  <c r="BH163" i="7"/>
  <c r="BH667" i="7"/>
  <c r="BH676" i="7" s="1"/>
  <c r="BH677" i="7" s="1"/>
  <c r="BI702" i="7"/>
  <c r="BI526" i="7"/>
  <c r="BJ667" i="7"/>
  <c r="BM122" i="7"/>
  <c r="BM123" i="7" s="1"/>
  <c r="BP199" i="7"/>
  <c r="BQ526" i="7"/>
  <c r="BQ667" i="7"/>
  <c r="BR199" i="7"/>
  <c r="BT179" i="7"/>
  <c r="BT231" i="7"/>
  <c r="BT232" i="7" s="1"/>
  <c r="BT676" i="7"/>
  <c r="BT677" i="7" s="1"/>
  <c r="BV122" i="7"/>
  <c r="BV123" i="7" s="1"/>
  <c r="BW667" i="7"/>
  <c r="CA526" i="7"/>
  <c r="CA536" i="7" s="1"/>
  <c r="CA537" i="7" s="1"/>
  <c r="CD179" i="7"/>
  <c r="CE695" i="7"/>
  <c r="CE702" i="7" s="1"/>
  <c r="BM425" i="7"/>
  <c r="BN257" i="7"/>
  <c r="BN273" i="7" s="1"/>
  <c r="BN274" i="7" s="1"/>
  <c r="BN463" i="7"/>
  <c r="BO178" i="7"/>
  <c r="BO425" i="7"/>
  <c r="BP463" i="7"/>
  <c r="BP470" i="7" s="1"/>
  <c r="BP471" i="7" s="1"/>
  <c r="BQ35" i="7"/>
  <c r="BQ65" i="7" s="1"/>
  <c r="BQ66" i="7" s="1"/>
  <c r="BQ257" i="7"/>
  <c r="BQ273" i="7" s="1"/>
  <c r="BQ274" i="7" s="1"/>
  <c r="BQ443" i="7"/>
  <c r="BR702" i="7"/>
  <c r="BR721" i="7" s="1"/>
  <c r="BR722" i="7" s="1"/>
  <c r="BR364" i="7"/>
  <c r="BR365" i="7" s="1"/>
  <c r="BS102" i="7"/>
  <c r="BS103" i="7" s="1"/>
  <c r="BU714" i="7"/>
  <c r="BU721" i="7" s="1"/>
  <c r="BU722" i="7" s="1"/>
  <c r="BU65" i="7"/>
  <c r="BU66" i="7" s="1"/>
  <c r="BV230" i="7"/>
  <c r="BW737" i="7"/>
  <c r="BW738" i="7" s="1"/>
  <c r="BW739" i="7" s="1"/>
  <c r="BW178" i="7"/>
  <c r="BW334" i="7"/>
  <c r="BW335" i="7" s="1"/>
  <c r="BW463" i="7"/>
  <c r="BW526" i="7"/>
  <c r="BW625" i="7"/>
  <c r="BX272" i="7"/>
  <c r="BX273" i="7" s="1"/>
  <c r="BX274" i="7" s="1"/>
  <c r="BX334" i="7"/>
  <c r="BX335" i="7" s="1"/>
  <c r="BY714" i="7"/>
  <c r="BY35" i="7"/>
  <c r="CA257" i="7"/>
  <c r="CA273" i="7" s="1"/>
  <c r="CA274" i="7" s="1"/>
  <c r="CC199" i="7"/>
  <c r="CC625" i="7"/>
  <c r="CD364" i="7"/>
  <c r="CD365" i="7" s="1"/>
  <c r="CF625" i="7"/>
  <c r="BG163" i="7"/>
  <c r="BG179" i="7" s="1"/>
  <c r="BG178" i="7"/>
  <c r="BG334" i="7"/>
  <c r="BG335" i="7" s="1"/>
  <c r="BG425" i="7"/>
  <c r="BG502" i="7"/>
  <c r="BH702" i="7"/>
  <c r="BH721" i="7" s="1"/>
  <c r="BH722" i="7" s="1"/>
  <c r="BH35" i="7"/>
  <c r="BH364" i="7"/>
  <c r="BH365" i="7" s="1"/>
  <c r="BH502" i="7"/>
  <c r="BI334" i="7"/>
  <c r="BI335" i="7" s="1"/>
  <c r="BI425" i="7"/>
  <c r="BI502" i="7"/>
  <c r="BI625" i="7"/>
  <c r="BJ219" i="7"/>
  <c r="BJ334" i="7"/>
  <c r="BJ335" i="7" s="1"/>
  <c r="BJ364" i="7"/>
  <c r="BJ365" i="7" s="1"/>
  <c r="BJ526" i="7"/>
  <c r="BJ536" i="7" s="1"/>
  <c r="BJ537" i="7" s="1"/>
  <c r="BK102" i="7"/>
  <c r="BK103" i="7" s="1"/>
  <c r="BK163" i="7"/>
  <c r="BK179" i="7" s="1"/>
  <c r="BK257" i="7"/>
  <c r="BK443" i="7"/>
  <c r="BK625" i="7"/>
  <c r="BL178" i="7"/>
  <c r="BL388" i="7"/>
  <c r="BL625" i="7"/>
  <c r="BM219" i="7"/>
  <c r="BM334" i="7"/>
  <c r="BM335" i="7" s="1"/>
  <c r="BM348" i="7" s="1"/>
  <c r="BM364" i="7"/>
  <c r="BM365" i="7" s="1"/>
  <c r="BM526" i="7"/>
  <c r="BN163" i="7"/>
  <c r="BN625" i="7"/>
  <c r="BO702" i="7"/>
  <c r="BO388" i="7"/>
  <c r="BP721" i="7"/>
  <c r="BP722" i="7" s="1"/>
  <c r="BP122" i="7"/>
  <c r="BP123" i="7" s="1"/>
  <c r="BP364" i="7"/>
  <c r="BP365" i="7" s="1"/>
  <c r="BQ163" i="7"/>
  <c r="BS179" i="7"/>
  <c r="BS231" i="7"/>
  <c r="BS232" i="7" s="1"/>
  <c r="BS502" i="7"/>
  <c r="BT502" i="7"/>
  <c r="BT536" i="7" s="1"/>
  <c r="BT537" i="7" s="1"/>
  <c r="BW199" i="7"/>
  <c r="BW231" i="7"/>
  <c r="BW232" i="7" s="1"/>
  <c r="BW272" i="7"/>
  <c r="BZ463" i="7"/>
  <c r="CA714" i="7"/>
  <c r="CA721" i="7" s="1"/>
  <c r="CA722" i="7" s="1"/>
  <c r="CA102" i="7"/>
  <c r="CA103" i="7" s="1"/>
  <c r="CB102" i="7"/>
  <c r="CB103" i="7" s="1"/>
  <c r="CD122" i="7"/>
  <c r="CD123" i="7" s="1"/>
  <c r="BE463" i="7"/>
  <c r="BE470" i="7" s="1"/>
  <c r="BE471" i="7" s="1"/>
  <c r="BE639" i="7"/>
  <c r="BF702" i="7"/>
  <c r="BF178" i="7"/>
  <c r="BF179" i="7" s="1"/>
  <c r="BF200" i="7" s="1"/>
  <c r="BF219" i="7"/>
  <c r="BF231" i="7" s="1"/>
  <c r="BF232" i="7" s="1"/>
  <c r="BF257" i="7"/>
  <c r="BF443" i="7"/>
  <c r="BF526" i="7"/>
  <c r="BF536" i="7" s="1"/>
  <c r="BF537" i="7" s="1"/>
  <c r="BF625" i="7"/>
  <c r="BF676" i="7" s="1"/>
  <c r="BF677" i="7" s="1"/>
  <c r="BG230" i="7"/>
  <c r="BG667" i="7"/>
  <c r="BH178" i="7"/>
  <c r="BH219" i="7"/>
  <c r="BH231" i="7" s="1"/>
  <c r="BH232" i="7" s="1"/>
  <c r="BH272" i="7"/>
  <c r="BH273" i="7" s="1"/>
  <c r="BH274" i="7" s="1"/>
  <c r="BH334" i="7"/>
  <c r="BH335" i="7" s="1"/>
  <c r="BH463" i="7"/>
  <c r="BI737" i="7"/>
  <c r="BI738" i="7" s="1"/>
  <c r="BI739" i="7" s="1"/>
  <c r="BI35" i="7"/>
  <c r="BI65" i="7" s="1"/>
  <c r="BI66" i="7" s="1"/>
  <c r="BI163" i="7"/>
  <c r="BI178" i="7"/>
  <c r="BI179" i="7" s="1"/>
  <c r="BI200" i="7" s="1"/>
  <c r="BI230" i="7"/>
  <c r="BI231" i="7" s="1"/>
  <c r="BI232" i="7" s="1"/>
  <c r="BI272" i="7"/>
  <c r="BI273" i="7" s="1"/>
  <c r="BI274" i="7" s="1"/>
  <c r="BI667" i="7"/>
  <c r="BJ625" i="7"/>
  <c r="BJ639" i="7"/>
  <c r="BK35" i="7"/>
  <c r="BK425" i="7"/>
  <c r="BK502" i="7"/>
  <c r="BK536" i="7" s="1"/>
  <c r="BK537" i="7" s="1"/>
  <c r="BK526" i="7"/>
  <c r="BL702" i="7"/>
  <c r="BL35" i="7"/>
  <c r="BL163" i="7"/>
  <c r="BL230" i="7"/>
  <c r="BL231" i="7" s="1"/>
  <c r="BL232" i="7" s="1"/>
  <c r="BL334" i="7"/>
  <c r="BL335" i="7" s="1"/>
  <c r="BL502" i="7"/>
  <c r="BL667" i="7"/>
  <c r="BL676" i="7" s="1"/>
  <c r="BL677" i="7" s="1"/>
  <c r="BM502" i="7"/>
  <c r="BN702" i="7"/>
  <c r="BN35" i="7"/>
  <c r="BN178" i="7"/>
  <c r="BN179" i="7" s="1"/>
  <c r="BN200" i="7" s="1"/>
  <c r="BN198" i="7"/>
  <c r="BN199" i="7" s="1"/>
  <c r="BN301" i="7"/>
  <c r="BN302" i="7" s="1"/>
  <c r="BN425" i="7"/>
  <c r="BN443" i="7"/>
  <c r="BN526" i="7"/>
  <c r="BN536" i="7" s="1"/>
  <c r="BN537" i="7" s="1"/>
  <c r="BO737" i="7"/>
  <c r="BO738" i="7" s="1"/>
  <c r="BO739" i="7" s="1"/>
  <c r="BO199" i="7"/>
  <c r="BO272" i="7"/>
  <c r="BO273" i="7" s="1"/>
  <c r="BO274" i="7" s="1"/>
  <c r="BO463" i="7"/>
  <c r="BP179" i="7"/>
  <c r="BP425" i="7"/>
  <c r="BQ502" i="7"/>
  <c r="BS198" i="7"/>
  <c r="BS199" i="7" s="1"/>
  <c r="BS200" i="7" s="1"/>
  <c r="BV443" i="7"/>
  <c r="BW425" i="7"/>
  <c r="BX526" i="7"/>
  <c r="BY122" i="7"/>
  <c r="BY123" i="7" s="1"/>
  <c r="BY257" i="7"/>
  <c r="BY273" i="7" s="1"/>
  <c r="BY274" i="7" s="1"/>
  <c r="BZ198" i="7"/>
  <c r="CA702" i="7"/>
  <c r="CA35" i="7"/>
  <c r="CA65" i="7" s="1"/>
  <c r="CA66" i="7" s="1"/>
  <c r="CB714" i="7"/>
  <c r="CD273" i="7"/>
  <c r="CD274" i="7" s="1"/>
  <c r="CE163" i="7"/>
  <c r="CF526" i="7"/>
  <c r="BX364" i="7"/>
  <c r="BX365" i="7" s="1"/>
  <c r="BX425" i="7"/>
  <c r="BX502" i="7"/>
  <c r="BX625" i="7"/>
  <c r="BY702" i="7"/>
  <c r="BY502" i="7"/>
  <c r="BY526" i="7"/>
  <c r="BZ230" i="7"/>
  <c r="BZ443" i="7"/>
  <c r="BZ526" i="7"/>
  <c r="CA388" i="7"/>
  <c r="CA667" i="7"/>
  <c r="CA676" i="7" s="1"/>
  <c r="CA677" i="7" s="1"/>
  <c r="CB219" i="7"/>
  <c r="CB257" i="7"/>
  <c r="CB364" i="7"/>
  <c r="CB365" i="7" s="1"/>
  <c r="CC35" i="7"/>
  <c r="CC230" i="7"/>
  <c r="CC425" i="7"/>
  <c r="CD737" i="7"/>
  <c r="CD738" i="7" s="1"/>
  <c r="CD739" i="7" s="1"/>
  <c r="CD219" i="7"/>
  <c r="CD301" i="7"/>
  <c r="CD302" i="7" s="1"/>
  <c r="CD425" i="7"/>
  <c r="CE102" i="7"/>
  <c r="CE103" i="7" s="1"/>
  <c r="CE443" i="7"/>
  <c r="CF178" i="7"/>
  <c r="CF219" i="7"/>
  <c r="CF443" i="7"/>
  <c r="CF502" i="7"/>
  <c r="CG702" i="7"/>
  <c r="CH219" i="7"/>
  <c r="CI301" i="7"/>
  <c r="CI302" i="7" s="1"/>
  <c r="CK122" i="7"/>
  <c r="CK123" i="7" s="1"/>
  <c r="CK178" i="7"/>
  <c r="CN714" i="7"/>
  <c r="CQ199" i="7"/>
  <c r="BX737" i="7"/>
  <c r="BX738" i="7" s="1"/>
  <c r="BX739" i="7" s="1"/>
  <c r="BX301" i="7"/>
  <c r="BX302" i="7" s="1"/>
  <c r="BX388" i="7"/>
  <c r="BX667" i="7"/>
  <c r="BY178" i="7"/>
  <c r="BY219" i="7"/>
  <c r="BY231" i="7" s="1"/>
  <c r="BY232" i="7" s="1"/>
  <c r="BZ35" i="7"/>
  <c r="CB625" i="7"/>
  <c r="CC388" i="7"/>
  <c r="CC526" i="7"/>
  <c r="CC667" i="7"/>
  <c r="CD199" i="7"/>
  <c r="CD200" i="7" s="1"/>
  <c r="CE364" i="7"/>
  <c r="CE365" i="7" s="1"/>
  <c r="CF301" i="7"/>
  <c r="CF302" i="7" s="1"/>
  <c r="CF425" i="7"/>
  <c r="CG163" i="7"/>
  <c r="CG219" i="7"/>
  <c r="CG231" i="7" s="1"/>
  <c r="CG232" i="7" s="1"/>
  <c r="CG425" i="7"/>
  <c r="CJ667" i="7"/>
  <c r="CK334" i="7"/>
  <c r="CK335" i="7" s="1"/>
  <c r="CL425" i="7"/>
  <c r="CB334" i="7"/>
  <c r="CB335" i="7" s="1"/>
  <c r="CB425" i="7"/>
  <c r="CB502" i="7"/>
  <c r="CC272" i="7"/>
  <c r="CC334" i="7"/>
  <c r="CC335" i="7" s="1"/>
  <c r="CC463" i="7"/>
  <c r="CD667" i="7"/>
  <c r="CE714" i="7"/>
  <c r="CE272" i="7"/>
  <c r="CE502" i="7"/>
  <c r="CF230" i="7"/>
  <c r="CF231" i="7" s="1"/>
  <c r="CF232" i="7" s="1"/>
  <c r="CF334" i="7"/>
  <c r="CF335" i="7" s="1"/>
  <c r="CG35" i="7"/>
  <c r="CG65" i="7" s="1"/>
  <c r="CG66" i="7" s="1"/>
  <c r="CG334" i="7"/>
  <c r="CG335" i="7" s="1"/>
  <c r="CG388" i="7"/>
  <c r="CG526" i="7"/>
  <c r="CH737" i="7"/>
  <c r="CH738" i="7" s="1"/>
  <c r="CH739" i="7" s="1"/>
  <c r="CI714" i="7"/>
  <c r="CJ714" i="7"/>
  <c r="CJ102" i="7"/>
  <c r="CJ103" i="7" s="1"/>
  <c r="CJ272" i="7"/>
  <c r="CL219" i="7"/>
  <c r="CL231" i="7" s="1"/>
  <c r="CL232" i="7" s="1"/>
  <c r="CK639" i="7"/>
  <c r="CL102" i="7"/>
  <c r="CL502" i="7"/>
  <c r="CM219" i="7"/>
  <c r="CM301" i="7"/>
  <c r="CM302" i="7" s="1"/>
  <c r="CM348" i="7" s="1"/>
  <c r="CM502" i="7"/>
  <c r="CN122" i="7"/>
  <c r="CN123" i="7" s="1"/>
  <c r="CO301" i="7"/>
  <c r="CO302" i="7" s="1"/>
  <c r="CO425" i="7"/>
  <c r="CO502" i="7"/>
  <c r="CP536" i="7"/>
  <c r="CP537" i="7" s="1"/>
  <c r="CR219" i="7"/>
  <c r="CR231" i="7" s="1"/>
  <c r="CR232" i="7" s="1"/>
  <c r="CR257" i="7"/>
  <c r="CS702" i="7"/>
  <c r="CU327" i="7"/>
  <c r="CU151" i="7"/>
  <c r="CI219" i="7"/>
  <c r="CI231" i="7" s="1"/>
  <c r="CI232" i="7" s="1"/>
  <c r="CI257" i="7"/>
  <c r="CI463" i="7"/>
  <c r="CI536" i="7"/>
  <c r="CI537" i="7" s="1"/>
  <c r="CJ737" i="7"/>
  <c r="CJ738" i="7" s="1"/>
  <c r="CJ739" i="7" s="1"/>
  <c r="CJ219" i="7"/>
  <c r="CJ364" i="7"/>
  <c r="CJ365" i="7" s="1"/>
  <c r="CJ463" i="7"/>
  <c r="CJ526" i="7"/>
  <c r="CK301" i="7"/>
  <c r="CK302" i="7" s="1"/>
  <c r="CK388" i="7"/>
  <c r="CL163" i="7"/>
  <c r="CL179" i="7" s="1"/>
  <c r="CL364" i="7"/>
  <c r="CL365" i="7" s="1"/>
  <c r="CM364" i="7"/>
  <c r="CM365" i="7" s="1"/>
  <c r="CM463" i="7"/>
  <c r="CN737" i="7"/>
  <c r="CN738" i="7" s="1"/>
  <c r="CN739" i="7" s="1"/>
  <c r="CN301" i="7"/>
  <c r="CN302" i="7" s="1"/>
  <c r="CN502" i="7"/>
  <c r="CO198" i="7"/>
  <c r="CO388" i="7"/>
  <c r="CP272" i="7"/>
  <c r="CP463" i="7"/>
  <c r="CP667" i="7"/>
  <c r="CQ714" i="7"/>
  <c r="CQ425" i="7"/>
  <c r="CR737" i="7"/>
  <c r="CR738" i="7" s="1"/>
  <c r="CR739" i="7" s="1"/>
  <c r="CR178" i="7"/>
  <c r="CR388" i="7"/>
  <c r="CS163" i="7"/>
  <c r="CS179" i="7" s="1"/>
  <c r="CS200" i="7" s="1"/>
  <c r="CS272" i="7"/>
  <c r="CS463" i="7"/>
  <c r="CV434" i="7"/>
  <c r="CV320" i="7"/>
  <c r="CV334" i="7" s="1"/>
  <c r="CV335" i="7" s="1"/>
  <c r="CV333" i="7"/>
  <c r="CU311" i="7"/>
  <c r="CF714" i="7"/>
  <c r="CF35" i="7"/>
  <c r="CF65" i="7" s="1"/>
  <c r="CF66" i="7" s="1"/>
  <c r="CF122" i="7"/>
  <c r="CF123" i="7" s="1"/>
  <c r="CF163" i="7"/>
  <c r="CF272" i="7"/>
  <c r="CF388" i="7"/>
  <c r="CG737" i="7"/>
  <c r="CG738" i="7" s="1"/>
  <c r="CG739" i="7" s="1"/>
  <c r="CG443" i="7"/>
  <c r="CH198" i="7"/>
  <c r="CH199" i="7" s="1"/>
  <c r="CH388" i="7"/>
  <c r="CI178" i="7"/>
  <c r="CK65" i="7"/>
  <c r="CK66" i="7" s="1"/>
  <c r="CK667" i="7"/>
  <c r="CL702" i="7"/>
  <c r="CL721" i="7" s="1"/>
  <c r="CL722" i="7" s="1"/>
  <c r="CM737" i="7"/>
  <c r="CM738" i="7" s="1"/>
  <c r="CM739" i="7" s="1"/>
  <c r="CM334" i="7"/>
  <c r="CM335" i="7" s="1"/>
  <c r="CM443" i="7"/>
  <c r="CN702" i="7"/>
  <c r="CN198" i="7"/>
  <c r="CN388" i="7"/>
  <c r="CN425" i="7"/>
  <c r="CO667" i="7"/>
  <c r="CP257" i="7"/>
  <c r="CP364" i="7"/>
  <c r="CP365" i="7" s="1"/>
  <c r="CQ178" i="7"/>
  <c r="CQ179" i="7" s="1"/>
  <c r="CQ219" i="7"/>
  <c r="CQ257" i="7"/>
  <c r="CQ334" i="7"/>
  <c r="CQ335" i="7" s="1"/>
  <c r="CQ364" i="7"/>
  <c r="CQ365" i="7" s="1"/>
  <c r="CQ388" i="7"/>
  <c r="CQ526" i="7"/>
  <c r="CR334" i="7"/>
  <c r="CR335" i="7" s="1"/>
  <c r="CR348" i="7" s="1"/>
  <c r="CR364" i="7"/>
  <c r="CR365" i="7" s="1"/>
  <c r="CR463" i="7"/>
  <c r="CS178" i="7"/>
  <c r="CS198" i="7"/>
  <c r="CS199" i="7" s="1"/>
  <c r="CS334" i="7"/>
  <c r="CS335" i="7" s="1"/>
  <c r="CS443" i="7"/>
  <c r="CV534" i="7"/>
  <c r="CV535" i="7" s="1"/>
  <c r="CU219" i="7"/>
  <c r="CV606" i="7"/>
  <c r="CV263" i="7"/>
  <c r="CV177" i="7"/>
  <c r="CV193" i="7"/>
  <c r="CV198" i="7" s="1"/>
  <c r="CV199" i="7" s="1"/>
  <c r="CV35" i="7"/>
  <c r="CV65" i="7" s="1"/>
  <c r="CV66" i="7" s="1"/>
  <c r="I4" i="10" s="1"/>
  <c r="CV709" i="7"/>
  <c r="CU646" i="7"/>
  <c r="CT587" i="7"/>
  <c r="CT644" i="7"/>
  <c r="CT646" i="7" s="1"/>
  <c r="CT491" i="7"/>
  <c r="CT508" i="7"/>
  <c r="CT534" i="7"/>
  <c r="CT300" i="7"/>
  <c r="CT320" i="7"/>
  <c r="CT327" i="7"/>
  <c r="CT229" i="7"/>
  <c r="CT141" i="7"/>
  <c r="CT131" i="7"/>
  <c r="CU709" i="7"/>
  <c r="CU714" i="7" s="1"/>
  <c r="CT563" i="7"/>
  <c r="CT576" i="7"/>
  <c r="CT595" i="7"/>
  <c r="CT613" i="7"/>
  <c r="CT661" i="7"/>
  <c r="CU570" i="7"/>
  <c r="CU639" i="7"/>
  <c r="CU656" i="7"/>
  <c r="CU674" i="7"/>
  <c r="CU675" i="7" s="1"/>
  <c r="CT400" i="7"/>
  <c r="CU333" i="7"/>
  <c r="CU250" i="7"/>
  <c r="CT157" i="7"/>
  <c r="CU162" i="7"/>
  <c r="CU163" i="7" s="1"/>
  <c r="CU114" i="7"/>
  <c r="CU115" i="7" s="1"/>
  <c r="CN219" i="7"/>
  <c r="CN230" i="7"/>
  <c r="CN334" i="7"/>
  <c r="CN335" i="7" s="1"/>
  <c r="CN639" i="7"/>
  <c r="CO737" i="7"/>
  <c r="CO738" i="7" s="1"/>
  <c r="CO739" i="7" s="1"/>
  <c r="CO219" i="7"/>
  <c r="CO231" i="7" s="1"/>
  <c r="CO232" i="7" s="1"/>
  <c r="CO334" i="7"/>
  <c r="CO335" i="7" s="1"/>
  <c r="CO348" i="7" s="1"/>
  <c r="CP714" i="7"/>
  <c r="CP178" i="7"/>
  <c r="CQ702" i="7"/>
  <c r="CQ35" i="7"/>
  <c r="CQ230" i="7"/>
  <c r="CQ443" i="7"/>
  <c r="CR714" i="7"/>
  <c r="CR721" i="7" s="1"/>
  <c r="CR722" i="7" s="1"/>
  <c r="CR163" i="7"/>
  <c r="CR443" i="7"/>
  <c r="CR667" i="7"/>
  <c r="CS219" i="7"/>
  <c r="CS231" i="7" s="1"/>
  <c r="CS232" i="7" s="1"/>
  <c r="CS301" i="7"/>
  <c r="CS302" i="7" s="1"/>
  <c r="CS388" i="7"/>
  <c r="CS502" i="7"/>
  <c r="CV570" i="7"/>
  <c r="CV582" i="7"/>
  <c r="CV666" i="7"/>
  <c r="CV479" i="7"/>
  <c r="CV480" i="7" s="1"/>
  <c r="CV513" i="7"/>
  <c r="CV356" i="7"/>
  <c r="CV357" i="7" s="1"/>
  <c r="CV364" i="7" s="1"/>
  <c r="CV365" i="7" s="1"/>
  <c r="I11" i="10" s="1"/>
  <c r="J11" i="10" s="1"/>
  <c r="CV327" i="7"/>
  <c r="CV229" i="7"/>
  <c r="CV230" i="7" s="1"/>
  <c r="CV157" i="7"/>
  <c r="CV63" i="7"/>
  <c r="CV64" i="7" s="1"/>
  <c r="CV20" i="7"/>
  <c r="CV21" i="7" s="1"/>
  <c r="CV22" i="7" s="1"/>
  <c r="CV23" i="7" s="1"/>
  <c r="I3" i="10" s="1"/>
  <c r="J3" i="10" s="1"/>
  <c r="CV736" i="7"/>
  <c r="CV737" i="7" s="1"/>
  <c r="CV738" i="7" s="1"/>
  <c r="CV739" i="7" s="1"/>
  <c r="I19" i="10" s="1"/>
  <c r="CU513" i="7"/>
  <c r="CT685" i="7"/>
  <c r="CT356" i="7"/>
  <c r="CT270" i="7"/>
  <c r="CT114" i="7"/>
  <c r="CT74" i="7"/>
  <c r="Z141" i="7"/>
  <c r="Z134" i="7"/>
  <c r="CG142" i="7"/>
  <c r="CT674" i="7"/>
  <c r="CU442" i="7"/>
  <c r="CU172" i="7"/>
  <c r="CU63" i="7"/>
  <c r="CU64" i="7" s="1"/>
  <c r="CU35" i="7"/>
  <c r="CV563" i="7"/>
  <c r="CV624" i="7"/>
  <c r="J14" i="10"/>
  <c r="CV497" i="7"/>
  <c r="CV502" i="7" s="1"/>
  <c r="CV291" i="7"/>
  <c r="CV311" i="7"/>
  <c r="CV250" i="7"/>
  <c r="CV210" i="7"/>
  <c r="CV219" i="7" s="1"/>
  <c r="CV89" i="7"/>
  <c r="CV701" i="7"/>
  <c r="CT624" i="7"/>
  <c r="CE134" i="7"/>
  <c r="CU701" i="7"/>
  <c r="CU420" i="7"/>
  <c r="CU449" i="7"/>
  <c r="CU463" i="7" s="1"/>
  <c r="CU263" i="7"/>
  <c r="CT162" i="7"/>
  <c r="CU157" i="7"/>
  <c r="CU177" i="7"/>
  <c r="CU193" i="7"/>
  <c r="CU101" i="7"/>
  <c r="CU77" i="7"/>
  <c r="CU78" i="7" s="1"/>
  <c r="CU79" i="7" s="1"/>
  <c r="CU80" i="7" s="1"/>
  <c r="G5" i="10" s="1"/>
  <c r="CM388" i="7"/>
  <c r="BY388" i="7"/>
  <c r="CV374" i="7"/>
  <c r="CU374" i="7"/>
  <c r="CT374" i="7"/>
  <c r="BN388" i="7"/>
  <c r="Q348" i="7"/>
  <c r="Q122" i="7"/>
  <c r="Q123" i="7" s="1"/>
  <c r="Q199" i="7"/>
  <c r="R348" i="7"/>
  <c r="R470" i="7"/>
  <c r="R471" i="7" s="1"/>
  <c r="R676" i="7"/>
  <c r="R677" i="7" s="1"/>
  <c r="Q179" i="7"/>
  <c r="R364" i="7"/>
  <c r="R365" i="7" s="1"/>
  <c r="S179" i="7"/>
  <c r="Q65" i="7"/>
  <c r="Q66" i="7" s="1"/>
  <c r="R65" i="7"/>
  <c r="R66" i="7" s="1"/>
  <c r="V273" i="7"/>
  <c r="V274" i="7" s="1"/>
  <c r="Y526" i="7"/>
  <c r="Z526" i="7"/>
  <c r="AA348" i="7"/>
  <c r="AA625" i="7"/>
  <c r="AP348" i="7"/>
  <c r="V179" i="7"/>
  <c r="AE625" i="7"/>
  <c r="S721" i="7"/>
  <c r="S722" i="7" s="1"/>
  <c r="S470" i="7"/>
  <c r="S471" i="7" s="1"/>
  <c r="T65" i="7"/>
  <c r="T66" i="7" s="1"/>
  <c r="T526" i="7"/>
  <c r="T536" i="7" s="1"/>
  <c r="T537" i="7" s="1"/>
  <c r="T639" i="7"/>
  <c r="U163" i="7"/>
  <c r="U179" i="7" s="1"/>
  <c r="U676" i="7"/>
  <c r="U677" i="7" s="1"/>
  <c r="V65" i="7"/>
  <c r="V66" i="7" s="1"/>
  <c r="V625" i="7"/>
  <c r="V676" i="7" s="1"/>
  <c r="V677" i="7" s="1"/>
  <c r="X348" i="7"/>
  <c r="Y702" i="7"/>
  <c r="Y463" i="7"/>
  <c r="Z463" i="7"/>
  <c r="Z639" i="7"/>
  <c r="AB348" i="7"/>
  <c r="AB625" i="7"/>
  <c r="AC702" i="7"/>
  <c r="AC179" i="7"/>
  <c r="AC273" i="7"/>
  <c r="AC274" i="7" s="1"/>
  <c r="AD526" i="7"/>
  <c r="AE364" i="7"/>
  <c r="AE365" i="7" s="1"/>
  <c r="AF526" i="7"/>
  <c r="AF536" i="7" s="1"/>
  <c r="AF537" i="7" s="1"/>
  <c r="AF667" i="7"/>
  <c r="AG199" i="7"/>
  <c r="AG231" i="7"/>
  <c r="AG232" i="7" s="1"/>
  <c r="AG334" i="7"/>
  <c r="AG335" i="7" s="1"/>
  <c r="AG348" i="7" s="1"/>
  <c r="AG425" i="7"/>
  <c r="AH273" i="7"/>
  <c r="AH274" i="7" s="1"/>
  <c r="AH625" i="7"/>
  <c r="AI65" i="7"/>
  <c r="AI66" i="7" s="1"/>
  <c r="AL721" i="7"/>
  <c r="AL722" i="7" s="1"/>
  <c r="AH122" i="7"/>
  <c r="AH123" i="7" s="1"/>
  <c r="AH348" i="7"/>
  <c r="S364" i="7"/>
  <c r="S365" i="7" s="1"/>
  <c r="T179" i="7"/>
  <c r="T200" i="7" s="1"/>
  <c r="T273" i="7"/>
  <c r="T274" i="7" s="1"/>
  <c r="T667" i="7"/>
  <c r="U714" i="7"/>
  <c r="U721" i="7" s="1"/>
  <c r="U722" i="7" s="1"/>
  <c r="U199" i="7"/>
  <c r="U470" i="7"/>
  <c r="U471" i="7" s="1"/>
  <c r="V199" i="7"/>
  <c r="W102" i="7"/>
  <c r="W103" i="7" s="1"/>
  <c r="W163" i="7"/>
  <c r="W179" i="7" s="1"/>
  <c r="W199" i="7"/>
  <c r="W272" i="7"/>
  <c r="W273" i="7" s="1"/>
  <c r="W274" i="7" s="1"/>
  <c r="W364" i="7"/>
  <c r="W365" i="7" s="1"/>
  <c r="W625" i="7"/>
  <c r="X102" i="7"/>
  <c r="X103" i="7" s="1"/>
  <c r="X163" i="7"/>
  <c r="X179" i="7" s="1"/>
  <c r="X200" i="7" s="1"/>
  <c r="X536" i="7"/>
  <c r="X537" i="7" s="1"/>
  <c r="X667" i="7"/>
  <c r="Y65" i="7"/>
  <c r="Y66" i="7" s="1"/>
  <c r="Y230" i="7"/>
  <c r="Y231" i="7" s="1"/>
  <c r="Y232" i="7" s="1"/>
  <c r="Y301" i="7"/>
  <c r="Y302" i="7" s="1"/>
  <c r="Y348" i="7" s="1"/>
  <c r="Y425" i="7"/>
  <c r="Y502" i="7"/>
  <c r="Y625" i="7"/>
  <c r="Y676" i="7" s="1"/>
  <c r="Y677" i="7" s="1"/>
  <c r="Z230" i="7"/>
  <c r="Z301" i="7"/>
  <c r="Z302" i="7" s="1"/>
  <c r="Z348" i="7" s="1"/>
  <c r="Z425" i="7"/>
  <c r="Z502" i="7"/>
  <c r="Z625" i="7"/>
  <c r="AA702" i="7"/>
  <c r="AA721" i="7" s="1"/>
  <c r="AA722" i="7" s="1"/>
  <c r="AA65" i="7"/>
  <c r="AA66" i="7" s="1"/>
  <c r="AA163" i="7"/>
  <c r="AA199" i="7"/>
  <c r="AA272" i="7"/>
  <c r="AA364" i="7"/>
  <c r="AA365" i="7" s="1"/>
  <c r="AB702" i="7"/>
  <c r="AC65" i="7"/>
  <c r="AC66" i="7" s="1"/>
  <c r="AC625" i="7"/>
  <c r="AD179" i="7"/>
  <c r="AD200" i="7" s="1"/>
  <c r="AD273" i="7"/>
  <c r="AD274" i="7" s="1"/>
  <c r="AD536" i="7"/>
  <c r="AD537" i="7" s="1"/>
  <c r="AE526" i="7"/>
  <c r="AE536" i="7" s="1"/>
  <c r="AE537" i="7" s="1"/>
  <c r="AE667" i="7"/>
  <c r="AE676" i="7" s="1"/>
  <c r="AE677" i="7" s="1"/>
  <c r="AF179" i="7"/>
  <c r="AF200" i="7" s="1"/>
  <c r="AG388" i="7"/>
  <c r="AG526" i="7"/>
  <c r="AG625" i="7"/>
  <c r="AG676" i="7" s="1"/>
  <c r="AG677" i="7" s="1"/>
  <c r="AH364" i="7"/>
  <c r="AH365" i="7" s="1"/>
  <c r="AI721" i="7"/>
  <c r="AI722" i="7" s="1"/>
  <c r="AK200" i="7"/>
  <c r="AK231" i="7"/>
  <c r="AK232" i="7" s="1"/>
  <c r="AM122" i="7"/>
  <c r="AM123" i="7" s="1"/>
  <c r="AQ470" i="7"/>
  <c r="AQ471" i="7" s="1"/>
  <c r="AC470" i="7"/>
  <c r="AC471" i="7" s="1"/>
  <c r="AC667" i="7"/>
  <c r="S526" i="7"/>
  <c r="S536" i="7" s="1"/>
  <c r="S537" i="7" s="1"/>
  <c r="S625" i="7"/>
  <c r="T721" i="7"/>
  <c r="T722" i="7" s="1"/>
  <c r="U65" i="7"/>
  <c r="U66" i="7" s="1"/>
  <c r="U348" i="7"/>
  <c r="V526" i="7"/>
  <c r="V536" i="7" s="1"/>
  <c r="V537" i="7" s="1"/>
  <c r="W65" i="7"/>
  <c r="W66" i="7" s="1"/>
  <c r="W676" i="7"/>
  <c r="W677" i="7" s="1"/>
  <c r="X65" i="7"/>
  <c r="X66" i="7" s="1"/>
  <c r="X273" i="7"/>
  <c r="X274" i="7" s="1"/>
  <c r="X625" i="7"/>
  <c r="Y721" i="7"/>
  <c r="Y722" i="7" s="1"/>
  <c r="Y273" i="7"/>
  <c r="Y274" i="7" s="1"/>
  <c r="Y388" i="7"/>
  <c r="Z102" i="7"/>
  <c r="Z103" i="7" s="1"/>
  <c r="Z219" i="7"/>
  <c r="Z273" i="7"/>
  <c r="Z274" i="7" s="1"/>
  <c r="Z388" i="7"/>
  <c r="Z667" i="7"/>
  <c r="AA257" i="7"/>
  <c r="AA536" i="7"/>
  <c r="AA537" i="7" s="1"/>
  <c r="AA667" i="7"/>
  <c r="AB65" i="7"/>
  <c r="AB66" i="7" s="1"/>
  <c r="AB163" i="7"/>
  <c r="AB199" i="7"/>
  <c r="AB272" i="7"/>
  <c r="AB273" i="7" s="1"/>
  <c r="AB274" i="7" s="1"/>
  <c r="AB364" i="7"/>
  <c r="AB365" i="7" s="1"/>
  <c r="AC721" i="7"/>
  <c r="AC722" i="7" s="1"/>
  <c r="AC199" i="7"/>
  <c r="AC231" i="7"/>
  <c r="AC232" i="7" s="1"/>
  <c r="AC334" i="7"/>
  <c r="AC335" i="7" s="1"/>
  <c r="AC348" i="7" s="1"/>
  <c r="AC639" i="7"/>
  <c r="AD65" i="7"/>
  <c r="AD66" i="7" s="1"/>
  <c r="AD625" i="7"/>
  <c r="AD676" i="7" s="1"/>
  <c r="AD677" i="7" s="1"/>
  <c r="AE65" i="7"/>
  <c r="AE66" i="7" s="1"/>
  <c r="AE348" i="7"/>
  <c r="AF65" i="7"/>
  <c r="AF66" i="7" s="1"/>
  <c r="AF219" i="7"/>
  <c r="AF231" i="7" s="1"/>
  <c r="AF232" i="7" s="1"/>
  <c r="AF463" i="7"/>
  <c r="AF470" i="7" s="1"/>
  <c r="AF471" i="7" s="1"/>
  <c r="AG273" i="7"/>
  <c r="AG274" i="7" s="1"/>
  <c r="AG536" i="7"/>
  <c r="AG537" i="7" s="1"/>
  <c r="AH526" i="7"/>
  <c r="AH536" i="7" s="1"/>
  <c r="AH537" i="7" s="1"/>
  <c r="AH667" i="7"/>
  <c r="AL625" i="7"/>
  <c r="AL676" i="7" s="1"/>
  <c r="AL677" i="7" s="1"/>
  <c r="AN273" i="7"/>
  <c r="AN274" i="7" s="1"/>
  <c r="AR273" i="7"/>
  <c r="AR274" i="7" s="1"/>
  <c r="AT348" i="7"/>
  <c r="AV676" i="7"/>
  <c r="AV677" i="7" s="1"/>
  <c r="AI625" i="7"/>
  <c r="AJ721" i="7"/>
  <c r="AJ722" i="7" s="1"/>
  <c r="AJ625" i="7"/>
  <c r="AJ676" i="7" s="1"/>
  <c r="AJ677" i="7" s="1"/>
  <c r="AL272" i="7"/>
  <c r="AL443" i="7"/>
  <c r="AL536" i="7"/>
  <c r="AL537" i="7" s="1"/>
  <c r="AM714" i="7"/>
  <c r="AM721" i="7" s="1"/>
  <c r="AM722" i="7" s="1"/>
  <c r="AM35" i="7"/>
  <c r="AM65" i="7" s="1"/>
  <c r="AM66" i="7" s="1"/>
  <c r="AM163" i="7"/>
  <c r="AM199" i="7"/>
  <c r="AM625" i="7"/>
  <c r="AN198" i="7"/>
  <c r="AN199" i="7" s="1"/>
  <c r="AO122" i="7"/>
  <c r="AO123" i="7" s="1"/>
  <c r="AO231" i="7"/>
  <c r="AO232" i="7" s="1"/>
  <c r="AP179" i="7"/>
  <c r="AP198" i="7"/>
  <c r="AP199" i="7" s="1"/>
  <c r="AQ163" i="7"/>
  <c r="AQ179" i="7" s="1"/>
  <c r="AQ199" i="7"/>
  <c r="AQ231" i="7"/>
  <c r="AQ232" i="7" s="1"/>
  <c r="AR198" i="7"/>
  <c r="AR199" i="7" s="1"/>
  <c r="AS231" i="7"/>
  <c r="AS232" i="7" s="1"/>
  <c r="AS301" i="7"/>
  <c r="AS302" i="7" s="1"/>
  <c r="AS348" i="7" s="1"/>
  <c r="AT721" i="7"/>
  <c r="AT722" i="7" s="1"/>
  <c r="AT122" i="7"/>
  <c r="AT123" i="7" s="1"/>
  <c r="AU348" i="7"/>
  <c r="AU502" i="7"/>
  <c r="AU536" i="7" s="1"/>
  <c r="AU537" i="7" s="1"/>
  <c r="AU676" i="7"/>
  <c r="AU677" i="7" s="1"/>
  <c r="AV348" i="7"/>
  <c r="AW231" i="7"/>
  <c r="AW232" i="7" s="1"/>
  <c r="AW301" i="7"/>
  <c r="AW302" i="7" s="1"/>
  <c r="AW348" i="7" s="1"/>
  <c r="AX737" i="7"/>
  <c r="AX738" i="7" s="1"/>
  <c r="AX739" i="7" s="1"/>
  <c r="AX348" i="7"/>
  <c r="BE122" i="7"/>
  <c r="BE123" i="7" s="1"/>
  <c r="BF721" i="7"/>
  <c r="BF722" i="7" s="1"/>
  <c r="AJ65" i="7"/>
  <c r="AJ66" i="7" s="1"/>
  <c r="AJ536" i="7"/>
  <c r="AJ537" i="7" s="1"/>
  <c r="AK348" i="7"/>
  <c r="AK502" i="7"/>
  <c r="AK536" i="7" s="1"/>
  <c r="AK537" i="7" s="1"/>
  <c r="AL257" i="7"/>
  <c r="AL348" i="7"/>
  <c r="AL364" i="7"/>
  <c r="AL365" i="7" s="1"/>
  <c r="AM272" i="7"/>
  <c r="AM273" i="7" s="1"/>
  <c r="AM274" i="7" s="1"/>
  <c r="AM536" i="7"/>
  <c r="AM537" i="7" s="1"/>
  <c r="AN231" i="7"/>
  <c r="AN232" i="7" s="1"/>
  <c r="AN301" i="7"/>
  <c r="AN302" i="7" s="1"/>
  <c r="AN348" i="7" s="1"/>
  <c r="AO65" i="7"/>
  <c r="AO66" i="7" s="1"/>
  <c r="AO163" i="7"/>
  <c r="AO179" i="7" s="1"/>
  <c r="AO625" i="7"/>
  <c r="AO676" i="7" s="1"/>
  <c r="AO677" i="7" s="1"/>
  <c r="AP231" i="7"/>
  <c r="AP232" i="7" s="1"/>
  <c r="AQ122" i="7"/>
  <c r="AQ123" i="7" s="1"/>
  <c r="AQ625" i="7"/>
  <c r="AQ676" i="7" s="1"/>
  <c r="AQ677" i="7" s="1"/>
  <c r="AR122" i="7"/>
  <c r="AR123" i="7" s="1"/>
  <c r="AR301" i="7"/>
  <c r="AR302" i="7" s="1"/>
  <c r="AR348" i="7" s="1"/>
  <c r="AS122" i="7"/>
  <c r="AS123" i="7" s="1"/>
  <c r="AS470" i="7"/>
  <c r="AS471" i="7" s="1"/>
  <c r="AT65" i="7"/>
  <c r="AT66" i="7" s="1"/>
  <c r="AT163" i="7"/>
  <c r="AT179" i="7" s="1"/>
  <c r="AT200" i="7" s="1"/>
  <c r="AW721" i="7"/>
  <c r="AW722" i="7" s="1"/>
  <c r="BA122" i="7"/>
  <c r="BA123" i="7" s="1"/>
  <c r="BD348" i="7"/>
  <c r="AI122" i="7"/>
  <c r="AI123" i="7" s="1"/>
  <c r="AI348" i="7"/>
  <c r="AJ163" i="7"/>
  <c r="AJ179" i="7" s="1"/>
  <c r="AJ200" i="7" s="1"/>
  <c r="AJ470" i="7"/>
  <c r="AJ471" i="7" s="1"/>
  <c r="AL122" i="7"/>
  <c r="AL123" i="7" s="1"/>
  <c r="AL231" i="7"/>
  <c r="AL232" i="7" s="1"/>
  <c r="AM178" i="7"/>
  <c r="AM348" i="7"/>
  <c r="AN737" i="7"/>
  <c r="AN738" i="7" s="1"/>
  <c r="AN739" i="7" s="1"/>
  <c r="AN122" i="7"/>
  <c r="AN123" i="7" s="1"/>
  <c r="AN470" i="7"/>
  <c r="AN471" i="7" s="1"/>
  <c r="AN676" i="7"/>
  <c r="AN677" i="7" s="1"/>
  <c r="AO536" i="7"/>
  <c r="AO537" i="7" s="1"/>
  <c r="AP470" i="7"/>
  <c r="AP471" i="7" s="1"/>
  <c r="AQ65" i="7"/>
  <c r="AQ66" i="7" s="1"/>
  <c r="AQ273" i="7"/>
  <c r="AQ274" i="7" s="1"/>
  <c r="AQ536" i="7"/>
  <c r="AQ537" i="7" s="1"/>
  <c r="AR676" i="7"/>
  <c r="AR677" i="7" s="1"/>
  <c r="AS179" i="7"/>
  <c r="AS625" i="7"/>
  <c r="AS676" i="7" s="1"/>
  <c r="AS677" i="7" s="1"/>
  <c r="AT536" i="7"/>
  <c r="AT537" i="7" s="1"/>
  <c r="AV721" i="7"/>
  <c r="AV722" i="7" s="1"/>
  <c r="AV231" i="7"/>
  <c r="AV232" i="7" s="1"/>
  <c r="AW179" i="7"/>
  <c r="AW200" i="7" s="1"/>
  <c r="AW676" i="7"/>
  <c r="AW677" i="7" s="1"/>
  <c r="AX364" i="7"/>
  <c r="AX365" i="7" s="1"/>
  <c r="AY65" i="7"/>
  <c r="AY66" i="7" s="1"/>
  <c r="AY122" i="7"/>
  <c r="AY123" i="7" s="1"/>
  <c r="AY231" i="7"/>
  <c r="AY232" i="7" s="1"/>
  <c r="AY273" i="7"/>
  <c r="AY274" i="7" s="1"/>
  <c r="AY526" i="7"/>
  <c r="AY536" i="7" s="1"/>
  <c r="AY537" i="7" s="1"/>
  <c r="AY625" i="7"/>
  <c r="AY676" i="7" s="1"/>
  <c r="AY677" i="7" s="1"/>
  <c r="AZ721" i="7"/>
  <c r="AZ722" i="7" s="1"/>
  <c r="AZ667" i="7"/>
  <c r="AZ676" i="7" s="1"/>
  <c r="AZ677" i="7" s="1"/>
  <c r="BA463" i="7"/>
  <c r="BA639" i="7"/>
  <c r="BB163" i="7"/>
  <c r="BB179" i="7" s="1"/>
  <c r="BB200" i="7" s="1"/>
  <c r="BB364" i="7"/>
  <c r="BB365" i="7" s="1"/>
  <c r="BB388" i="7"/>
  <c r="BC502" i="7"/>
  <c r="BC536" i="7" s="1"/>
  <c r="BC537" i="7" s="1"/>
  <c r="BC676" i="7"/>
  <c r="BC677" i="7" s="1"/>
  <c r="BD702" i="7"/>
  <c r="BD272" i="7"/>
  <c r="BD273" i="7" s="1"/>
  <c r="BD274" i="7" s="1"/>
  <c r="BE721" i="7"/>
  <c r="BE722" i="7" s="1"/>
  <c r="BE178" i="7"/>
  <c r="BE179" i="7" s="1"/>
  <c r="BE348" i="7"/>
  <c r="BE364" i="7"/>
  <c r="BE365" i="7" s="1"/>
  <c r="BF364" i="7"/>
  <c r="BF365" i="7" s="1"/>
  <c r="BF470" i="7"/>
  <c r="BF471" i="7" s="1"/>
  <c r="BG536" i="7"/>
  <c r="BG537" i="7" s="1"/>
  <c r="BH65" i="7"/>
  <c r="BH66" i="7" s="1"/>
  <c r="BI676" i="7"/>
  <c r="BI677" i="7" s="1"/>
  <c r="BM65" i="7"/>
  <c r="BM66" i="7" s="1"/>
  <c r="BM231" i="7"/>
  <c r="BM232" i="7" s="1"/>
  <c r="BN348" i="7"/>
  <c r="BK65" i="7"/>
  <c r="BK66" i="7" s="1"/>
  <c r="BL65" i="7"/>
  <c r="BL66" i="7" s="1"/>
  <c r="AX198" i="7"/>
  <c r="AX199" i="7" s="1"/>
  <c r="AX200" i="7" s="1"/>
  <c r="AX470" i="7"/>
  <c r="AX471" i="7" s="1"/>
  <c r="AX667" i="7"/>
  <c r="AX676" i="7" s="1"/>
  <c r="AX677" i="7" s="1"/>
  <c r="AY470" i="7"/>
  <c r="AY471" i="7" s="1"/>
  <c r="AZ348" i="7"/>
  <c r="AZ502" i="7"/>
  <c r="BA714" i="7"/>
  <c r="BA35" i="7"/>
  <c r="BA65" i="7" s="1"/>
  <c r="BA66" i="7" s="1"/>
  <c r="BA178" i="7"/>
  <c r="BA219" i="7"/>
  <c r="BA231" i="7" s="1"/>
  <c r="BA232" i="7" s="1"/>
  <c r="BA257" i="7"/>
  <c r="BA425" i="7"/>
  <c r="BA526" i="7"/>
  <c r="BA536" i="7" s="1"/>
  <c r="BA537" i="7" s="1"/>
  <c r="BB714" i="7"/>
  <c r="BB721" i="7" s="1"/>
  <c r="BB722" i="7" s="1"/>
  <c r="BB122" i="7"/>
  <c r="BB123" i="7" s="1"/>
  <c r="BB272" i="7"/>
  <c r="BB334" i="7"/>
  <c r="BB335" i="7" s="1"/>
  <c r="BB348" i="7" s="1"/>
  <c r="BB443" i="7"/>
  <c r="BB625" i="7"/>
  <c r="BB676" i="7" s="1"/>
  <c r="BB677" i="7" s="1"/>
  <c r="BC737" i="7"/>
  <c r="BC738" i="7" s="1"/>
  <c r="BC739" i="7" s="1"/>
  <c r="BC122" i="7"/>
  <c r="BC123" i="7" s="1"/>
  <c r="BC198" i="7"/>
  <c r="BC199" i="7" s="1"/>
  <c r="BC301" i="7"/>
  <c r="BC302" i="7" s="1"/>
  <c r="BC348" i="7" s="1"/>
  <c r="BD122" i="7"/>
  <c r="BD123" i="7" s="1"/>
  <c r="BD625" i="7"/>
  <c r="BE35" i="7"/>
  <c r="BE65" i="7" s="1"/>
  <c r="BE66" i="7" s="1"/>
  <c r="BE199" i="7"/>
  <c r="BE200" i="7" s="1"/>
  <c r="BG721" i="7"/>
  <c r="BG722" i="7" s="1"/>
  <c r="BG122" i="7"/>
  <c r="BG123" i="7" s="1"/>
  <c r="BG199" i="7"/>
  <c r="BG676" i="7"/>
  <c r="BG677" i="7" s="1"/>
  <c r="BJ676" i="7"/>
  <c r="BJ677" i="7" s="1"/>
  <c r="BK122" i="7"/>
  <c r="BK123" i="7" s="1"/>
  <c r="BK364" i="7"/>
  <c r="BK365" i="7" s="1"/>
  <c r="BK676" i="7"/>
  <c r="BK677" i="7" s="1"/>
  <c r="BL199" i="7"/>
  <c r="BL273" i="7"/>
  <c r="BL274" i="7" s="1"/>
  <c r="BM536" i="7"/>
  <c r="BM537" i="7" s="1"/>
  <c r="BN721" i="7"/>
  <c r="BN722" i="7" s="1"/>
  <c r="BN65" i="7"/>
  <c r="BN66" i="7" s="1"/>
  <c r="BO721" i="7"/>
  <c r="BO722" i="7" s="1"/>
  <c r="BO122" i="7"/>
  <c r="BO123" i="7" s="1"/>
  <c r="AX231" i="7"/>
  <c r="AX232" i="7" s="1"/>
  <c r="AY721" i="7"/>
  <c r="AY722" i="7" s="1"/>
  <c r="AY348" i="7"/>
  <c r="AY364" i="7"/>
  <c r="AY365" i="7" s="1"/>
  <c r="AZ122" i="7"/>
  <c r="AZ123" i="7" s="1"/>
  <c r="AZ200" i="7"/>
  <c r="AZ470" i="7"/>
  <c r="AZ471" i="7" s="1"/>
  <c r="BA702" i="7"/>
  <c r="BA163" i="7"/>
  <c r="BA348" i="7"/>
  <c r="BA364" i="7"/>
  <c r="BA365" i="7" s="1"/>
  <c r="BA388" i="7"/>
  <c r="BB65" i="7"/>
  <c r="BB66" i="7" s="1"/>
  <c r="BC721" i="7"/>
  <c r="BC722" i="7" s="1"/>
  <c r="BC231" i="7"/>
  <c r="BC232" i="7" s="1"/>
  <c r="BD714" i="7"/>
  <c r="BD35" i="7"/>
  <c r="BD65" i="7" s="1"/>
  <c r="BD66" i="7" s="1"/>
  <c r="BD163" i="7"/>
  <c r="BD179" i="7" s="1"/>
  <c r="BD199" i="7"/>
  <c r="BD443" i="7"/>
  <c r="BD470" i="7" s="1"/>
  <c r="BD471" i="7" s="1"/>
  <c r="BE536" i="7"/>
  <c r="BE537" i="7" s="1"/>
  <c r="BE676" i="7"/>
  <c r="BE677" i="7" s="1"/>
  <c r="BF65" i="7"/>
  <c r="BF66" i="7" s="1"/>
  <c r="BG65" i="7"/>
  <c r="BG66" i="7" s="1"/>
  <c r="BH348" i="7"/>
  <c r="BH536" i="7"/>
  <c r="BH537" i="7" s="1"/>
  <c r="BK721" i="7"/>
  <c r="BK722" i="7" s="1"/>
  <c r="BL721" i="7"/>
  <c r="BL722" i="7" s="1"/>
  <c r="BL348" i="7"/>
  <c r="BM200" i="7"/>
  <c r="BN676" i="7"/>
  <c r="BN677" i="7" s="1"/>
  <c r="BP536" i="7"/>
  <c r="BP537" i="7" s="1"/>
  <c r="BR122" i="7"/>
  <c r="BR123" i="7" s="1"/>
  <c r="BR348" i="7"/>
  <c r="BS122" i="7"/>
  <c r="BS123" i="7" s="1"/>
  <c r="BV348" i="7"/>
  <c r="BW179" i="7"/>
  <c r="BW364" i="7"/>
  <c r="BW365" i="7" s="1"/>
  <c r="BW470" i="7"/>
  <c r="BW471" i="7" s="1"/>
  <c r="BW676" i="7"/>
  <c r="BW677" i="7" s="1"/>
  <c r="BX348" i="7"/>
  <c r="BX470" i="7"/>
  <c r="BX471" i="7" s="1"/>
  <c r="BX536" i="7"/>
  <c r="BX537" i="7" s="1"/>
  <c r="BY721" i="7"/>
  <c r="BY722" i="7" s="1"/>
  <c r="BY65" i="7"/>
  <c r="BY66" i="7" s="1"/>
  <c r="BY536" i="7"/>
  <c r="BY537" i="7" s="1"/>
  <c r="BH388" i="7"/>
  <c r="BK388" i="7"/>
  <c r="BW200" i="7"/>
  <c r="BX676" i="7"/>
  <c r="BX677" i="7" s="1"/>
  <c r="BG388" i="7"/>
  <c r="BI388" i="7"/>
  <c r="BJ463" i="7"/>
  <c r="BL463" i="7"/>
  <c r="BL470" i="7" s="1"/>
  <c r="BL471" i="7" s="1"/>
  <c r="BP200" i="7"/>
  <c r="BQ348" i="7"/>
  <c r="BR65" i="7"/>
  <c r="BR66" i="7" s="1"/>
  <c r="BR676" i="7"/>
  <c r="BR677" i="7" s="1"/>
  <c r="BS348" i="7"/>
  <c r="BV364" i="7"/>
  <c r="BV365" i="7" s="1"/>
  <c r="BW348" i="7"/>
  <c r="BJ388" i="7"/>
  <c r="BM388" i="7"/>
  <c r="BM470" i="7" s="1"/>
  <c r="BM471" i="7" s="1"/>
  <c r="BO348" i="7"/>
  <c r="BQ179" i="7"/>
  <c r="BQ200" i="7" s="1"/>
  <c r="BS470" i="7"/>
  <c r="BS471" i="7" s="1"/>
  <c r="BU536" i="7"/>
  <c r="BU537" i="7" s="1"/>
  <c r="BY334" i="7"/>
  <c r="BY335" i="7" s="1"/>
  <c r="BY348" i="7" s="1"/>
  <c r="BY625" i="7"/>
  <c r="BZ122" i="7"/>
  <c r="BZ123" i="7" s="1"/>
  <c r="CB122" i="7"/>
  <c r="CB123" i="7" s="1"/>
  <c r="CB273" i="7"/>
  <c r="CB274" i="7" s="1"/>
  <c r="CB667" i="7"/>
  <c r="CC122" i="7"/>
  <c r="CC123" i="7" s="1"/>
  <c r="CC273" i="7"/>
  <c r="CC274" i="7" s="1"/>
  <c r="CC364" i="7"/>
  <c r="CC365" i="7" s="1"/>
  <c r="CC676" i="7"/>
  <c r="CC677" i="7" s="1"/>
  <c r="CD231" i="7"/>
  <c r="CD232" i="7" s="1"/>
  <c r="BZ65" i="7"/>
  <c r="BZ66" i="7" s="1"/>
  <c r="CB65" i="7"/>
  <c r="CB66" i="7" s="1"/>
  <c r="CC65" i="7"/>
  <c r="CC66" i="7" s="1"/>
  <c r="BY443" i="7"/>
  <c r="BY667" i="7"/>
  <c r="BZ714" i="7"/>
  <c r="BZ163" i="7"/>
  <c r="BZ179" i="7" s="1"/>
  <c r="BZ219" i="7"/>
  <c r="BZ272" i="7"/>
  <c r="BZ348" i="7"/>
  <c r="BZ364" i="7"/>
  <c r="BZ365" i="7" s="1"/>
  <c r="BZ425" i="7"/>
  <c r="CA737" i="7"/>
  <c r="CA738" i="7" s="1"/>
  <c r="CA739" i="7" s="1"/>
  <c r="CA198" i="7"/>
  <c r="CA199" i="7" s="1"/>
  <c r="CA301" i="7"/>
  <c r="CA302" i="7" s="1"/>
  <c r="CA348" i="7" s="1"/>
  <c r="CB702" i="7"/>
  <c r="CB721" i="7" s="1"/>
  <c r="CB722" i="7" s="1"/>
  <c r="CB163" i="7"/>
  <c r="CB179" i="7" s="1"/>
  <c r="CB348" i="7"/>
  <c r="CB388" i="7"/>
  <c r="CC702" i="7"/>
  <c r="CC721" i="7" s="1"/>
  <c r="CC722" i="7" s="1"/>
  <c r="CC163" i="7"/>
  <c r="CC231" i="7"/>
  <c r="CC232" i="7" s="1"/>
  <c r="CD721" i="7"/>
  <c r="CD722" i="7" s="1"/>
  <c r="BY364" i="7"/>
  <c r="BY365" i="7" s="1"/>
  <c r="BY425" i="7"/>
  <c r="BY639" i="7"/>
  <c r="BZ702" i="7"/>
  <c r="BZ199" i="7"/>
  <c r="BZ257" i="7"/>
  <c r="BZ388" i="7"/>
  <c r="BZ625" i="7"/>
  <c r="BZ676" i="7" s="1"/>
  <c r="BZ677" i="7" s="1"/>
  <c r="CA231" i="7"/>
  <c r="CA232" i="7" s="1"/>
  <c r="CA470" i="7"/>
  <c r="CA471" i="7" s="1"/>
  <c r="CB199" i="7"/>
  <c r="CB231" i="7"/>
  <c r="CB232" i="7" s="1"/>
  <c r="CB463" i="7"/>
  <c r="CB526" i="7"/>
  <c r="CB536" i="7" s="1"/>
  <c r="CB537" i="7" s="1"/>
  <c r="CB639" i="7"/>
  <c r="CG122" i="7"/>
  <c r="CG123" i="7" s="1"/>
  <c r="CD334" i="7"/>
  <c r="CD335" i="7" s="1"/>
  <c r="CD348" i="7" s="1"/>
  <c r="CD388" i="7"/>
  <c r="CE219" i="7"/>
  <c r="CE301" i="7"/>
  <c r="CE302" i="7" s="1"/>
  <c r="CE463" i="7"/>
  <c r="CE639" i="7"/>
  <c r="CF348" i="7"/>
  <c r="CF667" i="7"/>
  <c r="CF676" i="7" s="1"/>
  <c r="CF677" i="7" s="1"/>
  <c r="CG348" i="7"/>
  <c r="CG625" i="7"/>
  <c r="CH334" i="7"/>
  <c r="CH335" i="7" s="1"/>
  <c r="CH526" i="7"/>
  <c r="CI702" i="7"/>
  <c r="CI163" i="7"/>
  <c r="CI179" i="7" s="1"/>
  <c r="CI200" i="7" s="1"/>
  <c r="CI364" i="7"/>
  <c r="CI365" i="7" s="1"/>
  <c r="CI388" i="7"/>
  <c r="CJ702" i="7"/>
  <c r="CJ334" i="7"/>
  <c r="CJ335" i="7" s="1"/>
  <c r="CJ625" i="7"/>
  <c r="CJ676" i="7" s="1"/>
  <c r="CJ677" i="7" s="1"/>
  <c r="CK737" i="7"/>
  <c r="CK738" i="7" s="1"/>
  <c r="CK739" i="7" s="1"/>
  <c r="CL65" i="7"/>
  <c r="CL66" i="7" s="1"/>
  <c r="CN526" i="7"/>
  <c r="CN536" i="7" s="1"/>
  <c r="CN537" i="7" s="1"/>
  <c r="CD526" i="7"/>
  <c r="CD536" i="7" s="1"/>
  <c r="CD537" i="7" s="1"/>
  <c r="CE199" i="7"/>
  <c r="CE625" i="7"/>
  <c r="CF721" i="7"/>
  <c r="CF722" i="7" s="1"/>
  <c r="CI667" i="7"/>
  <c r="CL667" i="7"/>
  <c r="CD463" i="7"/>
  <c r="CE388" i="7"/>
  <c r="CE470" i="7" s="1"/>
  <c r="CE471" i="7" s="1"/>
  <c r="CE667" i="7"/>
  <c r="CF257" i="7"/>
  <c r="CF273" i="7" s="1"/>
  <c r="CF274" i="7" s="1"/>
  <c r="CG272" i="7"/>
  <c r="CG273" i="7" s="1"/>
  <c r="CG274" i="7" s="1"/>
  <c r="CG364" i="7"/>
  <c r="CG365" i="7" s="1"/>
  <c r="CH230" i="7"/>
  <c r="CH231" i="7" s="1"/>
  <c r="CH232" i="7" s="1"/>
  <c r="CH301" i="7"/>
  <c r="CH302" i="7" s="1"/>
  <c r="CH425" i="7"/>
  <c r="CH470" i="7" s="1"/>
  <c r="CH471" i="7" s="1"/>
  <c r="CH502" i="7"/>
  <c r="CH625" i="7"/>
  <c r="CH667" i="7"/>
  <c r="CI122" i="7"/>
  <c r="CI123" i="7" s="1"/>
  <c r="CI272" i="7"/>
  <c r="CI273" i="7" s="1"/>
  <c r="CI274" i="7" s="1"/>
  <c r="CI334" i="7"/>
  <c r="CI335" i="7" s="1"/>
  <c r="CI348" i="7" s="1"/>
  <c r="CI443" i="7"/>
  <c r="CI625" i="7"/>
  <c r="CJ230" i="7"/>
  <c r="CJ231" i="7" s="1"/>
  <c r="CJ232" i="7" s="1"/>
  <c r="CJ301" i="7"/>
  <c r="CJ302" i="7" s="1"/>
  <c r="CJ425" i="7"/>
  <c r="CJ502" i="7"/>
  <c r="CK702" i="7"/>
  <c r="CK721" i="7" s="1"/>
  <c r="CK722" i="7" s="1"/>
  <c r="CK179" i="7"/>
  <c r="CK273" i="7"/>
  <c r="CK274" i="7" s="1"/>
  <c r="CK526" i="7"/>
  <c r="CK625" i="7"/>
  <c r="CD625" i="7"/>
  <c r="CD676" i="7" s="1"/>
  <c r="CD677" i="7" s="1"/>
  <c r="CG536" i="7"/>
  <c r="CG537" i="7" s="1"/>
  <c r="CG667" i="7"/>
  <c r="CH179" i="7"/>
  <c r="CH273" i="7"/>
  <c r="CH274" i="7" s="1"/>
  <c r="CI65" i="7"/>
  <c r="CI66" i="7" s="1"/>
  <c r="CJ179" i="7"/>
  <c r="CJ200" i="7" s="1"/>
  <c r="CJ273" i="7"/>
  <c r="CJ274" i="7" s="1"/>
  <c r="CK231" i="7"/>
  <c r="CK232" i="7" s="1"/>
  <c r="CL273" i="7"/>
  <c r="CL274" i="7" s="1"/>
  <c r="CK198" i="7"/>
  <c r="CK199" i="7" s="1"/>
  <c r="CL198" i="7"/>
  <c r="CL199" i="7" s="1"/>
  <c r="CL526" i="7"/>
  <c r="CL536" i="7" s="1"/>
  <c r="CL537" i="7" s="1"/>
  <c r="CL625" i="7"/>
  <c r="CN231" i="7"/>
  <c r="CN232" i="7" s="1"/>
  <c r="CN667" i="7"/>
  <c r="CS625" i="7"/>
  <c r="CK470" i="7"/>
  <c r="CK471" i="7" s="1"/>
  <c r="CL737" i="7"/>
  <c r="CL738" i="7" s="1"/>
  <c r="CL739" i="7" s="1"/>
  <c r="CL470" i="7"/>
  <c r="CL471" i="7" s="1"/>
  <c r="CO536" i="7"/>
  <c r="CO537" i="7" s="1"/>
  <c r="CR122" i="7"/>
  <c r="CR123" i="7" s="1"/>
  <c r="CM35" i="7"/>
  <c r="CM65" i="7" s="1"/>
  <c r="CM66" i="7" s="1"/>
  <c r="CM178" i="7"/>
  <c r="CM179" i="7" s="1"/>
  <c r="CM667" i="7"/>
  <c r="CN179" i="7"/>
  <c r="CN273" i="7"/>
  <c r="CN274" i="7" s="1"/>
  <c r="CO65" i="7"/>
  <c r="CO66" i="7" s="1"/>
  <c r="CO179" i="7"/>
  <c r="CO273" i="7"/>
  <c r="CO274" i="7" s="1"/>
  <c r="CP301" i="7"/>
  <c r="CP302" i="7" s="1"/>
  <c r="CP348" i="7" s="1"/>
  <c r="CP625" i="7"/>
  <c r="CP676" i="7" s="1"/>
  <c r="CP677" i="7" s="1"/>
  <c r="CQ122" i="7"/>
  <c r="CQ123" i="7" s="1"/>
  <c r="CQ348" i="7"/>
  <c r="CR273" i="7"/>
  <c r="CR274" i="7" s="1"/>
  <c r="CS257" i="7"/>
  <c r="CS273" i="7" s="1"/>
  <c r="CS274" i="7" s="1"/>
  <c r="CS364" i="7"/>
  <c r="CS365" i="7" s="1"/>
  <c r="CS470" i="7"/>
  <c r="CS471" i="7" s="1"/>
  <c r="CV270" i="7"/>
  <c r="CV271" i="7" s="1"/>
  <c r="CV272" i="7" s="1"/>
  <c r="CM271" i="7"/>
  <c r="CM272" i="7" s="1"/>
  <c r="CM273" i="7" s="1"/>
  <c r="CM274" i="7" s="1"/>
  <c r="CV151" i="7"/>
  <c r="CV163" i="7" s="1"/>
  <c r="CV101" i="7"/>
  <c r="CV102" i="7" s="1"/>
  <c r="CV103" i="7" s="1"/>
  <c r="CM536" i="7"/>
  <c r="CM537" i="7" s="1"/>
  <c r="CN65" i="7"/>
  <c r="CN66" i="7" s="1"/>
  <c r="CN463" i="7"/>
  <c r="CN625" i="7"/>
  <c r="CO721" i="7"/>
  <c r="CO722" i="7" s="1"/>
  <c r="CP122" i="7"/>
  <c r="CP123" i="7" s="1"/>
  <c r="CP470" i="7"/>
  <c r="CP471" i="7" s="1"/>
  <c r="CQ273" i="7"/>
  <c r="CQ274" i="7" s="1"/>
  <c r="CQ625" i="7"/>
  <c r="CQ667" i="7"/>
  <c r="CR65" i="7"/>
  <c r="CR66" i="7" s="1"/>
  <c r="CR676" i="7"/>
  <c r="CR677" i="7" s="1"/>
  <c r="CS65" i="7"/>
  <c r="CS66" i="7" s="1"/>
  <c r="CS122" i="7"/>
  <c r="CS123" i="7" s="1"/>
  <c r="CS667" i="7"/>
  <c r="CM122" i="7"/>
  <c r="CM123" i="7" s="1"/>
  <c r="CM200" i="7"/>
  <c r="CM625" i="7"/>
  <c r="CN721" i="7"/>
  <c r="CN722" i="7" s="1"/>
  <c r="CN199" i="7"/>
  <c r="CN200" i="7" s="1"/>
  <c r="CO199" i="7"/>
  <c r="CO625" i="7"/>
  <c r="CO676" i="7" s="1"/>
  <c r="CO677" i="7" s="1"/>
  <c r="CP179" i="7"/>
  <c r="CP200" i="7" s="1"/>
  <c r="CQ65" i="7"/>
  <c r="CQ66" i="7" s="1"/>
  <c r="CV576" i="7"/>
  <c r="CV590" i="7"/>
  <c r="CV526" i="7"/>
  <c r="CV413" i="7"/>
  <c r="CV702" i="7"/>
  <c r="AT646" i="7"/>
  <c r="AT667" i="7" s="1"/>
  <c r="AT676" i="7" s="1"/>
  <c r="AT677" i="7" s="1"/>
  <c r="CV644" i="7"/>
  <c r="CV646" i="7" s="1"/>
  <c r="CV667" i="7" s="1"/>
  <c r="CV400" i="7"/>
  <c r="CV256" i="7"/>
  <c r="CV134" i="7"/>
  <c r="CV142" i="7" s="1"/>
  <c r="CV172" i="7"/>
  <c r="CV178" i="7" s="1"/>
  <c r="CV114" i="7"/>
  <c r="CV115" i="7" s="1"/>
  <c r="CV714" i="7"/>
  <c r="CV639" i="7"/>
  <c r="CV383" i="7"/>
  <c r="CV388" i="7" s="1"/>
  <c r="CV425" i="7"/>
  <c r="CV300" i="7"/>
  <c r="CV301" i="7" s="1"/>
  <c r="CV302" i="7" s="1"/>
  <c r="CV345" i="7"/>
  <c r="CV346" i="7" s="1"/>
  <c r="CV347" i="7" s="1"/>
  <c r="CV243" i="7"/>
  <c r="CT736" i="7"/>
  <c r="Z142" i="7"/>
  <c r="CT345" i="7"/>
  <c r="CT256" i="7"/>
  <c r="CT151" i="7"/>
  <c r="CE142" i="7"/>
  <c r="CE179" i="7" s="1"/>
  <c r="CU702" i="7"/>
  <c r="CT639" i="7"/>
  <c r="CT656" i="7"/>
  <c r="CT701" i="7"/>
  <c r="CT250" i="7"/>
  <c r="CT230" i="7"/>
  <c r="CT714" i="7"/>
  <c r="CU625" i="7"/>
  <c r="G89" i="10"/>
  <c r="CT20" i="7"/>
  <c r="CU737" i="7"/>
  <c r="CU738" i="7" s="1"/>
  <c r="CU739" i="7" s="1"/>
  <c r="G19" i="10" s="1"/>
  <c r="CU526" i="7"/>
  <c r="CU383" i="7"/>
  <c r="CT172" i="7"/>
  <c r="CT208" i="7"/>
  <c r="CT73" i="7"/>
  <c r="CT134" i="7"/>
  <c r="CU479" i="7"/>
  <c r="CU480" i="7" s="1"/>
  <c r="CT286" i="7"/>
  <c r="CU243" i="7"/>
  <c r="CU257" i="7" s="1"/>
  <c r="CT178" i="7"/>
  <c r="CU270" i="7"/>
  <c r="CU271" i="7" s="1"/>
  <c r="CU272" i="7" s="1"/>
  <c r="CT434" i="7"/>
  <c r="CT383" i="7"/>
  <c r="CU400" i="7"/>
  <c r="CU425" i="7" s="1"/>
  <c r="CU198" i="7"/>
  <c r="CU199" i="7" s="1"/>
  <c r="CT101" i="7"/>
  <c r="CU65" i="7"/>
  <c r="CU66" i="7" s="1"/>
  <c r="G4" i="10" s="1"/>
  <c r="CT243" i="7"/>
  <c r="CT63" i="7"/>
  <c r="CU502" i="7"/>
  <c r="CT413" i="7"/>
  <c r="CT420" i="7"/>
  <c r="CU434" i="7"/>
  <c r="CU443" i="7" s="1"/>
  <c r="CU286" i="7"/>
  <c r="CU300" i="7"/>
  <c r="CU320" i="7"/>
  <c r="CU334" i="7" s="1"/>
  <c r="CU335" i="7" s="1"/>
  <c r="CU345" i="7"/>
  <c r="CU346" i="7" s="1"/>
  <c r="CU347" i="7" s="1"/>
  <c r="CU134" i="7"/>
  <c r="CU142" i="7" s="1"/>
  <c r="CU102" i="7"/>
  <c r="CU103" i="7" s="1"/>
  <c r="CU387" i="7"/>
  <c r="CT463" i="7"/>
  <c r="CT387" i="7"/>
  <c r="CV457" i="7"/>
  <c r="CV463" i="7" s="1"/>
  <c r="CM470" i="7" l="1"/>
  <c r="CM471" i="7" s="1"/>
  <c r="BQ103" i="7"/>
  <c r="BQ122" i="7"/>
  <c r="BQ123" i="7" s="1"/>
  <c r="AW103" i="7"/>
  <c r="AW122" i="7"/>
  <c r="AW123" i="7" s="1"/>
  <c r="AP103" i="7"/>
  <c r="AP122" i="7"/>
  <c r="AP123" i="7" s="1"/>
  <c r="CB470" i="7"/>
  <c r="CB471" i="7" s="1"/>
  <c r="CS348" i="7"/>
  <c r="CQ200" i="7"/>
  <c r="CE536" i="7"/>
  <c r="CE537" i="7" s="1"/>
  <c r="AP536" i="7"/>
  <c r="AP537" i="7" s="1"/>
  <c r="CF470" i="7"/>
  <c r="CF471" i="7" s="1"/>
  <c r="CO470" i="7"/>
  <c r="CO471" i="7" s="1"/>
  <c r="BT103" i="7"/>
  <c r="BT122" i="7"/>
  <c r="BT123" i="7" s="1"/>
  <c r="CK676" i="7"/>
  <c r="CK677" i="7" s="1"/>
  <c r="CN470" i="7"/>
  <c r="CN471" i="7" s="1"/>
  <c r="CC179" i="7"/>
  <c r="CC200" i="7" s="1"/>
  <c r="BL122" i="7"/>
  <c r="BL123" i="7" s="1"/>
  <c r="CP231" i="7"/>
  <c r="CP232" i="7" s="1"/>
  <c r="BA470" i="7"/>
  <c r="BA471" i="7" s="1"/>
  <c r="AZ536" i="7"/>
  <c r="AZ537" i="7" s="1"/>
  <c r="BY179" i="7"/>
  <c r="CF536" i="7"/>
  <c r="CF537" i="7" s="1"/>
  <c r="BL179" i="7"/>
  <c r="BL200" i="7" s="1"/>
  <c r="BL679" i="7" s="1"/>
  <c r="BL753" i="7" s="1"/>
  <c r="BJ348" i="7"/>
  <c r="AD470" i="7"/>
  <c r="AD471" i="7" s="1"/>
  <c r="T470" i="7"/>
  <c r="T471" i="7" s="1"/>
  <c r="AT273" i="7"/>
  <c r="AT274" i="7" s="1"/>
  <c r="AR721" i="7"/>
  <c r="AR722" i="7" s="1"/>
  <c r="BM273" i="7"/>
  <c r="BM274" i="7" s="1"/>
  <c r="AG179" i="7"/>
  <c r="S348" i="7"/>
  <c r="BH103" i="7"/>
  <c r="BH122" i="7"/>
  <c r="BH123" i="7" s="1"/>
  <c r="AV179" i="7"/>
  <c r="AP721" i="7"/>
  <c r="AP722" i="7" s="1"/>
  <c r="CK536" i="7"/>
  <c r="CK537" i="7" s="1"/>
  <c r="CJ536" i="7"/>
  <c r="CJ537" i="7" s="1"/>
  <c r="CJ721" i="7"/>
  <c r="CJ722" i="7" s="1"/>
  <c r="CE231" i="7"/>
  <c r="CE232" i="7" s="1"/>
  <c r="BK470" i="7"/>
  <c r="BK471" i="7" s="1"/>
  <c r="AG470" i="7"/>
  <c r="AG471" i="7" s="1"/>
  <c r="BL536" i="7"/>
  <c r="BL537" i="7" s="1"/>
  <c r="BW273" i="7"/>
  <c r="BW274" i="7" s="1"/>
  <c r="BW536" i="7"/>
  <c r="BW537" i="7" s="1"/>
  <c r="AJ348" i="7"/>
  <c r="AW470" i="7"/>
  <c r="AW471" i="7" s="1"/>
  <c r="BN103" i="7"/>
  <c r="BN122" i="7"/>
  <c r="BN123" i="7" s="1"/>
  <c r="AG103" i="7"/>
  <c r="AG122" i="7"/>
  <c r="AG123" i="7" s="1"/>
  <c r="BW103" i="7"/>
  <c r="BW122" i="7"/>
  <c r="BW123" i="7" s="1"/>
  <c r="BI721" i="7"/>
  <c r="BI722" i="7" s="1"/>
  <c r="AN721" i="7"/>
  <c r="AN722" i="7" s="1"/>
  <c r="U103" i="7"/>
  <c r="U122" i="7"/>
  <c r="U123" i="7" s="1"/>
  <c r="CI721" i="7"/>
  <c r="CI722" i="7" s="1"/>
  <c r="BI470" i="7"/>
  <c r="BI471" i="7" s="1"/>
  <c r="BD676" i="7"/>
  <c r="BD677" i="7" s="1"/>
  <c r="BB273" i="7"/>
  <c r="BB274" i="7" s="1"/>
  <c r="Z179" i="7"/>
  <c r="Z200" i="7" s="1"/>
  <c r="CH200" i="7"/>
  <c r="CJ470" i="7"/>
  <c r="CJ471" i="7" s="1"/>
  <c r="BZ231" i="7"/>
  <c r="BZ232" i="7" s="1"/>
  <c r="BG470" i="7"/>
  <c r="BG471" i="7" s="1"/>
  <c r="BH470" i="7"/>
  <c r="BH471" i="7" s="1"/>
  <c r="BA273" i="7"/>
  <c r="BA274" i="7" s="1"/>
  <c r="BA676" i="7"/>
  <c r="BA677" i="7" s="1"/>
  <c r="AS200" i="7"/>
  <c r="AX122" i="7"/>
  <c r="AX123" i="7" s="1"/>
  <c r="AB721" i="7"/>
  <c r="AB722" i="7" s="1"/>
  <c r="AA179" i="7"/>
  <c r="AB676" i="7"/>
  <c r="AB677" i="7" s="1"/>
  <c r="BS536" i="7"/>
  <c r="BS537" i="7" s="1"/>
  <c r="BV231" i="7"/>
  <c r="BV232" i="7" s="1"/>
  <c r="AW536" i="7"/>
  <c r="AW537" i="7" s="1"/>
  <c r="AN536" i="7"/>
  <c r="AN537" i="7" s="1"/>
  <c r="AI179" i="7"/>
  <c r="AI200" i="7" s="1"/>
  <c r="AI679" i="7" s="1"/>
  <c r="AI753" i="7" s="1"/>
  <c r="R721" i="7"/>
  <c r="R722" i="7" s="1"/>
  <c r="BR470" i="7"/>
  <c r="BR471" i="7" s="1"/>
  <c r="BI103" i="7"/>
  <c r="BI122" i="7"/>
  <c r="BI123" i="7" s="1"/>
  <c r="AB231" i="7"/>
  <c r="AB232" i="7" s="1"/>
  <c r="AF103" i="7"/>
  <c r="AF122" i="7"/>
  <c r="AF123" i="7" s="1"/>
  <c r="Y200" i="7"/>
  <c r="C59" i="10"/>
  <c r="AO200" i="7"/>
  <c r="AM676" i="7"/>
  <c r="AM677" i="7" s="1"/>
  <c r="AI676" i="7"/>
  <c r="AI677" i="7" s="1"/>
  <c r="AB179" i="7"/>
  <c r="S676" i="7"/>
  <c r="S677" i="7" s="1"/>
  <c r="T676" i="7"/>
  <c r="T677" i="7" s="1"/>
  <c r="AF676" i="7"/>
  <c r="AF677" i="7" s="1"/>
  <c r="BN470" i="7"/>
  <c r="BN471" i="7" s="1"/>
  <c r="CS721" i="7"/>
  <c r="CS722" i="7" s="1"/>
  <c r="BI348" i="7"/>
  <c r="BG348" i="7"/>
  <c r="AX273" i="7"/>
  <c r="AX274" i="7" s="1"/>
  <c r="BU676" i="7"/>
  <c r="BU677" i="7" s="1"/>
  <c r="BO231" i="7"/>
  <c r="BO232" i="7" s="1"/>
  <c r="AE273" i="7"/>
  <c r="AE274" i="7" s="1"/>
  <c r="AD721" i="7"/>
  <c r="AD722" i="7" s="1"/>
  <c r="Q273" i="7"/>
  <c r="Q274" i="7" s="1"/>
  <c r="T231" i="7"/>
  <c r="T232" i="7" s="1"/>
  <c r="AR536" i="7"/>
  <c r="AR537" i="7" s="1"/>
  <c r="X231" i="7"/>
  <c r="X232" i="7" s="1"/>
  <c r="BO179" i="7"/>
  <c r="AH179" i="7"/>
  <c r="AH200" i="7" s="1"/>
  <c r="AI273" i="7"/>
  <c r="AI274" i="7" s="1"/>
  <c r="AA231" i="7"/>
  <c r="AA232" i="7" s="1"/>
  <c r="R200" i="7"/>
  <c r="AM179" i="7"/>
  <c r="AH676" i="7"/>
  <c r="AH677" i="7" s="1"/>
  <c r="CQ470" i="7"/>
  <c r="CQ471" i="7" s="1"/>
  <c r="CU178" i="7"/>
  <c r="CN348" i="7"/>
  <c r="BG231" i="7"/>
  <c r="BG232" i="7" s="1"/>
  <c r="AV122" i="7"/>
  <c r="AV123" i="7" s="1"/>
  <c r="I20" i="10"/>
  <c r="G20" i="10"/>
  <c r="X676" i="7"/>
  <c r="X677" i="7" s="1"/>
  <c r="BQ470" i="7"/>
  <c r="BQ471" i="7" s="1"/>
  <c r="AA470" i="7"/>
  <c r="AA471" i="7" s="1"/>
  <c r="BA721" i="7"/>
  <c r="BA722" i="7" s="1"/>
  <c r="AA676" i="7"/>
  <c r="AA677" i="7" s="1"/>
  <c r="BQ536" i="7"/>
  <c r="BQ537" i="7" s="1"/>
  <c r="BT200" i="7"/>
  <c r="BT679" i="7" s="1"/>
  <c r="BT753" i="7" s="1"/>
  <c r="S200" i="7"/>
  <c r="CE257" i="7"/>
  <c r="CE273" i="7" s="1"/>
  <c r="CE274" i="7" s="1"/>
  <c r="CI470" i="7"/>
  <c r="CI471" i="7" s="1"/>
  <c r="CD470" i="7"/>
  <c r="CD471" i="7" s="1"/>
  <c r="BZ470" i="7"/>
  <c r="BZ471" i="7" s="1"/>
  <c r="BD721" i="7"/>
  <c r="BD722" i="7" s="1"/>
  <c r="CV231" i="7"/>
  <c r="CV232" i="7" s="1"/>
  <c r="I8" i="10" s="1"/>
  <c r="CR470" i="7"/>
  <c r="CR471" i="7" s="1"/>
  <c r="CG470" i="7"/>
  <c r="CG471" i="7" s="1"/>
  <c r="BH179" i="7"/>
  <c r="BH200" i="7" s="1"/>
  <c r="BH679" i="7" s="1"/>
  <c r="BH753" i="7" s="1"/>
  <c r="AU721" i="7"/>
  <c r="AU722" i="7" s="1"/>
  <c r="AQ200" i="7"/>
  <c r="BV200" i="7"/>
  <c r="AP200" i="7"/>
  <c r="CP273" i="7"/>
  <c r="CP274" i="7" s="1"/>
  <c r="CT102" i="7"/>
  <c r="CT142" i="7"/>
  <c r="CT21" i="7"/>
  <c r="CT163" i="7"/>
  <c r="CT115" i="7"/>
  <c r="CT687" i="7"/>
  <c r="BO200" i="7"/>
  <c r="BO679" i="7" s="1"/>
  <c r="BO753" i="7" s="1"/>
  <c r="CT197" i="7"/>
  <c r="AS721" i="7"/>
  <c r="AS722" i="7" s="1"/>
  <c r="CT480" i="7"/>
  <c r="BU470" i="7"/>
  <c r="BU471" i="7" s="1"/>
  <c r="BP231" i="7"/>
  <c r="BP232" i="7" s="1"/>
  <c r="CT77" i="7"/>
  <c r="CS676" i="7"/>
  <c r="CS677" i="7" s="1"/>
  <c r="CM676" i="7"/>
  <c r="CM677" i="7" s="1"/>
  <c r="CM679" i="7" s="1"/>
  <c r="CM753" i="7" s="1"/>
  <c r="CT271" i="7"/>
  <c r="CT469" i="7"/>
  <c r="CT545" i="7"/>
  <c r="BS676" i="7"/>
  <c r="BS677" i="7" s="1"/>
  <c r="BS679" i="7" s="1"/>
  <c r="BS753" i="7" s="1"/>
  <c r="CT443" i="7"/>
  <c r="CT301" i="7"/>
  <c r="CT210" i="7"/>
  <c r="CT346" i="7"/>
  <c r="CT737" i="7"/>
  <c r="CT357" i="7"/>
  <c r="CK348" i="7"/>
  <c r="CG179" i="7"/>
  <c r="CG200" i="7" s="1"/>
  <c r="CT267" i="7"/>
  <c r="CT333" i="7"/>
  <c r="CT517" i="7"/>
  <c r="CT485" i="7"/>
  <c r="W721" i="7"/>
  <c r="W722" i="7" s="1"/>
  <c r="CT363" i="7"/>
  <c r="CT720" i="7"/>
  <c r="CT41" i="7"/>
  <c r="AC122" i="7"/>
  <c r="AC123" i="7" s="1"/>
  <c r="CT64" i="7"/>
  <c r="CT388" i="7"/>
  <c r="CT470" i="7" s="1"/>
  <c r="CU301" i="7"/>
  <c r="CU302" i="7" s="1"/>
  <c r="CT702" i="7"/>
  <c r="CT667" i="7"/>
  <c r="CV721" i="7"/>
  <c r="CV722" i="7" s="1"/>
  <c r="I18" i="10" s="1"/>
  <c r="CV625" i="7"/>
  <c r="CV676" i="7" s="1"/>
  <c r="CV677" i="7" s="1"/>
  <c r="I15" i="10" s="1"/>
  <c r="CO200" i="7"/>
  <c r="CQ676" i="7"/>
  <c r="CQ677" i="7" s="1"/>
  <c r="CH676" i="7"/>
  <c r="CH677" i="7" s="1"/>
  <c r="CT675" i="7"/>
  <c r="CU721" i="7"/>
  <c r="CU722" i="7" s="1"/>
  <c r="G18" i="10" s="1"/>
  <c r="CT535" i="7"/>
  <c r="CT590" i="7"/>
  <c r="BU200" i="7"/>
  <c r="V348" i="7"/>
  <c r="CT121" i="7"/>
  <c r="CO122" i="7"/>
  <c r="CO123" i="7" s="1"/>
  <c r="CO103" i="7"/>
  <c r="BR231" i="7"/>
  <c r="BR232" i="7" s="1"/>
  <c r="CT35" i="7"/>
  <c r="CT749" i="7"/>
  <c r="AZ679" i="7"/>
  <c r="AZ753" i="7" s="1"/>
  <c r="AV200" i="7"/>
  <c r="AU200" i="7"/>
  <c r="CR179" i="7"/>
  <c r="CR200" i="7" s="1"/>
  <c r="CR679" i="7" s="1"/>
  <c r="CR753" i="7" s="1"/>
  <c r="CL122" i="7"/>
  <c r="CL123" i="7" s="1"/>
  <c r="CL103" i="7"/>
  <c r="BI536" i="7"/>
  <c r="BI537" i="7" s="1"/>
  <c r="BJ231" i="7"/>
  <c r="BJ232" i="7" s="1"/>
  <c r="CT334" i="7"/>
  <c r="V122" i="7"/>
  <c r="V123" i="7" s="1"/>
  <c r="CV179" i="7"/>
  <c r="CV200" i="7" s="1"/>
  <c r="I7" i="10" s="1"/>
  <c r="CE348" i="7"/>
  <c r="CA200" i="7"/>
  <c r="BZ721" i="7"/>
  <c r="BZ722" i="7" s="1"/>
  <c r="AH679" i="7"/>
  <c r="AH753" i="7" s="1"/>
  <c r="Z676" i="7"/>
  <c r="Z677" i="7" s="1"/>
  <c r="S679" i="7"/>
  <c r="S753" i="7" s="1"/>
  <c r="Z470" i="7"/>
  <c r="Z471" i="7" s="1"/>
  <c r="Y536" i="7"/>
  <c r="Y537" i="7" s="1"/>
  <c r="G80" i="10"/>
  <c r="L5" i="10"/>
  <c r="CQ231" i="7"/>
  <c r="CQ232" i="7" s="1"/>
  <c r="CJ122" i="7"/>
  <c r="CJ123" i="7" s="1"/>
  <c r="CE721" i="7"/>
  <c r="CE722" i="7" s="1"/>
  <c r="BV273" i="7"/>
  <c r="BV274" i="7" s="1"/>
  <c r="BV679" i="7" s="1"/>
  <c r="BV753" i="7" s="1"/>
  <c r="BK273" i="7"/>
  <c r="BK274" i="7" s="1"/>
  <c r="BC273" i="7"/>
  <c r="BC274" i="7" s="1"/>
  <c r="AW273" i="7"/>
  <c r="AW274" i="7" s="1"/>
  <c r="L3" i="10"/>
  <c r="G78" i="10"/>
  <c r="X470" i="7"/>
  <c r="X471" i="7" s="1"/>
  <c r="CT425" i="7"/>
  <c r="CL200" i="7"/>
  <c r="CG676" i="7"/>
  <c r="CG677" i="7" s="1"/>
  <c r="BZ273" i="7"/>
  <c r="BZ274" i="7" s="1"/>
  <c r="BY676" i="7"/>
  <c r="BY677" i="7" s="1"/>
  <c r="BN679" i="7"/>
  <c r="BN753" i="7" s="1"/>
  <c r="BG200" i="7"/>
  <c r="AQ679" i="7"/>
  <c r="AQ753" i="7" s="1"/>
  <c r="Z231" i="7"/>
  <c r="Z232" i="7" s="1"/>
  <c r="Y470" i="7"/>
  <c r="Y471" i="7" s="1"/>
  <c r="CF179" i="7"/>
  <c r="CF200" i="7" s="1"/>
  <c r="CF679" i="7" s="1"/>
  <c r="CF753" i="7" s="1"/>
  <c r="CE122" i="7"/>
  <c r="CE123" i="7" s="1"/>
  <c r="CA122" i="7"/>
  <c r="CA123" i="7" s="1"/>
  <c r="BK200" i="7"/>
  <c r="BE273" i="7"/>
  <c r="BE274" i="7" s="1"/>
  <c r="AU122" i="7"/>
  <c r="AU123" i="7" s="1"/>
  <c r="AD231" i="7"/>
  <c r="AD232" i="7" s="1"/>
  <c r="AB470" i="7"/>
  <c r="AB471" i="7" s="1"/>
  <c r="U231" i="7"/>
  <c r="U232" i="7" s="1"/>
  <c r="J5" i="10"/>
  <c r="AD122" i="7"/>
  <c r="AD123" i="7" s="1"/>
  <c r="Q231" i="7"/>
  <c r="Q232" i="7" s="1"/>
  <c r="R122" i="7"/>
  <c r="R123" i="7" s="1"/>
  <c r="R679" i="7" s="1"/>
  <c r="R753" i="7" s="1"/>
  <c r="CT721" i="7"/>
  <c r="CI676" i="7"/>
  <c r="CI677" i="7" s="1"/>
  <c r="CU179" i="7"/>
  <c r="CU536" i="7"/>
  <c r="CU537" i="7" s="1"/>
  <c r="G13" i="10" s="1"/>
  <c r="CV536" i="7"/>
  <c r="CV537" i="7" s="1"/>
  <c r="I13" i="10" s="1"/>
  <c r="CH536" i="7"/>
  <c r="CH537" i="7" s="1"/>
  <c r="CL676" i="7"/>
  <c r="CL677" i="7" s="1"/>
  <c r="CL679" i="7" s="1"/>
  <c r="CL753" i="7" s="1"/>
  <c r="BZ200" i="7"/>
  <c r="BY470" i="7"/>
  <c r="BY471" i="7" s="1"/>
  <c r="CB676" i="7"/>
  <c r="CB677" i="7" s="1"/>
  <c r="BB470" i="7"/>
  <c r="BB471" i="7" s="1"/>
  <c r="AN200" i="7"/>
  <c r="Z536" i="7"/>
  <c r="Z537" i="7" s="1"/>
  <c r="CU667" i="7"/>
  <c r="CU676" i="7" s="1"/>
  <c r="CU677" i="7" s="1"/>
  <c r="G15" i="10" s="1"/>
  <c r="CQ721" i="7"/>
  <c r="CQ722" i="7" s="1"/>
  <c r="BY200" i="7"/>
  <c r="BR200" i="7"/>
  <c r="BR679" i="7" s="1"/>
  <c r="BR753" i="7" s="1"/>
  <c r="BE231" i="7"/>
  <c r="BE232" i="7" s="1"/>
  <c r="BU122" i="7"/>
  <c r="BU123" i="7" s="1"/>
  <c r="BU103" i="7"/>
  <c r="BB231" i="7"/>
  <c r="BB232" i="7" s="1"/>
  <c r="X721" i="7"/>
  <c r="X722" i="7" s="1"/>
  <c r="AE470" i="7"/>
  <c r="AE471" i="7" s="1"/>
  <c r="Z721" i="7"/>
  <c r="Z722" i="7" s="1"/>
  <c r="AS273" i="7"/>
  <c r="AS274" i="7" s="1"/>
  <c r="AK122" i="7"/>
  <c r="AK123" i="7" s="1"/>
  <c r="AJ273" i="7"/>
  <c r="AJ274" i="7" s="1"/>
  <c r="AJ679" i="7" s="1"/>
  <c r="AJ753" i="7" s="1"/>
  <c r="T122" i="7"/>
  <c r="T123" i="7" s="1"/>
  <c r="T679" i="7" s="1"/>
  <c r="T753" i="7" s="1"/>
  <c r="CU388" i="7"/>
  <c r="CU470" i="7" s="1"/>
  <c r="CU471" i="7" s="1"/>
  <c r="G12" i="10" s="1"/>
  <c r="G87" i="10" s="1"/>
  <c r="BJ470" i="7"/>
  <c r="BJ471" i="7" s="1"/>
  <c r="BJ679" i="7" s="1"/>
  <c r="BJ753" i="7" s="1"/>
  <c r="CV470" i="7"/>
  <c r="CV471" i="7" s="1"/>
  <c r="I12" i="10" s="1"/>
  <c r="CD679" i="7"/>
  <c r="CD753" i="7" s="1"/>
  <c r="CI679" i="7"/>
  <c r="CI753" i="7" s="1"/>
  <c r="AY679" i="7"/>
  <c r="AY753" i="7" s="1"/>
  <c r="Y679" i="7"/>
  <c r="Y753" i="7" s="1"/>
  <c r="CU200" i="7"/>
  <c r="G7" i="10" s="1"/>
  <c r="J7" i="10" s="1"/>
  <c r="CN676" i="7"/>
  <c r="CN677" i="7" s="1"/>
  <c r="CN679" i="7" s="1"/>
  <c r="CN753" i="7" s="1"/>
  <c r="BQ679" i="7"/>
  <c r="BQ753" i="7" s="1"/>
  <c r="BC200" i="7"/>
  <c r="BA179" i="7"/>
  <c r="BA200" i="7" s="1"/>
  <c r="BA679" i="7" s="1"/>
  <c r="BA753" i="7" s="1"/>
  <c r="AN679" i="7"/>
  <c r="AN753" i="7" s="1"/>
  <c r="AV679" i="7"/>
  <c r="AV753" i="7" s="1"/>
  <c r="AA200" i="7"/>
  <c r="CU348" i="7"/>
  <c r="G10" i="10" s="1"/>
  <c r="G79" i="10"/>
  <c r="L4" i="10"/>
  <c r="CU122" i="7"/>
  <c r="CU123" i="7" s="1"/>
  <c r="G6" i="10" s="1"/>
  <c r="G91" i="10"/>
  <c r="G21" i="10"/>
  <c r="L18" i="10"/>
  <c r="CT257" i="7"/>
  <c r="J4" i="10"/>
  <c r="AT679" i="7"/>
  <c r="AT753" i="7" s="1"/>
  <c r="CT179" i="7"/>
  <c r="G92" i="10"/>
  <c r="L19" i="10"/>
  <c r="J19" i="10"/>
  <c r="CV122" i="7"/>
  <c r="CV123" i="7" s="1"/>
  <c r="I6" i="10" s="1"/>
  <c r="CE676" i="7"/>
  <c r="CE677" i="7" s="1"/>
  <c r="CE200" i="7"/>
  <c r="BD200" i="7"/>
  <c r="BD679" i="7" s="1"/>
  <c r="AP679" i="7"/>
  <c r="AP753" i="7" s="1"/>
  <c r="AL273" i="7"/>
  <c r="AL274" i="7" s="1"/>
  <c r="AL679" i="7" s="1"/>
  <c r="AL753" i="7" s="1"/>
  <c r="AC676" i="7"/>
  <c r="AC677" i="7" s="1"/>
  <c r="AA273" i="7"/>
  <c r="AA274" i="7" s="1"/>
  <c r="X122" i="7"/>
  <c r="X123" i="7" s="1"/>
  <c r="X679" i="7" s="1"/>
  <c r="X753" i="7" s="1"/>
  <c r="Q200" i="7"/>
  <c r="Q679" i="7" s="1"/>
  <c r="Q753" i="7" s="1"/>
  <c r="AF679" i="7"/>
  <c r="AF753" i="7" s="1"/>
  <c r="W122" i="7"/>
  <c r="W123" i="7" s="1"/>
  <c r="G83" i="10"/>
  <c r="L8" i="10"/>
  <c r="AK679" i="7"/>
  <c r="AK753" i="7" s="1"/>
  <c r="I21" i="10"/>
  <c r="J18" i="10"/>
  <c r="CQ679" i="7"/>
  <c r="CQ753" i="7" s="1"/>
  <c r="CO679" i="7"/>
  <c r="CO753" i="7" s="1"/>
  <c r="CK200" i="7"/>
  <c r="CK679" i="7" s="1"/>
  <c r="CK753" i="7" s="1"/>
  <c r="CH348" i="7"/>
  <c r="CH679" i="7" s="1"/>
  <c r="CH753" i="7" s="1"/>
  <c r="CC679" i="7"/>
  <c r="CC753" i="7" s="1"/>
  <c r="BI679" i="7"/>
  <c r="BI753" i="7" s="1"/>
  <c r="BX679" i="7"/>
  <c r="BX753" i="7" s="1"/>
  <c r="BF679" i="7"/>
  <c r="BF753" i="7" s="1"/>
  <c r="AW679" i="7"/>
  <c r="AW753" i="7" s="1"/>
  <c r="AU679" i="7"/>
  <c r="AU753" i="7" s="1"/>
  <c r="AM200" i="7"/>
  <c r="AM679" i="7" s="1"/>
  <c r="AM753" i="7" s="1"/>
  <c r="AE679" i="7"/>
  <c r="AE753" i="7" s="1"/>
  <c r="U200" i="7"/>
  <c r="J8" i="10"/>
  <c r="AO679" i="7"/>
  <c r="AO753" i="7" s="1"/>
  <c r="AA679" i="7"/>
  <c r="AA753" i="7" s="1"/>
  <c r="CU273" i="7"/>
  <c r="CU274" i="7" s="1"/>
  <c r="G9" i="10" s="1"/>
  <c r="CV348" i="7"/>
  <c r="I10" i="10" s="1"/>
  <c r="CV257" i="7"/>
  <c r="CV273" i="7" s="1"/>
  <c r="CV274" i="7" s="1"/>
  <c r="I9" i="10" s="1"/>
  <c r="CS679" i="7"/>
  <c r="CS753" i="7" s="1"/>
  <c r="CP679" i="7"/>
  <c r="CP753" i="7" s="1"/>
  <c r="CJ348" i="7"/>
  <c r="CJ679" i="7" s="1"/>
  <c r="CJ753" i="7" s="1"/>
  <c r="CB200" i="7"/>
  <c r="CB679" i="7" s="1"/>
  <c r="CB753" i="7" s="1"/>
  <c r="CA679" i="7"/>
  <c r="CA753" i="7" s="1"/>
  <c r="BM679" i="7"/>
  <c r="BM753" i="7" s="1"/>
  <c r="BW679" i="7"/>
  <c r="BW753" i="7" s="1"/>
  <c r="BP679" i="7"/>
  <c r="BP753" i="7" s="1"/>
  <c r="BB679" i="7"/>
  <c r="BB753" i="7" s="1"/>
  <c r="AX679" i="7"/>
  <c r="AX753" i="7" s="1"/>
  <c r="BC679" i="7"/>
  <c r="BC753" i="7" s="1"/>
  <c r="AS679" i="7"/>
  <c r="AS753" i="7" s="1"/>
  <c r="AR200" i="7"/>
  <c r="AR679" i="7" s="1"/>
  <c r="AR753" i="7" s="1"/>
  <c r="AC200" i="7"/>
  <c r="AB200" i="7"/>
  <c r="W200" i="7"/>
  <c r="W679" i="7" s="1"/>
  <c r="W753" i="7" s="1"/>
  <c r="V200" i="7"/>
  <c r="V679" i="7" s="1"/>
  <c r="V753" i="7" s="1"/>
  <c r="AG200" i="7"/>
  <c r="AG679" i="7" s="1"/>
  <c r="AG753" i="7" s="1"/>
  <c r="AB679" i="7"/>
  <c r="AB753" i="7" s="1"/>
  <c r="Z122" i="7"/>
  <c r="Z123" i="7" s="1"/>
  <c r="Z679" i="7" s="1"/>
  <c r="Z753" i="7" s="1"/>
  <c r="L15" i="10"/>
  <c r="G90" i="10"/>
  <c r="BG679" i="7" l="1"/>
  <c r="BG753" i="7" s="1"/>
  <c r="BZ679" i="7"/>
  <c r="BZ753" i="7" s="1"/>
  <c r="CU761" i="7"/>
  <c r="CV761" i="7"/>
  <c r="J20" i="10"/>
  <c r="J15" i="10"/>
  <c r="J13" i="10"/>
  <c r="U679" i="7"/>
  <c r="U753" i="7" s="1"/>
  <c r="BE679" i="7"/>
  <c r="BE753" i="7" s="1"/>
  <c r="L20" i="10"/>
  <c r="G93" i="10"/>
  <c r="J9" i="10"/>
  <c r="L13" i="10"/>
  <c r="G88" i="10"/>
  <c r="BY679" i="7"/>
  <c r="BY753" i="7" s="1"/>
  <c r="BD753" i="7"/>
  <c r="BU679" i="7"/>
  <c r="BU753" i="7" s="1"/>
  <c r="CG679" i="7"/>
  <c r="CG753" i="7" s="1"/>
  <c r="CT335" i="7"/>
  <c r="CT750" i="7"/>
  <c r="CT502" i="7"/>
  <c r="CT738" i="7"/>
  <c r="CT219" i="7"/>
  <c r="J6" i="10"/>
  <c r="CT364" i="7"/>
  <c r="AD679" i="7"/>
  <c r="AD753" i="7" s="1"/>
  <c r="CT65" i="7"/>
  <c r="CT526" i="7"/>
  <c r="CT347" i="7"/>
  <c r="CT302" i="7"/>
  <c r="CT198" i="7"/>
  <c r="CT471" i="7"/>
  <c r="CT722" i="7"/>
  <c r="BK679" i="7"/>
  <c r="BK753" i="7" s="1"/>
  <c r="CT122" i="7"/>
  <c r="CT625" i="7"/>
  <c r="CT546" i="7"/>
  <c r="CT272" i="7"/>
  <c r="CT78" i="7"/>
  <c r="CT22" i="7"/>
  <c r="CT103" i="7"/>
  <c r="CV679" i="7"/>
  <c r="G16" i="10"/>
  <c r="G23" i="10" s="1"/>
  <c r="L12" i="10"/>
  <c r="J12" i="10"/>
  <c r="J10" i="10"/>
  <c r="G84" i="10"/>
  <c r="L9" i="10"/>
  <c r="G81" i="10"/>
  <c r="L6" i="10"/>
  <c r="G82" i="10"/>
  <c r="L7" i="10"/>
  <c r="J21" i="10"/>
  <c r="G85" i="10"/>
  <c r="L10" i="10"/>
  <c r="L21" i="10"/>
  <c r="CU679" i="7"/>
  <c r="I16" i="10"/>
  <c r="AC679" i="7"/>
  <c r="AC753" i="7" s="1"/>
  <c r="CE679" i="7"/>
  <c r="CE753" i="7" s="1"/>
  <c r="CV753" i="7" l="1"/>
  <c r="CU753" i="7"/>
  <c r="CT79" i="7"/>
  <c r="CT547" i="7"/>
  <c r="CT348" i="7"/>
  <c r="CT66" i="7"/>
  <c r="CT676" i="7"/>
  <c r="C12" i="10"/>
  <c r="CT536" i="7"/>
  <c r="CT365" i="7"/>
  <c r="CT231" i="7"/>
  <c r="CT23" i="7"/>
  <c r="CT123" i="7"/>
  <c r="C18" i="10"/>
  <c r="CT199" i="7"/>
  <c r="CT739" i="7"/>
  <c r="CT751" i="7"/>
  <c r="CT761" i="7" s="1"/>
  <c r="CT273" i="7"/>
  <c r="L16" i="10"/>
  <c r="J16" i="10"/>
  <c r="I23" i="10"/>
  <c r="I49" i="10" s="1"/>
  <c r="G94" i="10"/>
  <c r="G49" i="10"/>
  <c r="L23" i="10"/>
  <c r="CT274" i="7" l="1"/>
  <c r="C19" i="10"/>
  <c r="F18" i="10"/>
  <c r="O18" i="10"/>
  <c r="C91" i="10"/>
  <c r="M18" i="10"/>
  <c r="H18" i="10"/>
  <c r="C3" i="10"/>
  <c r="C11" i="10"/>
  <c r="F12" i="10"/>
  <c r="M12" i="10"/>
  <c r="C87" i="10"/>
  <c r="O12" i="10"/>
  <c r="H12" i="10"/>
  <c r="C4" i="10"/>
  <c r="C14" i="10"/>
  <c r="CT232" i="7"/>
  <c r="CT537" i="7"/>
  <c r="CT677" i="7"/>
  <c r="C10" i="10"/>
  <c r="C20" i="10"/>
  <c r="CT200" i="7"/>
  <c r="C6" i="10"/>
  <c r="CT80" i="7"/>
  <c r="J23" i="10"/>
  <c r="L49" i="10"/>
  <c r="J49" i="10"/>
  <c r="H20" i="10" l="1"/>
  <c r="F20" i="10"/>
  <c r="C93" i="10"/>
  <c r="O20" i="10"/>
  <c r="M20" i="10"/>
  <c r="C15" i="10"/>
  <c r="CT679" i="7"/>
  <c r="C8" i="10"/>
  <c r="C79" i="10"/>
  <c r="M4" i="10"/>
  <c r="F4" i="10"/>
  <c r="H4" i="10"/>
  <c r="O4" i="10"/>
  <c r="I87" i="10"/>
  <c r="J87" i="10" s="1"/>
  <c r="N12" i="10"/>
  <c r="F91" i="10"/>
  <c r="H91" i="10"/>
  <c r="F6" i="10"/>
  <c r="M6" i="10"/>
  <c r="C81" i="10"/>
  <c r="H6" i="10"/>
  <c r="O6" i="10"/>
  <c r="C7" i="10"/>
  <c r="O3" i="10"/>
  <c r="F3" i="10"/>
  <c r="H3" i="10"/>
  <c r="C78" i="10"/>
  <c r="M3" i="10"/>
  <c r="C21" i="10"/>
  <c r="C92" i="10"/>
  <c r="H19" i="10"/>
  <c r="F19" i="10"/>
  <c r="O19" i="10"/>
  <c r="M19" i="10"/>
  <c r="C13" i="10"/>
  <c r="F14" i="10"/>
  <c r="H14" i="10"/>
  <c r="M14" i="10"/>
  <c r="C89" i="10"/>
  <c r="O14" i="10"/>
  <c r="C5" i="10"/>
  <c r="C85" i="10"/>
  <c r="F10" i="10"/>
  <c r="H10" i="10"/>
  <c r="M10" i="10"/>
  <c r="O10" i="10"/>
  <c r="H87" i="10"/>
  <c r="F87" i="10"/>
  <c r="F11" i="10"/>
  <c r="C86" i="10"/>
  <c r="M11" i="10"/>
  <c r="O11" i="10"/>
  <c r="H11" i="10"/>
  <c r="I91" i="10"/>
  <c r="M21" i="10"/>
  <c r="N18" i="10"/>
  <c r="C9" i="10"/>
  <c r="C16" i="10" l="1"/>
  <c r="F16" i="10" s="1"/>
  <c r="F86" i="10"/>
  <c r="H86" i="10"/>
  <c r="F85" i="10"/>
  <c r="H85" i="10"/>
  <c r="F89" i="10"/>
  <c r="H89" i="10"/>
  <c r="N4" i="10"/>
  <c r="I79" i="10"/>
  <c r="J79" i="10" s="1"/>
  <c r="CT753" i="7"/>
  <c r="C84" i="10"/>
  <c r="H9" i="10"/>
  <c r="F9" i="10"/>
  <c r="O9" i="10"/>
  <c r="M9" i="10"/>
  <c r="I85" i="10"/>
  <c r="J85" i="10" s="1"/>
  <c r="N10" i="10"/>
  <c r="I89" i="10"/>
  <c r="J89" i="10" s="1"/>
  <c r="N14" i="10"/>
  <c r="M13" i="10"/>
  <c r="O13" i="10"/>
  <c r="F13" i="10"/>
  <c r="C88" i="10"/>
  <c r="H13" i="10"/>
  <c r="I78" i="10"/>
  <c r="N3" i="10"/>
  <c r="F79" i="10"/>
  <c r="H79" i="10"/>
  <c r="F93" i="10"/>
  <c r="H93" i="10"/>
  <c r="C80" i="10"/>
  <c r="H5" i="10"/>
  <c r="F5" i="10"/>
  <c r="M5" i="10"/>
  <c r="O5" i="10"/>
  <c r="I92" i="10"/>
  <c r="N19" i="10"/>
  <c r="F92" i="10"/>
  <c r="H92" i="10"/>
  <c r="F78" i="10"/>
  <c r="H78" i="10"/>
  <c r="F81" i="10"/>
  <c r="H81" i="10"/>
  <c r="M15" i="10"/>
  <c r="H15" i="10"/>
  <c r="F15" i="10"/>
  <c r="O15" i="10"/>
  <c r="C90" i="10"/>
  <c r="N21" i="10"/>
  <c r="I86" i="10"/>
  <c r="J86" i="10" s="1"/>
  <c r="N11" i="10"/>
  <c r="F21" i="10"/>
  <c r="O21" i="10"/>
  <c r="H21" i="10"/>
  <c r="M7" i="10"/>
  <c r="O7" i="10"/>
  <c r="F7" i="10"/>
  <c r="C82" i="10"/>
  <c r="H7" i="10"/>
  <c r="I81" i="10"/>
  <c r="J81" i="10" s="1"/>
  <c r="N6" i="10"/>
  <c r="O8" i="10"/>
  <c r="H8" i="10"/>
  <c r="F8" i="10"/>
  <c r="C83" i="10"/>
  <c r="M8" i="10"/>
  <c r="N20" i="10"/>
  <c r="I93" i="10"/>
  <c r="C23" i="10" l="1"/>
  <c r="H23" i="10" s="1"/>
  <c r="H16" i="10"/>
  <c r="O16" i="10"/>
  <c r="F83" i="10"/>
  <c r="H83" i="10"/>
  <c r="J78" i="10"/>
  <c r="F80" i="10"/>
  <c r="H80" i="10"/>
  <c r="I88" i="10"/>
  <c r="J88" i="10" s="1"/>
  <c r="N13" i="10"/>
  <c r="N7" i="10"/>
  <c r="I82" i="10"/>
  <c r="J82" i="10" s="1"/>
  <c r="C94" i="10"/>
  <c r="I80" i="10"/>
  <c r="J80" i="10" s="1"/>
  <c r="N5" i="10"/>
  <c r="M16" i="10"/>
  <c r="F88" i="10"/>
  <c r="H88" i="10"/>
  <c r="I84" i="10"/>
  <c r="J84" i="10" s="1"/>
  <c r="N9" i="10"/>
  <c r="F84" i="10"/>
  <c r="H84" i="10"/>
  <c r="I83" i="10"/>
  <c r="J83" i="10" s="1"/>
  <c r="N8" i="10"/>
  <c r="F82" i="10"/>
  <c r="H82" i="10"/>
  <c r="F90" i="10"/>
  <c r="H90" i="10"/>
  <c r="N15" i="10"/>
  <c r="I90" i="10"/>
  <c r="J90" i="10" s="1"/>
  <c r="O23" i="10" l="1"/>
  <c r="F23" i="10"/>
  <c r="C49" i="10"/>
  <c r="H49" i="10" s="1"/>
  <c r="I94" i="10"/>
  <c r="J94" i="10" s="1"/>
  <c r="F94" i="10"/>
  <c r="H94" i="10"/>
  <c r="N16" i="10"/>
  <c r="M23" i="10"/>
  <c r="F49" i="10" l="1"/>
  <c r="M49" i="10"/>
  <c r="N49" i="10" s="1"/>
  <c r="N23" i="10"/>
</calcChain>
</file>

<file path=xl/sharedStrings.xml><?xml version="1.0" encoding="utf-8"?>
<sst xmlns="http://schemas.openxmlformats.org/spreadsheetml/2006/main" count="1904" uniqueCount="996">
  <si>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</si>
  <si>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</si>
  <si>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</si>
  <si>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</si>
  <si>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</si>
  <si>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</si>
  <si>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</si>
  <si>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</si>
  <si>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</si>
  <si>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</si>
  <si>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</si>
  <si>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</si>
  <si>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</si>
  <si>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FONDO RENTAS</t>
  </si>
  <si>
    <t xml:space="preserve">SGP APORTES PATRONALES ( Sin situacion de fondos) </t>
  </si>
  <si>
    <t xml:space="preserve">SGP PRESTACION DE SERVCIOS </t>
  </si>
  <si>
    <t xml:space="preserve">FONDO LOCAL DE SALUD  - RENTAS CEDIDAS  </t>
  </si>
  <si>
    <t xml:space="preserve">FONDO LOCAL DE SALUD  - FONDO DE ESTUPEFACIENTES  </t>
  </si>
  <si>
    <t xml:space="preserve">FONDO LOCAL DE SALUD  - LEY 1393  </t>
  </si>
  <si>
    <t>SGP PRESTACION DE SERVICIOS - EDUCACION</t>
  </si>
  <si>
    <t>SGP CANCELACIÓN DE PRESTACIONES SOCIALES -EDUCACIÓN</t>
  </si>
  <si>
    <t>SGP NECESIDADES EDUCATIVAS ESPECIALES-EDUCACION</t>
  </si>
  <si>
    <t>SGP CONECTIVIDAD - EDUCACION</t>
  </si>
  <si>
    <t xml:space="preserve">RECURSO ORDINARIO </t>
  </si>
  <si>
    <t>COLDEPORTES</t>
  </si>
  <si>
    <t>304 -Secretaría Administrativa</t>
  </si>
  <si>
    <t>BUEN GOBIERNO</t>
  </si>
  <si>
    <t>Gestión Territorial</t>
  </si>
  <si>
    <t>Modernización tecnológica y Administrativa</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</si>
  <si>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</si>
  <si>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</si>
  <si>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</si>
  <si>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</si>
  <si>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</si>
  <si>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</si>
  <si>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</si>
  <si>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</si>
  <si>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</si>
  <si>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</si>
  <si>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</si>
  <si>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</si>
  <si>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</si>
  <si>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</si>
  <si>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</si>
  <si>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</si>
  <si>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</si>
  <si>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</si>
  <si>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</si>
  <si>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</si>
  <si>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</si>
  <si>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</si>
  <si>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</si>
  <si>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</si>
  <si>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</si>
  <si>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</si>
  <si>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</si>
  <si>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</si>
  <si>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</si>
  <si>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</si>
  <si>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</si>
  <si>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</si>
  <si>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</si>
  <si>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</si>
  <si>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</si>
  <si>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</si>
  <si>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</si>
  <si>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</si>
  <si>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</si>
  <si>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</si>
  <si>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</si>
  <si>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</si>
  <si>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</si>
  <si>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</si>
  <si>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</si>
  <si>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</si>
  <si>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</si>
  <si>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</si>
  <si>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</si>
  <si>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</si>
  <si>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</si>
  <si>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</si>
  <si>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</si>
  <si>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</si>
  <si>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</si>
  <si>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</si>
  <si>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</si>
  <si>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</si>
  <si>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</si>
  <si>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</si>
  <si>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</si>
  <si>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</si>
  <si>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</si>
  <si>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</si>
  <si>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</si>
  <si>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</si>
  <si>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</si>
  <si>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</si>
  <si>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</si>
  <si>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</si>
  <si>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</si>
  <si>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</si>
  <si>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</si>
  <si>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</si>
  <si>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</si>
  <si>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</si>
  <si>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</si>
  <si>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</si>
  <si>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</si>
  <si>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</si>
  <si>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</si>
  <si>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</si>
  <si>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</si>
  <si>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</si>
  <si>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</si>
  <si>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</si>
  <si>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</si>
  <si>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</si>
  <si>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</si>
  <si>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</si>
  <si>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</si>
  <si>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</si>
  <si>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</si>
  <si>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</si>
  <si>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</si>
  <si>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</si>
  <si>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</si>
  <si>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</si>
  <si>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</si>
  <si>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</si>
  <si>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</si>
  <si>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</si>
  <si>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</si>
  <si>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</si>
  <si>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</si>
  <si>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</si>
  <si>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</si>
  <si>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</si>
  <si>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</si>
  <si>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</si>
  <si>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</si>
  <si>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</si>
  <si>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</si>
  <si>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</si>
  <si>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</si>
  <si>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</si>
  <si>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</si>
  <si>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</si>
  <si>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</si>
  <si>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</si>
  <si>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</si>
  <si>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</si>
  <si>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</si>
  <si>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</si>
  <si>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</si>
  <si>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</si>
  <si>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</si>
  <si>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</si>
  <si>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</si>
  <si>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</si>
  <si>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</si>
  <si>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</si>
  <si>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</si>
  <si>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</si>
  <si>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</si>
  <si>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</si>
  <si>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</si>
  <si>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</si>
  <si>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</si>
  <si>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</si>
  <si>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</si>
  <si>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</si>
  <si>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</si>
  <si>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</si>
  <si>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</si>
  <si>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</si>
  <si>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</si>
  <si>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</si>
  <si>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</si>
  <si>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</si>
  <si>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</si>
  <si>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</si>
  <si>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</si>
  <si>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</si>
  <si>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</si>
  <si>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</si>
  <si>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</si>
  <si>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</si>
  <si>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</si>
  <si>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</si>
  <si>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</si>
  <si>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</si>
  <si>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</si>
  <si>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</si>
  <si>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</si>
  <si>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</si>
  <si>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</si>
  <si>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</si>
  <si>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</si>
  <si>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</si>
  <si>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</si>
  <si>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</si>
  <si>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</si>
  <si>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</si>
  <si>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</si>
  <si>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</si>
  <si>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</si>
  <si>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</si>
  <si>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</si>
  <si>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</si>
  <si>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</si>
  <si>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</si>
  <si>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</si>
  <si>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</si>
  <si>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</si>
  <si>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</si>
  <si>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</si>
  <si>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</si>
  <si>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</si>
  <si>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</si>
  <si>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</si>
  <si>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</si>
  <si>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</si>
  <si>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</si>
  <si>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</si>
  <si>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</si>
  <si>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</si>
  <si>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</si>
  <si>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</si>
  <si>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</si>
  <si>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</si>
  <si>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</si>
  <si>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</si>
  <si>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</si>
  <si>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</si>
  <si>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</si>
  <si>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</si>
  <si>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</si>
  <si>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</si>
  <si>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</si>
  <si>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</si>
  <si>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</si>
  <si>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</si>
  <si>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</si>
  <si>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</si>
  <si>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</si>
  <si>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</si>
  <si>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</si>
  <si>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</si>
  <si>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</si>
  <si>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</si>
  <si>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</si>
  <si>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</si>
  <si>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</si>
  <si>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</si>
  <si>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</si>
  <si>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</si>
  <si>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</si>
  <si>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</si>
  <si>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</si>
  <si>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</si>
  <si>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</si>
  <si>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</si>
  <si>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</si>
  <si>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</si>
  <si>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</si>
  <si>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</si>
  <si>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</si>
  <si>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</si>
  <si>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</si>
  <si>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</si>
  <si>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</si>
  <si>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</si>
  <si>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</si>
  <si>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</si>
  <si>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</si>
  <si>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</si>
  <si>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</si>
  <si>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</si>
  <si>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</si>
  <si>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</si>
  <si>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</si>
  <si>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</si>
  <si>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</si>
  <si>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</si>
  <si>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</si>
  <si>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</si>
  <si>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</si>
  <si>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</si>
  <si>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</si>
  <si>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</si>
  <si>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</si>
  <si>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</si>
  <si>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</si>
  <si>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</si>
  <si>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</si>
  <si>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</si>
  <si>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</si>
  <si>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</si>
  <si>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</si>
  <si>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</si>
  <si>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</si>
  <si>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</si>
  <si>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</si>
  <si>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</si>
  <si>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</si>
  <si>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</si>
  <si>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</si>
  <si>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</si>
  <si>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</si>
  <si>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</si>
  <si>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</si>
  <si>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</si>
  <si>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</si>
  <si>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</si>
  <si>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</si>
  <si>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</si>
  <si>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</si>
  <si>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</si>
  <si>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</si>
  <si>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</si>
  <si>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</si>
  <si>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</si>
  <si>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</si>
  <si>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</si>
  <si>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</si>
  <si>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</si>
  <si>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</si>
  <si>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</si>
  <si>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</si>
  <si>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</si>
  <si>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</si>
  <si>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</si>
  <si>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</si>
  <si>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</si>
  <si>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</si>
  <si>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</si>
  <si>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</si>
  <si>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</si>
  <si>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</si>
  <si>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</si>
  <si>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</si>
  <si>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</si>
  <si>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</si>
  <si>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</si>
  <si>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</si>
  <si>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</si>
  <si>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</si>
  <si>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</si>
  <si>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</si>
  <si>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</si>
  <si>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</si>
  <si>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</si>
  <si>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</si>
  <si>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</si>
  <si>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</si>
  <si>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</si>
  <si>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</si>
  <si>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</si>
  <si>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</si>
  <si>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</si>
  <si>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</si>
  <si>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</si>
  <si>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</si>
  <si>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</si>
  <si>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</si>
  <si>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</si>
  <si>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</si>
  <si>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</si>
  <si>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</si>
  <si>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</si>
  <si>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</si>
  <si>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</si>
  <si>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</si>
  <si>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</si>
  <si>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</si>
  <si>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</si>
  <si>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</si>
  <si>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</si>
  <si>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</si>
  <si>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</si>
  <si>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</si>
  <si>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</si>
  <si>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</si>
  <si>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</si>
  <si>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</si>
  <si>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</si>
  <si>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</si>
  <si>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</si>
  <si>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</si>
  <si>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</si>
  <si>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</si>
  <si>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</si>
  <si>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</si>
  <si>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</si>
  <si>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</si>
  <si>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</si>
  <si>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</si>
  <si>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</si>
  <si>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</si>
  <si>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</si>
  <si>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</si>
  <si>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</si>
  <si>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</si>
  <si>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</si>
  <si>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</si>
  <si>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</si>
  <si>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</si>
  <si>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</si>
  <si>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</si>
  <si>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</si>
  <si>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</si>
  <si>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</si>
  <si>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</si>
  <si>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</si>
  <si>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</si>
  <si>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</si>
  <si>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</si>
  <si>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</si>
  <si>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</si>
  <si>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</si>
  <si>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</si>
  <si>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</si>
  <si>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</si>
  <si>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</si>
  <si>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</si>
  <si>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</si>
  <si>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</si>
  <si>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</si>
  <si>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</si>
  <si>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</si>
  <si>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</si>
  <si>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</si>
  <si>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</si>
  <si>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</si>
  <si>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</si>
  <si>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</si>
  <si>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</si>
  <si>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</si>
  <si>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</si>
  <si>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</si>
  <si>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</si>
  <si>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</si>
  <si>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</si>
  <si>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</si>
  <si>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</si>
  <si>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</si>
  <si>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</si>
  <si>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</si>
  <si>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</si>
  <si>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</si>
  <si>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</si>
  <si>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</si>
  <si>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</si>
  <si>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</si>
  <si>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</si>
  <si>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</si>
  <si>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</si>
  <si>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</si>
  <si>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</si>
  <si>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</si>
  <si>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</si>
  <si>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</si>
  <si>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</si>
  <si>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</si>
  <si>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</si>
  <si>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</si>
  <si>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</si>
  <si>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</si>
  <si>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</si>
  <si>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</si>
  <si>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</si>
  <si>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</si>
  <si>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</si>
  <si>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</si>
  <si>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</si>
  <si>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</si>
  <si>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</si>
  <si>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</si>
  <si>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</si>
  <si>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</si>
  <si>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</si>
  <si>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</si>
  <si>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</si>
  <si>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</si>
  <si>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</si>
  <si>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</si>
  <si>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</si>
  <si>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</si>
  <si>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</si>
  <si>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</si>
  <si>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</si>
  <si>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</si>
  <si>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</si>
  <si>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</si>
  <si>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</si>
  <si>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</si>
  <si>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</si>
  <si>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</si>
  <si>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</si>
  <si>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</si>
  <si>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</si>
  <si>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</si>
  <si>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</si>
  <si>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</si>
  <si>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</si>
  <si>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</si>
  <si>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</si>
  <si>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</si>
  <si>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</si>
  <si>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</si>
  <si>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</si>
  <si>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</si>
  <si>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</si>
  <si>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</si>
  <si>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</si>
  <si>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</si>
  <si>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</si>
  <si>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</si>
  <si>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</si>
  <si>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</si>
  <si>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</si>
  <si>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</si>
  <si>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</si>
  <si>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</si>
  <si>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</si>
  <si>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</si>
  <si>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</si>
  <si>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</si>
  <si>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</si>
  <si>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</si>
  <si>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</si>
  <si>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</si>
  <si>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</si>
  <si>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</si>
  <si>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</si>
  <si>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</si>
  <si>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</si>
  <si>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</si>
  <si>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</si>
  <si>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</si>
  <si>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</si>
  <si>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</si>
  <si>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</si>
  <si>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</si>
  <si>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</si>
  <si>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</si>
  <si>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</si>
  <si>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</si>
  <si>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</si>
  <si>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</si>
  <si>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</si>
  <si>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</si>
  <si>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</si>
  <si>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</si>
  <si>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</si>
  <si>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</si>
  <si>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</si>
  <si>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</si>
  <si>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</si>
  <si>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</si>
  <si>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</si>
  <si>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</si>
  <si>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</si>
  <si>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</si>
  <si>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</si>
  <si>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</si>
  <si>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</si>
  <si>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</si>
  <si>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</si>
  <si>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</si>
  <si>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</si>
  <si>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</si>
  <si>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</si>
  <si>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</si>
  <si>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</si>
  <si>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</si>
  <si>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</si>
  <si>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</si>
  <si>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</si>
  <si>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</si>
  <si>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</si>
  <si>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</si>
  <si>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</si>
  <si>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</si>
  <si>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</si>
  <si>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</si>
  <si>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</si>
  <si>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</si>
  <si>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</si>
  <si>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</si>
  <si>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</si>
  <si>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</si>
  <si>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</si>
  <si>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</si>
  <si>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</si>
  <si>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</si>
  <si>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</si>
  <si>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</si>
  <si>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</si>
  <si>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</si>
  <si>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</si>
  <si>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</si>
  <si>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</si>
  <si>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</si>
  <si>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</si>
  <si>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</si>
  <si>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</si>
  <si>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</si>
  <si>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</si>
  <si>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</si>
  <si>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</si>
  <si>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</si>
  <si>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</si>
  <si>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</si>
  <si>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</si>
  <si>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</si>
  <si>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</si>
  <si>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</si>
  <si>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</si>
  <si>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</si>
  <si>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</si>
  <si>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</si>
  <si>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</si>
  <si>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</si>
  <si>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</si>
  <si>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</si>
  <si>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</si>
  <si>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</si>
  <si>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</si>
  <si>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</si>
  <si>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</si>
  <si>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</si>
  <si>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</si>
  <si>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</si>
  <si>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</si>
  <si>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</si>
  <si>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</si>
  <si>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</si>
  <si>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</si>
  <si>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</si>
  <si>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</si>
  <si>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</si>
  <si>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</si>
  <si>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</si>
  <si>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</si>
  <si>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</si>
  <si>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</si>
  <si>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</si>
  <si>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</si>
  <si>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</si>
  <si>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</si>
  <si>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</si>
  <si>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</si>
  <si>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</si>
  <si>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</si>
  <si>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</si>
  <si>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</si>
  <si>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</si>
  <si>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</si>
  <si>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</si>
  <si>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</si>
  <si>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</si>
  <si>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</si>
  <si>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</si>
  <si>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</si>
  <si>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</si>
  <si>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</si>
  <si>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</si>
  <si>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</si>
  <si>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</si>
  <si>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</si>
  <si>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</si>
  <si>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</si>
  <si>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</si>
  <si>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</si>
  <si>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</si>
  <si>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</si>
  <si>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</si>
  <si>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</si>
  <si>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</si>
  <si>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</si>
  <si>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</si>
  <si>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</si>
  <si>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</si>
  <si>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</si>
  <si>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</si>
  <si>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</si>
  <si>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</si>
  <si>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</si>
  <si>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</si>
  <si>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</si>
  <si>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</si>
  <si>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</si>
  <si>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</si>
  <si>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</si>
  <si>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</si>
  <si>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</si>
  <si>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</si>
  <si>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</si>
  <si>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</si>
  <si>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</si>
  <si>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</si>
  <si>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</si>
  <si>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</si>
  <si>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</si>
  <si>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</si>
  <si>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</si>
  <si>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</si>
  <si>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</si>
  <si>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</si>
  <si>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</si>
  <si>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</si>
  <si>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</si>
  <si>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</si>
  <si>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</si>
  <si>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</si>
  <si>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</si>
  <si>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</si>
  <si>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</si>
  <si>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</si>
  <si>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</si>
  <si>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</si>
  <si>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</si>
  <si>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</si>
  <si>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</si>
  <si>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</si>
  <si>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</si>
  <si>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</si>
  <si>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</si>
  <si>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</si>
  <si>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</si>
  <si>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</si>
  <si>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</si>
  <si>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</si>
  <si>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</si>
  <si>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</si>
  <si>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</si>
  <si>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</si>
  <si>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</si>
  <si>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</si>
  <si>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</si>
  <si>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</si>
  <si>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</si>
  <si>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</si>
  <si>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</si>
  <si>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</si>
  <si>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</si>
  <si>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</si>
  <si>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</si>
  <si>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</si>
  <si>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</si>
  <si>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</si>
  <si>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</si>
  <si>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</si>
  <si>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</si>
  <si>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</si>
  <si>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</si>
  <si>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</si>
  <si>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</si>
  <si>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</si>
  <si>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</si>
  <si>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</si>
  <si>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</si>
  <si>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</si>
  <si>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</si>
  <si>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</si>
  <si>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</si>
  <si>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</si>
  <si>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</si>
  <si>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</si>
  <si>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</si>
  <si>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</si>
  <si>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</si>
  <si>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</si>
  <si>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</si>
  <si>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</si>
  <si>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</si>
  <si>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</si>
  <si>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</si>
  <si>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</si>
  <si>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</si>
  <si>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</si>
  <si>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</si>
  <si>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</si>
  <si>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</si>
  <si>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</si>
  <si>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</si>
  <si>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</si>
  <si>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</si>
  <si>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</si>
  <si>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</si>
  <si>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</si>
  <si>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</si>
  <si>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</si>
  <si>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</si>
  <si>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</si>
  <si>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</si>
  <si>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</si>
  <si>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</si>
  <si>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</si>
  <si>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</si>
  <si>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</si>
  <si>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</si>
  <si>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</si>
  <si>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</si>
  <si>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</si>
  <si>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</si>
  <si>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</si>
  <si>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</si>
  <si>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</si>
  <si>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</si>
  <si>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</si>
  <si>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</si>
  <si>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</si>
  <si>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</si>
  <si>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</si>
  <si>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</si>
  <si>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</si>
  <si>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</si>
  <si>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</si>
  <si>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</si>
  <si>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</si>
  <si>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</si>
  <si>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</si>
  <si>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</si>
  <si>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</si>
  <si>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</si>
  <si>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</si>
  <si>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</si>
  <si>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</si>
  <si>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</si>
  <si>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</si>
  <si>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</si>
  <si>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</si>
  <si>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</si>
  <si>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</si>
  <si>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</si>
  <si>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</si>
  <si>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</si>
  <si>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</si>
  <si>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</si>
  <si>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</si>
  <si>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</si>
  <si>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</si>
  <si>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</si>
  <si>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</si>
  <si>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</si>
  <si>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</si>
  <si>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</si>
  <si>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</si>
  <si>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</si>
  <si>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</si>
  <si>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</si>
  <si>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</si>
  <si>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</si>
  <si>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</si>
  <si>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</si>
  <si>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</si>
  <si>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</si>
  <si>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</si>
  <si>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</si>
  <si>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</si>
  <si>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</si>
  <si>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</si>
  <si>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</si>
  <si>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</si>
  <si>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</si>
  <si>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</si>
  <si>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</si>
  <si>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</si>
  <si>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</si>
  <si>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</si>
  <si>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</si>
  <si>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</si>
  <si>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</si>
  <si>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</si>
  <si>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</si>
  <si>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</si>
  <si>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</si>
  <si>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</si>
  <si>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</si>
  <si>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</si>
  <si>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</si>
  <si>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</si>
  <si>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</si>
  <si>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</si>
  <si>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</si>
  <si>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Funcionamiento y prestación de servicios del sector educativo del nivel central 1400-1401</t>
  </si>
  <si>
    <t>Funcionamiento y prestación del servicio educativo de las instituciones educativas 1402-1403</t>
  </si>
  <si>
    <t>NACIÓN  - COFINANCIACIÓN</t>
  </si>
  <si>
    <t>SGP SALUD PUBLICA (61-98)</t>
  </si>
  <si>
    <t>Adquirir  un (1) bien inmueble para adelantar acciones de cara al servicio de la comunidad</t>
  </si>
  <si>
    <t>MONOPOLIO 51% DESTINACION ESPECIFICA  (35-091)</t>
  </si>
  <si>
    <t>EXTRACCION MATERIAL DE RIO MINAS Y OTROS (134)</t>
  </si>
  <si>
    <t>FONDO DE EDUCACION,  PAE, CONVENIO MEN  (25-80-81-137)</t>
  </si>
  <si>
    <t>P</t>
  </si>
  <si>
    <t>E</t>
  </si>
  <si>
    <t>PRESUPUESTADO</t>
  </si>
  <si>
    <t xml:space="preserve">CODIGO:  </t>
  </si>
  <si>
    <t xml:space="preserve">VERSIÓN: </t>
  </si>
  <si>
    <t xml:space="preserve">FECHA: </t>
  </si>
  <si>
    <t>PÁGINA:</t>
  </si>
  <si>
    <r>
      <t xml:space="preserve"> </t>
    </r>
    <r>
      <rPr>
        <sz val="7"/>
        <rFont val="Times New Roman"/>
        <family val="1"/>
      </rPr>
      <t xml:space="preserve"> </t>
    </r>
    <r>
      <rPr>
        <sz val="10"/>
        <rFont val="Arial"/>
        <family val="2"/>
      </rPr>
      <t>Reducir la proporción de jóvenes en el sistema de responsabilidad penal con riesgo alto de reincidencia en las conductas delictivas</t>
    </r>
  </si>
  <si>
    <r>
      <t xml:space="preserve"> </t>
    </r>
    <r>
      <rPr>
        <sz val="7"/>
        <rFont val="Times New Roman"/>
        <family val="1"/>
      </rPr>
      <t xml:space="preserve"> </t>
    </r>
    <r>
      <rPr>
        <sz val="10"/>
        <rFont val="Arial"/>
        <family val="2"/>
      </rPr>
      <t>Disminuir el porcentaje de mujeres amenazadas por sus compañeros sentimentales                                                                                             Disminuir incidencia de violencia intrafamiliar</t>
    </r>
  </si>
  <si>
    <r>
      <t xml:space="preserve"> </t>
    </r>
    <r>
      <rPr>
        <sz val="7"/>
        <rFont val="Times New Roman"/>
        <family val="1"/>
      </rPr>
      <t xml:space="preserve"> </t>
    </r>
    <r>
      <rPr>
        <sz val="10"/>
        <rFont val="Arial"/>
        <family val="2"/>
      </rPr>
      <t>Disminuir el porcentaje de mujeres amenazadas por sus compañeros sentimentales</t>
    </r>
  </si>
  <si>
    <r>
      <rPr>
        <sz val="7"/>
        <rFont val="Times New Roman"/>
        <family val="1"/>
      </rPr>
      <t xml:space="preserve"> </t>
    </r>
    <r>
      <rPr>
        <sz val="10"/>
        <rFont val="Arial"/>
        <family val="2"/>
      </rPr>
      <t>Disminuir la incidencia de embarazo en adolescentes</t>
    </r>
  </si>
  <si>
    <r>
      <rPr>
        <sz val="7"/>
        <rFont val="Times New Roman"/>
        <family val="1"/>
      </rPr>
      <t xml:space="preserve"> </t>
    </r>
    <r>
      <rPr>
        <sz val="10"/>
        <rFont val="Arial"/>
        <family val="2"/>
      </rPr>
      <t>Incrementar el % IPS con seguimiento por parte del departamento</t>
    </r>
  </si>
  <si>
    <r>
      <rPr>
        <sz val="7"/>
        <rFont val="Times New Roman"/>
        <family val="1"/>
      </rPr>
      <t xml:space="preserve"> </t>
    </r>
    <r>
      <rPr>
        <sz val="10"/>
        <rFont val="Arial"/>
        <family val="2"/>
      </rPr>
      <t>Aumentar el porcentaje de cumplimiento de la Ley 1448 del 2011 de atención a víctimas</t>
    </r>
  </si>
  <si>
    <t>NUEVO IVA DE LICORES CEDIDO 30% DEPORTE
CIGARRILLOS NALES Y EXTRANJEROS (DEPORTE)</t>
  </si>
  <si>
    <t>Implementación de un fondo de apoyo Departamental para el acceso y la permanencia de la educacion tecnica, tecnologica y superior en el Departamento del Quindio.</t>
  </si>
  <si>
    <t>7                                                                  DE CADA 100</t>
  </si>
  <si>
    <t>Atender en los doce  (12) municipios del Departamento, los eventos de emergencia y urgencia, y el sistema de refertencia y contrareferencia de la población no afiliada</t>
  </si>
  <si>
    <t>37 
38</t>
  </si>
  <si>
    <t>37
 38</t>
  </si>
  <si>
    <t>24
25
29
30 
33</t>
  </si>
  <si>
    <t xml:space="preserve">8.9
4.6
27                     </t>
  </si>
  <si>
    <t>Apoyar la construcción, el mantenimiento, el mejoramiento y/o la rehabilitación de la infraestructura de doce (12) equipamientos públicos y colectivos del Departamento del Quindío.</t>
  </si>
  <si>
    <t>Diseñay ejecutar una politica Departamental de uso racional de resiudos solidos y uso eficiente de energia</t>
  </si>
  <si>
    <t>Adoptar e implementar el modelo de Atención primaria en Salud Mental (APS) en todos los municipios Quindianos</t>
  </si>
  <si>
    <t>Formular e implementar la política pública departamental de libertad religiosa en desarrollo del artículo 244 de la ley 1753 "Por medio de la cual se expide el Plan Nacional de Desarrollo 2014-2018 TODOS POR UN NUEVO PAÍS"</t>
  </si>
  <si>
    <t xml:space="preserve">Fortalecer el programa de sostenibilidad de las  Tecnologias de la Información y las Comunicaciones de la Gobernación del Quindio </t>
  </si>
  <si>
    <t>TOTAL ADMINISTRACIÓN CENTRAL:</t>
  </si>
  <si>
    <t xml:space="preserve">GRAN TOTAL </t>
  </si>
  <si>
    <t>1795 1531</t>
  </si>
  <si>
    <t>UNIDAD EJECUTORA</t>
  </si>
  <si>
    <t>RECURSOS DEL CRÉDITO</t>
  </si>
  <si>
    <t>TOTAL</t>
  </si>
  <si>
    <t>ESTAMPILLA PRO - CULTURA
(33-34-39-41-83)</t>
  </si>
  <si>
    <t>E (COMPROMISOS)</t>
  </si>
  <si>
    <t>E (OBLIGACIONES)</t>
  </si>
  <si>
    <t>ESTAMPILLA PRO - ADULTO MAYOR
(6-84)</t>
  </si>
  <si>
    <t>ESTAMPILLA PRO - DESARROLLO
(4-82)</t>
  </si>
  <si>
    <t xml:space="preserve">CONTRIBUCION ESPECIAL           
(FONDO DE SEGURIDAD 5%) </t>
  </si>
  <si>
    <t>SOBRETASA AL ACPM
(23-89)</t>
  </si>
  <si>
    <t>SGP APORTES PATRONALES -EDUCACION 09</t>
  </si>
  <si>
    <t>SGP AGUA POTABLE SSF
(27-90)</t>
  </si>
  <si>
    <t>F-PLA-43</t>
  </si>
  <si>
    <t>Octubre 1 de 2016</t>
  </si>
  <si>
    <t>1 de 1</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</si>
  <si>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</si>
  <si>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</si>
  <si>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</si>
  <si>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</si>
  <si>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</si>
  <si>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</si>
  <si>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</si>
  <si>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</si>
  <si>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</si>
  <si>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</si>
  <si>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</si>
  <si>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</si>
  <si>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</si>
  <si>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ADMINISTRATIVA</t>
  </si>
  <si>
    <t>PLANEACION</t>
  </si>
  <si>
    <t>HACIENDA</t>
  </si>
  <si>
    <t>AGUAS E INFRAESTRUCTURA</t>
  </si>
  <si>
    <t>INTERIOR</t>
  </si>
  <si>
    <t>CULTURA</t>
  </si>
  <si>
    <t>TURISMO INDUSTRIA Y COMERCIO</t>
  </si>
  <si>
    <t>AGRICULTURA, DESARROLLO RURAL Y MEDIO AMBIENTE</t>
  </si>
  <si>
    <t>OFICINA PRIVADA</t>
  </si>
  <si>
    <t>EDUCACION</t>
  </si>
  <si>
    <t>FAMILIA</t>
  </si>
  <si>
    <t>REPRESENTACION JUDICIAL</t>
  </si>
  <si>
    <t>SALUD</t>
  </si>
  <si>
    <t>SUBTOTAL</t>
  </si>
  <si>
    <t>INDEPORTES</t>
  </si>
  <si>
    <t>PROMOTORA</t>
  </si>
  <si>
    <t>IDTQ</t>
  </si>
  <si>
    <t xml:space="preserve">APROPIACION  </t>
  </si>
  <si>
    <t xml:space="preserve">DISPONIBILIDADES   </t>
  </si>
  <si>
    <t xml:space="preserve">COMPROMISOS  </t>
  </si>
  <si>
    <t xml:space="preserve">OBLIGACIONES </t>
  </si>
  <si>
    <t xml:space="preserve">PAGOS  </t>
  </si>
  <si>
    <t>SEMAFOROS</t>
  </si>
  <si>
    <t>SECTOR CENTRAL</t>
  </si>
  <si>
    <t xml:space="preserve">Sobresaliente  (Entre 80%-100%) </t>
  </si>
  <si>
    <t>Satisfactorio (Entre 70% -79,99%)</t>
  </si>
  <si>
    <t>Medio (Entre 60%-69,99%)</t>
  </si>
  <si>
    <t>Bajo (Entre 40% - 59,99%)</t>
  </si>
  <si>
    <t>Critico (Entre 0% - 39,99%)</t>
  </si>
  <si>
    <t xml:space="preserve">TOTAL </t>
  </si>
  <si>
    <t>DEPARTAMENTO DEL QUINDIO
EJECUCION GASTOS DE INVERSION POR SECRETARIA
DICIEMBRE 31 DE 2017</t>
  </si>
  <si>
    <t>FORTALECIMIENTO DE LA SEGURIDAD VIAL DEPARTAMENTAL</t>
  </si>
  <si>
    <t>Implementacion Plataforma Tecnologica para la Recoleccion Actualizada y Analisis de Datos de Siniestralidad Vial, Mapa de Siniestralidad e Insumos linea Base Plan Seguridad Vial Quindio</t>
  </si>
  <si>
    <t>Construcion Cancha Sintetica y Adecuacion del Polideportivo en el Sector de Naranjal, Quimbaya Quindio</t>
  </si>
  <si>
    <t xml:space="preserve">TOTAL DICIEMBRE-2017 </t>
  </si>
  <si>
    <t>SEGUIMIENTO PLAN OPERATIVO ANUAL DE INVERSIONES   -POAI-
A DICIEMBRE 31 DE 2017</t>
  </si>
  <si>
    <t xml:space="preserve"> Elevar el promedio de la participación de la ciudadania en los procesos de elección popular en el cuatrenio                                                Consolidar mecanismos de integración regional y municipal                                   </t>
  </si>
  <si>
    <t>Elevar el promedio de la participación de la ciudadania en los procesos de elección popular en el cuatrenio                                      Consolidar mecanismos de integración regional y municipal</t>
  </si>
  <si>
    <t>Duplicar el número de instituciones educativas oficiales del departamento con el índice sintetico de calidad educativa (ISCE) en el nivel de básica primaria, secundaria y media por encima del promedio nacional</t>
  </si>
  <si>
    <t xml:space="preserve">Duplicar el número de instituciones educativas oficiales del departamento con el índice sintetico de calidad educativa (ISCE) en el nivel de básica primaria, secundaria y media por encima del promedio nacional.         </t>
  </si>
  <si>
    <t>Disminuir o mantener la proporción de niños menores de 5 años en riesgo de desnutrición moderada o severa aguda</t>
  </si>
  <si>
    <t>Aumentar el % de personas discapacitadas atendidas</t>
  </si>
  <si>
    <t>Apoyar  a veinte  (20) deportistas en nivel de talento, de proyección y de altos logros con el programa de incentivos económicos a deportistas.</t>
  </si>
  <si>
    <t>OTROS (IVA TELEFONIA MÓVIL 47 - 93)
(IMPUESTO REGISTRO -  52-94
JUEGOS NOVEDOSOS - COLJUEGOS Y OTRAS FUENTES)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</si>
</sst>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_(* #,##0_);_(* \(#,##0\);_(* &quot;-&quot;??_);_(@_)"/>
    <numFmt numFmtId="171" formatCode="#,##0.00_);\-#,##0.00"/>
    <numFmt numFmtId="172" formatCode="_-* #,##0_-;\-* #,##0_-;_-* &quot;-&quot;??_-;_-@_-"/>
    <numFmt numFmtId="173" formatCode="_-[$$-240A]* #,##0.00_-;\-[$$-240A]* #,##0.00_-;_-[$$-240A]* &quot;-&quot;??_-;_-@_-"/>
    <numFmt numFmtId="174" formatCode="_ [$€-2]\ * #,##0.00_ ;_ [$€-2]\ * \-#,##0.00_ ;_ [$€-2]\ * &quot;-&quot;??_ "/>
    <numFmt numFmtId="175" formatCode="0.0"/>
    <numFmt numFmtId="176" formatCode="#,##0;[Red]#,##0"/>
    <numFmt numFmtId="177" formatCode="_ &quot;$&quot;\ * #,##0.00_ ;_ &quot;$&quot;\ * \-#,##0.00_ ;_ &quot;$&quot;\ * &quot;-&quot;??_ ;_ @_ "/>
    <numFmt numFmtId="178" formatCode="#."/>
    <numFmt numFmtId="179" formatCode="_ * #,##0.00_ ;_ * \-#,##0.00_ ;_ * &quot;-&quot;??_ ;_ @_ "/>
    <numFmt numFmtId="180" formatCode="_-[$€-2]* #,##0.00_-;\-[$€-2]* #,##0.00_-;_-[$€-2]* &quot;-&quot;??_-"/>
    <numFmt numFmtId="181" formatCode="_(* #.##0.00_);_(* \(#.##0.00\);_(* &quot;-&quot;??_);_(@_)"/>
    <numFmt numFmtId="182" formatCode="_-* #,##0.00\ _P_t_a_-;\-* #,##0.00\ _P_t_a_-;_-* &quot;-&quot;??\ _P_t_a_-;_-@_-"/>
    <numFmt numFmtId="183" formatCode="&quot;$&quot;\ #,##0;&quot;$&quot;\ \-#,##0"/>
    <numFmt numFmtId="184" formatCode="#,##0.000"/>
    <numFmt numFmtId="185" formatCode="00"/>
    <numFmt numFmtId="186" formatCode="#,##0_);\-#,##0"/>
    <numFmt numFmtId="187" formatCode="_(* #,##0.0_);_(* \(#,##0.0\);_(* &quot;-&quot;??_);_(@_)"/>
    <numFmt numFmtId="188" formatCode="_-* #,##0.0_-;\-* #,##0.0_-;_-* &quot;-&quot;??_-;_-@_-"/>
    <numFmt numFmtId="189" formatCode="_(* #,##0.000_);_(* \(#,##0.000\);_(* &quot;-&quot;??_);_(@_)"/>
  </numFmts>
  <fonts count="57"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b/>
      <sz val="12"/>
      <name val="Arial"/>
      <family val="2"/>
    </font>
    <font>
      <sz val="11"/>
      <name val="Arial"/>
      <family val="2"/>
    </font>
    <font>
      <sz val="11"/>
      <name val="Calibri"/>
      <family val="2"/>
      <scheme val="minor"/>
    </font>
    <font>
      <sz val="12"/>
      <name val="Arial"/>
      <family val="2"/>
    </font>
    <font>
      <sz val="10"/>
      <name val="Arial"/>
      <family val="2"/>
    </font>
    <font>
      <b/>
      <sz val="16"/>
      <name val="Arial"/>
      <family val="2"/>
    </font>
    <font>
      <sz val="11"/>
      <name val="Calibri"/>
      <family val="2"/>
    </font>
    <font>
      <sz val="9"/>
      <name val="Arial"/>
      <family val="2"/>
    </font>
    <font>
      <b/>
      <sz val="9"/>
      <name val="Arial"/>
      <family val="2"/>
    </font>
    <font>
      <b/>
      <sz val="10"/>
      <name val="Arial"/>
      <family val="2"/>
    </font>
    <font>
      <b/>
      <sz val="11"/>
      <name val="Calibri"/>
      <family val="2"/>
    </font>
    <font>
      <sz val="7"/>
      <name val="Times New Roman"/>
      <family val="1"/>
    </font>
    <font>
      <sz val="10"/>
      <name val="Arial"/>
      <family val="1"/>
    </font>
    <font>
      <b/>
      <sz val="18"/>
      <name val="Arial"/>
      <family val="2"/>
    </font>
    <font>
      <sz val="11"/>
      <name val="Arial Narrow"/>
      <family val="2"/>
    </font>
    <font>
      <sz val="9"/>
      <name val="Arial Narrow"/>
      <family val="2"/>
    </font>
    <font>
      <sz val="14"/>
      <name val="Calibri"/>
      <family val="2"/>
    </font>
    <font>
      <b/>
      <sz val="11"/>
      <name val="Calibri"/>
      <family val="2"/>
      <scheme val="minor"/>
    </font>
    <font>
      <sz val="10"/>
      <color theme="1"/>
      <name val="Arial"/>
      <family val="2"/>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8"/>
      <name val="Arial"/>
      <family val="2"/>
    </font>
    <font>
      <b/>
      <sz val="8"/>
      <name val="Calibri"/>
      <family val="2"/>
    </font>
    <font>
      <b/>
      <sz val="10"/>
      <color theme="1"/>
      <name val="Arial"/>
      <family val="2"/>
    </font>
    <font>
      <sz val="12"/>
      <name val="Calibri"/>
      <family val="2"/>
      <scheme val="minor"/>
    </font>
    <font>
      <sz val="10"/>
      <color theme="0"/>
      <name val="Arial"/>
      <family val="2"/>
    </font>
    <font>
      <b/>
      <sz val="10"/>
      <color theme="0"/>
      <name val="Calibri"/>
      <family val="2"/>
      <scheme val="minor"/>
    </font>
    <font>
      <sz val="8"/>
      <color theme="0"/>
      <name val="Arial"/>
      <family val="2"/>
    </font>
    <font>
      <sz val="8"/>
      <color theme="1"/>
      <name val="Arial"/>
      <family val="2"/>
    </font>
    <font>
      <sz val="11"/>
      <color theme="0"/>
      <name val="Calibri"/>
      <family val="2"/>
      <scheme val="minor"/>
    </font>
  </fonts>
  <fills count="47">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FC000"/>
        <bgColor indexed="64"/>
      </patternFill>
    </fill>
    <fill>
      <patternFill patternType="solid">
        <fgColor rgb="FF00B050"/>
        <bgColor indexed="64"/>
      </patternFill>
    </fill>
  </fills>
  <borders count="23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auto="1"/>
      </right>
      <top style="thin">
        <color indexed="64"/>
      </top>
      <bottom/>
      <diagonal/>
    </border>
    <border>
      <left/>
      <right/>
      <top style="thin">
        <color indexed="64"/>
      </top>
      <bottom/>
      <diagonal/>
    </border>
    <border>
      <left style="thin">
        <color auto="1"/>
      </left>
      <right style="thin">
        <color auto="1"/>
      </right>
      <top style="thin">
        <color auto="1"/>
      </top>
      <bottom/>
      <diagonal/>
    </border>
  </borders>
  <cellStyleXfs count="1364">
    <xf numFmtId="0" fontId="0" fillId="0" borderId="0"/>
    <xf numFmtId="167"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174" fontId="1" fillId="0" borderId="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4" fontId="1" fillId="0" borderId="0"/>
    <xf numFmtId="0" fontId="2" fillId="24" borderId="120" applyNumberFormat="0" applyFont="0" applyAlignment="0" applyProtection="0"/>
    <xf numFmtId="0" fontId="46" fillId="0" borderId="138" applyNumberFormat="0" applyFill="0" applyAlignment="0" applyProtection="0"/>
    <xf numFmtId="44" fontId="2" fillId="0" borderId="0" applyFont="0" applyFill="0" applyBorder="0" applyAlignment="0" applyProtection="0"/>
    <xf numFmtId="41" fontId="2" fillId="0" borderId="0" applyFont="0" applyFill="0" applyBorder="0" applyAlignment="0" applyProtection="0"/>
    <xf numFmtId="177" fontId="23" fillId="0" borderId="0"/>
    <xf numFmtId="43" fontId="2" fillId="0" borderId="0" applyFont="0" applyFill="0" applyBorder="0" applyAlignment="0" applyProtection="0"/>
    <xf numFmtId="0" fontId="46" fillId="0" borderId="160" applyNumberFormat="0" applyFill="0" applyAlignment="0" applyProtection="0"/>
    <xf numFmtId="168" fontId="2" fillId="0" borderId="0" applyFont="0" applyFill="0" applyBorder="0" applyAlignment="0" applyProtection="0"/>
    <xf numFmtId="9" fontId="2" fillId="0" borderId="0" applyFont="0" applyFill="0" applyBorder="0" applyAlignment="0" applyProtection="0"/>
    <xf numFmtId="0" fontId="8" fillId="0" borderId="0"/>
    <xf numFmtId="43" fontId="1" fillId="0" borderId="0" applyFont="0" applyFill="0" applyBorder="0" applyAlignment="0" applyProtection="0"/>
    <xf numFmtId="0" fontId="28" fillId="36" borderId="54" applyNumberFormat="0" applyAlignment="0" applyProtection="0"/>
    <xf numFmtId="0" fontId="29" fillId="37" borderId="134" applyNumberFormat="0" applyAlignment="0" applyProtection="0"/>
    <xf numFmtId="0" fontId="35" fillId="21" borderId="79" applyNumberFormat="0" applyAlignment="0" applyProtection="0"/>
    <xf numFmtId="178" fontId="24" fillId="0" borderId="0">
      <protection locked="0"/>
    </xf>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5" fillId="28"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0"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17" borderId="0" applyNumberFormat="0" applyBorder="0" applyAlignment="0" applyProtection="0"/>
    <xf numFmtId="0" fontId="25" fillId="29" borderId="0" applyNumberFormat="0" applyBorder="0" applyAlignment="0" applyProtection="0"/>
    <xf numFmtId="0" fontId="25" fillId="20" borderId="0" applyNumberFormat="0" applyBorder="0" applyAlignment="0" applyProtection="0"/>
    <xf numFmtId="0" fontId="25" fillId="30" borderId="0" applyNumberFormat="0" applyBorder="0" applyAlignment="0" applyProtection="0"/>
    <xf numFmtId="0" fontId="25" fillId="23"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6" fillId="17" borderId="0" applyNumberFormat="0" applyBorder="0" applyAlignment="0" applyProtection="0"/>
    <xf numFmtId="0" fontId="27" fillId="20" borderId="0" applyNumberFormat="0" applyBorder="0" applyAlignment="0" applyProtection="0"/>
    <xf numFmtId="0" fontId="27" fillId="18" borderId="0" applyNumberFormat="0" applyBorder="0" applyAlignment="0" applyProtection="0"/>
    <xf numFmtId="0" fontId="28" fillId="36" borderId="20" applyNumberFormat="0" applyAlignment="0" applyProtection="0"/>
    <xf numFmtId="0" fontId="29" fillId="37" borderId="20" applyNumberFormat="0" applyAlignment="0" applyProtection="0"/>
    <xf numFmtId="0" fontId="28" fillId="36" borderId="20" applyNumberFormat="0" applyAlignment="0" applyProtection="0"/>
    <xf numFmtId="0" fontId="30" fillId="38" borderId="21" applyNumberFormat="0" applyAlignment="0" applyProtection="0"/>
    <xf numFmtId="0" fontId="30" fillId="38" borderId="21" applyNumberFormat="0" applyAlignment="0" applyProtection="0"/>
    <xf numFmtId="0" fontId="31" fillId="0" borderId="22" applyNumberFormat="0" applyFill="0" applyAlignment="0" applyProtection="0"/>
    <xf numFmtId="0" fontId="32" fillId="0" borderId="23" applyNumberFormat="0" applyFill="0" applyAlignment="0" applyProtection="0"/>
    <xf numFmtId="0" fontId="30" fillId="38" borderId="2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5" fillId="39"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4" borderId="0" applyNumberFormat="0" applyBorder="0" applyAlignment="0" applyProtection="0"/>
    <xf numFmtId="0" fontId="25" fillId="26"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2" borderId="0" applyNumberFormat="0" applyBorder="0" applyAlignment="0" applyProtection="0"/>
    <xf numFmtId="0" fontId="35" fillId="27" borderId="20" applyNumberFormat="0" applyAlignment="0" applyProtection="0"/>
    <xf numFmtId="0" fontId="35" fillId="21" borderId="20" applyNumberFormat="0" applyAlignment="0" applyProtection="0"/>
    <xf numFmtId="179" fontId="8" fillId="0" borderId="0" applyFont="0" applyFill="0" applyBorder="0" applyAlignment="0" applyProtection="0"/>
    <xf numFmtId="179"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8" fillId="0" borderId="0" applyFont="0" applyFill="0" applyBorder="0" applyAlignment="0" applyProtection="0"/>
    <xf numFmtId="180" fontId="8" fillId="0" borderId="0" applyFont="0" applyFill="0" applyBorder="0" applyAlignment="0" applyProtection="0"/>
    <xf numFmtId="174" fontId="18" fillId="0" borderId="0" applyFont="0" applyFill="0" applyBorder="0" applyAlignment="0" applyProtection="0"/>
    <xf numFmtId="0" fontId="36" fillId="0" borderId="0" applyNumberFormat="0" applyFill="0" applyBorder="0" applyAlignment="0" applyProtection="0"/>
    <xf numFmtId="0" fontId="27" fillId="18" borderId="0" applyNumberFormat="0" applyBorder="0" applyAlignment="0" applyProtection="0"/>
    <xf numFmtId="0" fontId="37" fillId="0" borderId="24" applyNumberFormat="0" applyFill="0" applyAlignment="0" applyProtection="0"/>
    <xf numFmtId="0" fontId="38"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26" fillId="19" borderId="0" applyNumberFormat="0" applyBorder="0" applyAlignment="0" applyProtection="0"/>
    <xf numFmtId="0" fontId="26" fillId="17" borderId="0" applyNumberFormat="0" applyBorder="0" applyAlignment="0" applyProtection="0"/>
    <xf numFmtId="0" fontId="35" fillId="21" borderId="20" applyNumberFormat="0" applyAlignment="0" applyProtection="0"/>
    <xf numFmtId="0" fontId="32" fillId="0" borderId="23" applyNumberFormat="0" applyFill="0" applyAlignment="0" applyProtection="0"/>
    <xf numFmtId="169" fontId="2" fillId="0" borderId="0" applyFont="0" applyFill="0" applyBorder="0" applyAlignment="0" applyProtection="0"/>
    <xf numFmtId="43" fontId="1" fillId="0" borderId="0" applyFont="0" applyFill="0" applyBorder="0" applyAlignment="0" applyProtection="0"/>
    <xf numFmtId="179"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1"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7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79" fontId="8" fillId="0" borderId="0" applyFont="0" applyFill="0" applyBorder="0" applyAlignment="0" applyProtection="0"/>
    <xf numFmtId="169" fontId="2" fillId="0" borderId="0" applyFont="0" applyFill="0" applyBorder="0" applyAlignment="0" applyProtection="0"/>
    <xf numFmtId="182" fontId="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9" fontId="8"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77" fontId="8" fillId="0" borderId="0" applyFont="0" applyFill="0" applyBorder="0" applyAlignment="0" applyProtection="0"/>
    <xf numFmtId="0" fontId="39" fillId="27" borderId="0" applyNumberFormat="0" applyBorder="0" applyAlignment="0" applyProtection="0"/>
    <xf numFmtId="0" fontId="40" fillId="27" borderId="0" applyNumberFormat="0" applyBorder="0" applyAlignment="0" applyProtection="0"/>
    <xf numFmtId="0" fontId="8" fillId="0" borderId="0"/>
    <xf numFmtId="0" fontId="2" fillId="0" borderId="0"/>
    <xf numFmtId="0" fontId="8" fillId="0" borderId="0"/>
    <xf numFmtId="0" fontId="8" fillId="0" borderId="0"/>
    <xf numFmtId="0" fontId="8" fillId="0" borderId="0"/>
    <xf numFmtId="0" fontId="1" fillId="0" borderId="0"/>
    <xf numFmtId="0" fontId="8" fillId="0" borderId="0"/>
    <xf numFmtId="0" fontId="2" fillId="0" borderId="0"/>
    <xf numFmtId="17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9" fontId="8" fillId="0" borderId="0" applyFont="0" applyFill="0" applyBorder="0" applyAlignment="0" applyProtection="0"/>
    <xf numFmtId="179" fontId="8" fillId="0" borderId="0" applyFont="0" applyFill="0" applyBorder="0" applyAlignment="0" applyProtection="0"/>
    <xf numFmtId="183" fontId="8" fillId="0" borderId="0" applyFont="0" applyFill="0" applyBorder="0" applyAlignment="0" applyProtection="0"/>
    <xf numFmtId="0" fontId="1" fillId="0" borderId="0"/>
    <xf numFmtId="0" fontId="1" fillId="0" borderId="0"/>
    <xf numFmtId="0" fontId="1" fillId="0" borderId="0"/>
    <xf numFmtId="0" fontId="1" fillId="0" borderId="0"/>
    <xf numFmtId="0" fontId="8" fillId="24" borderId="27" applyNumberFormat="0" applyFont="0" applyAlignment="0" applyProtection="0"/>
    <xf numFmtId="0" fontId="8" fillId="24" borderId="27" applyNumberFormat="0" applyFont="0" applyAlignment="0" applyProtection="0"/>
    <xf numFmtId="0" fontId="2" fillId="24" borderId="27" applyNumberFormat="0" applyFont="0" applyAlignment="0" applyProtection="0"/>
    <xf numFmtId="0" fontId="41" fillId="36" borderId="28"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1" fillId="37" borderId="28" applyNumberFormat="0" applyAlignment="0" applyProtection="0"/>
    <xf numFmtId="0" fontId="41" fillId="36" borderId="28"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2" fillId="0" borderId="0" applyNumberFormat="0" applyFill="0" applyBorder="0" applyAlignment="0" applyProtection="0"/>
    <xf numFmtId="0" fontId="43" fillId="0" borderId="29" applyNumberFormat="0" applyFill="0" applyAlignment="0" applyProtection="0"/>
    <xf numFmtId="0" fontId="44" fillId="0" borderId="30" applyNumberFormat="0" applyFill="0" applyAlignment="0" applyProtection="0"/>
    <xf numFmtId="0" fontId="38" fillId="0" borderId="25" applyNumberFormat="0" applyFill="0" applyAlignment="0" applyProtection="0"/>
    <xf numFmtId="0" fontId="33" fillId="0" borderId="31" applyNumberFormat="0" applyFill="0" applyAlignment="0" applyProtection="0"/>
    <xf numFmtId="0" fontId="34" fillId="0" borderId="26" applyNumberFormat="0" applyFill="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46" fillId="0" borderId="32" applyNumberFormat="0" applyFill="0" applyAlignment="0" applyProtection="0"/>
    <xf numFmtId="0" fontId="46" fillId="0" borderId="33" applyNumberFormat="0" applyFill="0" applyAlignment="0" applyProtection="0"/>
    <xf numFmtId="0" fontId="31" fillId="0" borderId="0" applyNumberFormat="0" applyFill="0" applyBorder="0" applyAlignment="0" applyProtection="0"/>
    <xf numFmtId="0" fontId="1" fillId="0" borderId="0"/>
    <xf numFmtId="164" fontId="8" fillId="0" borderId="0" applyFont="0" applyFill="0" applyBorder="0" applyAlignment="0" applyProtection="0"/>
    <xf numFmtId="0" fontId="8" fillId="0" borderId="0"/>
    <xf numFmtId="179" fontId="8" fillId="0" borderId="0" applyFont="0" applyFill="0" applyBorder="0" applyAlignment="0" applyProtection="0"/>
    <xf numFmtId="179"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4" fontId="1" fillId="0" borderId="0"/>
    <xf numFmtId="174" fontId="8" fillId="0" borderId="0"/>
    <xf numFmtId="174" fontId="2" fillId="0" borderId="0"/>
    <xf numFmtId="174" fontId="8" fillId="0" borderId="0"/>
    <xf numFmtId="174" fontId="8" fillId="0" borderId="0"/>
    <xf numFmtId="174" fontId="8" fillId="0" borderId="0"/>
    <xf numFmtId="174" fontId="8" fillId="0" borderId="0"/>
    <xf numFmtId="174" fontId="8" fillId="0" borderId="0"/>
    <xf numFmtId="174" fontId="4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4" fontId="8"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4" fontId="1"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8" fillId="24" borderId="130" applyNumberFormat="0" applyFont="0" applyAlignment="0" applyProtection="0"/>
    <xf numFmtId="0" fontId="8" fillId="24" borderId="45" applyNumberFormat="0" applyFont="0" applyAlignment="0" applyProtection="0"/>
    <xf numFmtId="0" fontId="41" fillId="36" borderId="56" applyNumberFormat="0" applyAlignment="0" applyProtection="0"/>
    <xf numFmtId="0" fontId="41" fillId="36" borderId="76" applyNumberFormat="0" applyAlignment="0" applyProtection="0"/>
    <xf numFmtId="0" fontId="2" fillId="24" borderId="45" applyNumberFormat="0" applyFont="0" applyAlignment="0" applyProtection="0"/>
    <xf numFmtId="0" fontId="29" fillId="37" borderId="49" applyNumberFormat="0" applyAlignment="0" applyProtection="0"/>
    <xf numFmtId="43" fontId="1" fillId="0" borderId="0" applyFont="0" applyFill="0" applyBorder="0" applyAlignment="0" applyProtection="0"/>
    <xf numFmtId="0" fontId="29" fillId="37" borderId="74" applyNumberFormat="0" applyAlignment="0" applyProtection="0"/>
    <xf numFmtId="0" fontId="46" fillId="0" borderId="68" applyNumberFormat="0" applyFill="0" applyAlignment="0" applyProtection="0"/>
    <xf numFmtId="0" fontId="46" fillId="0" borderId="73" applyNumberFormat="0" applyFill="0" applyAlignment="0" applyProtection="0"/>
    <xf numFmtId="0" fontId="35" fillId="21" borderId="215" applyNumberFormat="0" applyAlignment="0" applyProtection="0"/>
    <xf numFmtId="0" fontId="35" fillId="27" borderId="54" applyNumberFormat="0" applyAlignment="0" applyProtection="0"/>
    <xf numFmtId="0" fontId="8" fillId="24" borderId="65" applyNumberFormat="0" applyFont="0" applyAlignment="0" applyProtection="0"/>
    <xf numFmtId="0" fontId="2" fillId="24" borderId="65" applyNumberFormat="0" applyFont="0" applyAlignment="0" applyProtection="0"/>
    <xf numFmtId="0" fontId="41" fillId="37" borderId="182" applyNumberFormat="0" applyAlignment="0" applyProtection="0"/>
    <xf numFmtId="0" fontId="41" fillId="36" borderId="71" applyNumberFormat="0" applyAlignment="0" applyProtection="0"/>
    <xf numFmtId="0" fontId="41" fillId="36" borderId="170" applyNumberFormat="0" applyAlignment="0" applyProtection="0"/>
    <xf numFmtId="0" fontId="41" fillId="36" borderId="136" applyNumberFormat="0" applyAlignment="0" applyProtection="0"/>
    <xf numFmtId="0" fontId="2" fillId="24" borderId="95" applyNumberFormat="0" applyFont="0" applyAlignment="0" applyProtection="0"/>
    <xf numFmtId="0" fontId="46" fillId="0" borderId="207" applyNumberFormat="0" applyFill="0" applyAlignment="0" applyProtection="0"/>
    <xf numFmtId="0" fontId="28" fillId="36" borderId="114" applyNumberFormat="0" applyAlignment="0" applyProtection="0"/>
    <xf numFmtId="0" fontId="41" fillId="36" borderId="136" applyNumberFormat="0" applyAlignment="0" applyProtection="0"/>
    <xf numFmtId="0" fontId="41" fillId="37" borderId="91" applyNumberFormat="0" applyAlignment="0" applyProtection="0"/>
    <xf numFmtId="0" fontId="35" fillId="27" borderId="49" applyNumberFormat="0" applyAlignment="0" applyProtection="0"/>
    <xf numFmtId="0" fontId="35" fillId="21" borderId="99" applyNumberFormat="0" applyAlignment="0" applyProtection="0"/>
    <xf numFmtId="0" fontId="35" fillId="27" borderId="114" applyNumberFormat="0" applyAlignment="0" applyProtection="0"/>
    <xf numFmtId="0" fontId="2" fillId="24" borderId="105" applyNumberFormat="0" applyFont="0" applyAlignment="0" applyProtection="0"/>
    <xf numFmtId="0" fontId="46" fillId="0" borderId="43" applyNumberFormat="0" applyFill="0" applyAlignment="0" applyProtection="0"/>
    <xf numFmtId="0" fontId="46" fillId="0" borderId="42" applyNumberFormat="0" applyFill="0" applyAlignment="0" applyProtection="0"/>
    <xf numFmtId="0" fontId="29" fillId="37" borderId="124" applyNumberFormat="0" applyAlignment="0" applyProtection="0"/>
    <xf numFmtId="43" fontId="1" fillId="0" borderId="0" applyFont="0" applyFill="0" applyBorder="0" applyAlignment="0" applyProtection="0"/>
    <xf numFmtId="0" fontId="35" fillId="27" borderId="64" applyNumberFormat="0" applyAlignment="0" applyProtection="0"/>
    <xf numFmtId="0" fontId="8" fillId="24" borderId="157" applyNumberFormat="0" applyFont="0" applyAlignment="0" applyProtection="0"/>
    <xf numFmtId="0" fontId="28" fillId="36" borderId="64" applyNumberFormat="0" applyAlignment="0" applyProtection="0"/>
    <xf numFmtId="0" fontId="8" fillId="24" borderId="85" applyNumberFormat="0" applyFont="0" applyAlignment="0" applyProtection="0"/>
    <xf numFmtId="0" fontId="46" fillId="0" borderId="67" applyNumberFormat="0" applyFill="0" applyAlignment="0" applyProtection="0"/>
    <xf numFmtId="0" fontId="8" fillId="24" borderId="95" applyNumberFormat="0" applyFont="0" applyAlignment="0" applyProtection="0"/>
    <xf numFmtId="43" fontId="1" fillId="0" borderId="0" applyFont="0" applyFill="0" applyBorder="0" applyAlignment="0" applyProtection="0"/>
    <xf numFmtId="0" fontId="41" fillId="36" borderId="41" applyNumberFormat="0" applyAlignment="0" applyProtection="0"/>
    <xf numFmtId="0" fontId="41" fillId="37" borderId="41" applyNumberFormat="0" applyAlignment="0" applyProtection="0"/>
    <xf numFmtId="0" fontId="8" fillId="24" borderId="145" applyNumberFormat="0" applyFont="0" applyAlignment="0" applyProtection="0"/>
    <xf numFmtId="0" fontId="41" fillId="37" borderId="223" applyNumberFormat="0" applyAlignment="0" applyProtection="0"/>
    <xf numFmtId="0" fontId="2" fillId="24" borderId="90" applyNumberFormat="0" applyFont="0" applyAlignment="0" applyProtection="0"/>
    <xf numFmtId="0" fontId="28" fillId="36" borderId="94" applyNumberFormat="0" applyAlignment="0" applyProtection="0"/>
    <xf numFmtId="0" fontId="41" fillId="36" borderId="41" applyNumberFormat="0" applyAlignment="0" applyProtection="0"/>
    <xf numFmtId="0" fontId="2" fillId="24" borderId="40" applyNumberFormat="0" applyFont="0" applyAlignment="0" applyProtection="0"/>
    <xf numFmtId="0" fontId="8" fillId="24" borderId="40" applyNumberFormat="0" applyFont="0" applyAlignment="0" applyProtection="0"/>
    <xf numFmtId="0" fontId="8" fillId="24" borderId="40" applyNumberFormat="0" applyFont="0" applyAlignment="0" applyProtection="0"/>
    <xf numFmtId="0" fontId="41" fillId="36" borderId="61" applyNumberFormat="0" applyAlignment="0" applyProtection="0"/>
    <xf numFmtId="0" fontId="2" fillId="24" borderId="60" applyNumberFormat="0" applyFont="0" applyAlignment="0" applyProtection="0"/>
    <xf numFmtId="0" fontId="8" fillId="24" borderId="60" applyNumberFormat="0" applyFont="0" applyAlignment="0" applyProtection="0"/>
    <xf numFmtId="0" fontId="8" fillId="24" borderId="60" applyNumberFormat="0" applyFont="0" applyAlignment="0" applyProtection="0"/>
    <xf numFmtId="0" fontId="41" fillId="36" borderId="170" applyNumberFormat="0" applyAlignment="0" applyProtection="0"/>
    <xf numFmtId="0" fontId="35" fillId="27" borderId="162" applyNumberFormat="0" applyAlignment="0" applyProtection="0"/>
    <xf numFmtId="0" fontId="46" fillId="0" borderId="53" applyNumberFormat="0" applyFill="0" applyAlignment="0" applyProtection="0"/>
    <xf numFmtId="0" fontId="46" fillId="0" borderId="52" applyNumberFormat="0" applyFill="0" applyAlignment="0" applyProtection="0"/>
    <xf numFmtId="0" fontId="35" fillId="27" borderId="144" applyNumberFormat="0" applyAlignment="0" applyProtection="0"/>
    <xf numFmtId="0" fontId="41" fillId="36" borderId="51" applyNumberFormat="0" applyAlignment="0" applyProtection="0"/>
    <xf numFmtId="0" fontId="41" fillId="37" borderId="51" applyNumberFormat="0" applyAlignment="0" applyProtection="0"/>
    <xf numFmtId="0" fontId="41" fillId="37" borderId="111" applyNumberFormat="0" applyAlignment="0" applyProtection="0"/>
    <xf numFmtId="0" fontId="41" fillId="36" borderId="51" applyNumberFormat="0" applyAlignment="0" applyProtection="0"/>
    <xf numFmtId="0" fontId="8" fillId="24" borderId="50" applyNumberFormat="0" applyFont="0" applyAlignment="0" applyProtection="0"/>
    <xf numFmtId="0" fontId="41" fillId="37" borderId="193" applyNumberFormat="0" applyAlignment="0" applyProtection="0"/>
    <xf numFmtId="0" fontId="41" fillId="36" borderId="141" applyNumberFormat="0" applyAlignment="0" applyProtection="0"/>
    <xf numFmtId="0" fontId="28" fillId="36" borderId="34" applyNumberFormat="0" applyAlignment="0" applyProtection="0"/>
    <xf numFmtId="0" fontId="29" fillId="37" borderId="34" applyNumberFormat="0" applyAlignment="0" applyProtection="0"/>
    <xf numFmtId="0" fontId="28" fillId="36" borderId="34" applyNumberFormat="0" applyAlignment="0" applyProtection="0"/>
    <xf numFmtId="0" fontId="35" fillId="21" borderId="168" applyNumberFormat="0" applyAlignment="0" applyProtection="0"/>
    <xf numFmtId="0" fontId="46" fillId="0" borderId="224" applyNumberFormat="0" applyFill="0" applyAlignment="0" applyProtection="0"/>
    <xf numFmtId="0" fontId="41" fillId="36" borderId="131" applyNumberFormat="0" applyAlignment="0" applyProtection="0"/>
    <xf numFmtId="0" fontId="41" fillId="37" borderId="96" applyNumberFormat="0" applyAlignment="0" applyProtection="0"/>
    <xf numFmtId="0" fontId="8" fillId="24" borderId="135" applyNumberFormat="0" applyFont="0" applyAlignment="0" applyProtection="0"/>
    <xf numFmtId="0" fontId="35" fillId="21" borderId="104" applyNumberFormat="0" applyAlignment="0" applyProtection="0"/>
    <xf numFmtId="0" fontId="41" fillId="36" borderId="81" applyNumberFormat="0" applyAlignment="0" applyProtection="0"/>
    <xf numFmtId="0" fontId="29" fillId="37" borderId="44" applyNumberFormat="0" applyAlignment="0" applyProtection="0"/>
    <xf numFmtId="0" fontId="28" fillId="36" borderId="44" applyNumberFormat="0" applyAlignment="0" applyProtection="0"/>
    <xf numFmtId="0" fontId="35" fillId="21" borderId="139" applyNumberFormat="0" applyAlignment="0" applyProtection="0"/>
    <xf numFmtId="0" fontId="41" fillId="36" borderId="131" applyNumberFormat="0" applyAlignment="0" applyProtection="0"/>
    <xf numFmtId="0" fontId="8" fillId="24" borderId="85" applyNumberFormat="0" applyFont="0" applyAlignment="0" applyProtection="0"/>
    <xf numFmtId="0" fontId="41" fillId="37" borderId="71" applyNumberFormat="0" applyAlignment="0" applyProtection="0"/>
    <xf numFmtId="0" fontId="35" fillId="27" borderId="34" applyNumberFormat="0" applyAlignment="0" applyProtection="0"/>
    <xf numFmtId="0" fontId="35" fillId="21" borderId="34" applyNumberFormat="0" applyAlignment="0" applyProtection="0"/>
    <xf numFmtId="0" fontId="8" fillId="24" borderId="70" applyNumberFormat="0" applyFont="0" applyAlignment="0" applyProtection="0"/>
    <xf numFmtId="0" fontId="8" fillId="24" borderId="70" applyNumberFormat="0" applyFont="0" applyAlignment="0" applyProtection="0"/>
    <xf numFmtId="0" fontId="46" fillId="0" borderId="165" applyNumberFormat="0" applyFill="0" applyAlignment="0" applyProtection="0"/>
    <xf numFmtId="0" fontId="46" fillId="0" borderId="83" applyNumberFormat="0" applyFill="0" applyAlignment="0" applyProtection="0"/>
    <xf numFmtId="0" fontId="29" fillId="37" borderId="89" applyNumberFormat="0" applyAlignment="0" applyProtection="0"/>
    <xf numFmtId="0" fontId="46" fillId="0" borderId="108" applyNumberFormat="0" applyFill="0" applyAlignment="0" applyProtection="0"/>
    <xf numFmtId="0" fontId="29" fillId="37" borderId="54" applyNumberFormat="0" applyAlignment="0" applyProtection="0"/>
    <xf numFmtId="0" fontId="35" fillId="21" borderId="44" applyNumberFormat="0" applyAlignment="0" applyProtection="0"/>
    <xf numFmtId="0" fontId="41" fillId="36" borderId="116" applyNumberFormat="0" applyAlignment="0" applyProtection="0"/>
    <xf numFmtId="0" fontId="41" fillId="37" borderId="164" applyNumberFormat="0" applyAlignment="0" applyProtection="0"/>
    <xf numFmtId="0" fontId="8" fillId="24" borderId="80" applyNumberFormat="0" applyFont="0" applyAlignment="0" applyProtection="0"/>
    <xf numFmtId="0" fontId="8" fillId="24" borderId="187" applyNumberFormat="0" applyFont="0" applyAlignment="0" applyProtection="0"/>
    <xf numFmtId="43" fontId="1" fillId="0" borderId="0" applyFont="0" applyFill="0" applyBorder="0" applyAlignment="0" applyProtection="0"/>
    <xf numFmtId="0" fontId="29" fillId="37" borderId="174" applyNumberFormat="0" applyAlignment="0" applyProtection="0"/>
    <xf numFmtId="0" fontId="35" fillId="21" borderId="34" applyNumberFormat="0" applyAlignment="0" applyProtection="0"/>
    <xf numFmtId="0" fontId="35" fillId="27" borderId="129" applyNumberFormat="0" applyAlignment="0" applyProtection="0"/>
    <xf numFmtId="0" fontId="41" fillId="36" borderId="111" applyNumberFormat="0" applyAlignment="0" applyProtection="0"/>
    <xf numFmtId="0" fontId="29" fillId="37" borderId="84" applyNumberFormat="0" applyAlignment="0" applyProtection="0"/>
    <xf numFmtId="0" fontId="2" fillId="24" borderId="157" applyNumberFormat="0" applyFont="0" applyAlignment="0" applyProtection="0"/>
    <xf numFmtId="43" fontId="1" fillId="0" borderId="0" applyFont="0" applyFill="0" applyBorder="0" applyAlignment="0" applyProtection="0"/>
    <xf numFmtId="0" fontId="41" fillId="37" borderId="121" applyNumberFormat="0" applyAlignment="0" applyProtection="0"/>
    <xf numFmtId="0" fontId="35" fillId="21" borderId="39" applyNumberFormat="0" applyAlignment="0" applyProtection="0"/>
    <xf numFmtId="0" fontId="35" fillId="21" borderId="59" applyNumberFormat="0" applyAlignment="0" applyProtection="0"/>
    <xf numFmtId="0" fontId="2" fillId="24" borderId="135" applyNumberFormat="0" applyFont="0" applyAlignment="0" applyProtection="0"/>
    <xf numFmtId="0" fontId="35" fillId="21" borderId="150" applyNumberFormat="0" applyAlignment="0" applyProtection="0"/>
    <xf numFmtId="0" fontId="35" fillId="27" borderId="59" applyNumberFormat="0" applyAlignment="0" applyProtection="0"/>
    <xf numFmtId="0" fontId="35" fillId="21" borderId="49" applyNumberFormat="0" applyAlignment="0" applyProtection="0"/>
    <xf numFmtId="0" fontId="35" fillId="27" borderId="191" applyNumberFormat="0" applyAlignment="0" applyProtection="0"/>
    <xf numFmtId="43" fontId="1" fillId="0" borderId="0" applyFont="0" applyFill="0" applyBorder="0" applyAlignment="0" applyProtection="0"/>
    <xf numFmtId="0" fontId="28" fillId="36" borderId="79" applyNumberFormat="0" applyAlignment="0" applyProtection="0"/>
    <xf numFmtId="0" fontId="29" fillId="37" borderId="79" applyNumberFormat="0" applyAlignment="0" applyProtection="0"/>
    <xf numFmtId="0" fontId="35" fillId="21" borderId="39" applyNumberFormat="0" applyAlignment="0" applyProtection="0"/>
    <xf numFmtId="0" fontId="35" fillId="27" borderId="39" applyNumberFormat="0" applyAlignment="0" applyProtection="0"/>
    <xf numFmtId="0" fontId="35" fillId="21" borderId="119" applyNumberFormat="0" applyAlignment="0" applyProtection="0"/>
    <xf numFmtId="0" fontId="8" fillId="24" borderId="95" applyNumberFormat="0" applyFont="0" applyAlignment="0" applyProtection="0"/>
    <xf numFmtId="43" fontId="1" fillId="0" borderId="0" applyFont="0" applyFill="0" applyBorder="0" applyAlignment="0" applyProtection="0"/>
    <xf numFmtId="0" fontId="28" fillId="36" borderId="69" applyNumberFormat="0" applyAlignment="0" applyProtection="0"/>
    <xf numFmtId="0" fontId="2" fillId="24" borderId="110" applyNumberFormat="0" applyFont="0" applyAlignment="0" applyProtection="0"/>
    <xf numFmtId="0" fontId="46" fillId="0" borderId="171" applyNumberFormat="0" applyFill="0" applyAlignment="0" applyProtection="0"/>
    <xf numFmtId="0" fontId="41" fillId="36" borderId="176" applyNumberFormat="0" applyAlignment="0" applyProtection="0"/>
    <xf numFmtId="0" fontId="28" fillId="36" borderId="59" applyNumberFormat="0" applyAlignment="0" applyProtection="0"/>
    <xf numFmtId="0" fontId="28" fillId="36" borderId="49" applyNumberFormat="0" applyAlignment="0" applyProtection="0"/>
    <xf numFmtId="0" fontId="28" fillId="36" borderId="59" applyNumberFormat="0" applyAlignment="0" applyProtection="0"/>
    <xf numFmtId="0" fontId="41" fillId="36" borderId="86" applyNumberFormat="0" applyAlignment="0" applyProtection="0"/>
    <xf numFmtId="0" fontId="41" fillId="36" borderId="164" applyNumberFormat="0" applyAlignment="0" applyProtection="0"/>
    <xf numFmtId="0" fontId="41" fillId="36" borderId="76" applyNumberFormat="0" applyAlignment="0" applyProtection="0"/>
    <xf numFmtId="0" fontId="8" fillId="24" borderId="110" applyNumberFormat="0" applyFont="0" applyAlignment="0" applyProtection="0"/>
    <xf numFmtId="0" fontId="8" fillId="24" borderId="65" applyNumberFormat="0" applyFont="0" applyAlignment="0" applyProtection="0"/>
    <xf numFmtId="0" fontId="28" fillId="36" borderId="39" applyNumberFormat="0" applyAlignment="0" applyProtection="0"/>
    <xf numFmtId="0" fontId="29" fillId="37" borderId="39" applyNumberFormat="0" applyAlignment="0" applyProtection="0"/>
    <xf numFmtId="0" fontId="41" fillId="36" borderId="66" applyNumberFormat="0" applyAlignment="0" applyProtection="0"/>
    <xf numFmtId="0" fontId="29" fillId="37" borderId="99" applyNumberFormat="0" applyAlignment="0" applyProtection="0"/>
    <xf numFmtId="0" fontId="35" fillId="21" borderId="79" applyNumberFormat="0" applyAlignment="0" applyProtection="0"/>
    <xf numFmtId="0" fontId="35" fillId="27" borderId="203" applyNumberFormat="0" applyAlignment="0" applyProtection="0"/>
    <xf numFmtId="0" fontId="46" fillId="0" borderId="87" applyNumberFormat="0" applyFill="0" applyAlignment="0" applyProtection="0"/>
    <xf numFmtId="0" fontId="46" fillId="0" borderId="88" applyNumberFormat="0" applyFill="0" applyAlignment="0" applyProtection="0"/>
    <xf numFmtId="0" fontId="46" fillId="0" borderId="77" applyNumberFormat="0" applyFill="0" applyAlignment="0" applyProtection="0"/>
    <xf numFmtId="0" fontId="29" fillId="37" borderId="162" applyNumberFormat="0" applyAlignment="0" applyProtection="0"/>
    <xf numFmtId="0" fontId="46" fillId="0" borderId="58" applyNumberFormat="0" applyFill="0" applyAlignment="0" applyProtection="0"/>
    <xf numFmtId="0" fontId="8" fillId="24" borderId="45" applyNumberFormat="0" applyFont="0" applyAlignment="0" applyProtection="0"/>
    <xf numFmtId="0" fontId="41" fillId="36" borderId="46" applyNumberFormat="0" applyAlignment="0" applyProtection="0"/>
    <xf numFmtId="0" fontId="41" fillId="37" borderId="152" applyNumberFormat="0" applyAlignment="0" applyProtection="0"/>
    <xf numFmtId="0" fontId="41" fillId="37" borderId="46" applyNumberFormat="0" applyAlignment="0" applyProtection="0"/>
    <xf numFmtId="0" fontId="41" fillId="36" borderId="46" applyNumberFormat="0" applyAlignment="0" applyProtection="0"/>
    <xf numFmtId="43" fontId="1" fillId="0" borderId="0" applyFont="0" applyFill="0" applyBorder="0" applyAlignment="0" applyProtection="0"/>
    <xf numFmtId="0" fontId="28" fillId="36" borderId="54" applyNumberFormat="0" applyAlignment="0" applyProtection="0"/>
    <xf numFmtId="0" fontId="46" fillId="0" borderId="113" applyNumberFormat="0" applyFill="0" applyAlignment="0" applyProtection="0"/>
    <xf numFmtId="0" fontId="41" fillId="36" borderId="71" applyNumberFormat="0" applyAlignment="0" applyProtection="0"/>
    <xf numFmtId="0" fontId="41" fillId="36" borderId="126" applyNumberFormat="0" applyAlignment="0" applyProtection="0"/>
    <xf numFmtId="0" fontId="8" fillId="24" borderId="163" applyNumberFormat="0" applyFont="0" applyAlignment="0" applyProtection="0"/>
    <xf numFmtId="43" fontId="1" fillId="0" borderId="0" applyFont="0" applyFill="0" applyBorder="0" applyAlignment="0" applyProtection="0"/>
    <xf numFmtId="0" fontId="28" fillId="36" borderId="99" applyNumberFormat="0" applyAlignment="0" applyProtection="0"/>
    <xf numFmtId="0" fontId="8" fillId="24" borderId="157" applyNumberFormat="0" applyFont="0" applyAlignment="0" applyProtection="0"/>
    <xf numFmtId="0" fontId="46" fillId="0" borderId="47" applyNumberFormat="0" applyFill="0" applyAlignment="0" applyProtection="0"/>
    <xf numFmtId="0" fontId="46" fillId="0" borderId="48" applyNumberFormat="0" applyFill="0" applyAlignment="0" applyProtection="0"/>
    <xf numFmtId="0" fontId="35" fillId="27" borderId="79" applyNumberFormat="0" applyAlignment="0" applyProtection="0"/>
    <xf numFmtId="0" fontId="41" fillId="36" borderId="6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93" applyNumberFormat="0" applyFill="0" applyAlignment="0" applyProtection="0"/>
    <xf numFmtId="0" fontId="8" fillId="24" borderId="35" applyNumberFormat="0" applyFont="0" applyAlignment="0" applyProtection="0"/>
    <xf numFmtId="0" fontId="8" fillId="24" borderId="35" applyNumberFormat="0" applyFont="0" applyAlignment="0" applyProtection="0"/>
    <xf numFmtId="0" fontId="2" fillId="24" borderId="35" applyNumberFormat="0" applyFont="0" applyAlignment="0" applyProtection="0"/>
    <xf numFmtId="0" fontId="41" fillId="36" borderId="36" applyNumberFormat="0" applyAlignment="0" applyProtection="0"/>
    <xf numFmtId="0" fontId="2" fillId="24" borderId="55" applyNumberFormat="0" applyFont="0" applyAlignment="0" applyProtection="0"/>
    <xf numFmtId="0" fontId="46" fillId="0" borderId="82" applyNumberFormat="0" applyFill="0" applyAlignment="0" applyProtection="0"/>
    <xf numFmtId="0" fontId="46" fillId="0" borderId="137" applyNumberFormat="0" applyFill="0" applyAlignment="0" applyProtection="0"/>
    <xf numFmtId="0" fontId="35" fillId="21" borderId="94" applyNumberFormat="0" applyAlignment="0" applyProtection="0"/>
    <xf numFmtId="0" fontId="41" fillId="37" borderId="36" applyNumberFormat="0" applyAlignment="0" applyProtection="0"/>
    <xf numFmtId="0" fontId="41" fillId="36" borderId="36" applyNumberFormat="0" applyAlignment="0" applyProtection="0"/>
    <xf numFmtId="43" fontId="1" fillId="0" borderId="0" applyFont="0" applyFill="0" applyBorder="0" applyAlignment="0" applyProtection="0"/>
    <xf numFmtId="0" fontId="2" fillId="24" borderId="50" applyNumberFormat="0" applyFont="0" applyAlignment="0" applyProtection="0"/>
    <xf numFmtId="0" fontId="46" fillId="0" borderId="63" applyNumberFormat="0" applyFill="0" applyAlignment="0" applyProtection="0"/>
    <xf numFmtId="0" fontId="29" fillId="37" borderId="94" applyNumberFormat="0" applyAlignment="0" applyProtection="0"/>
    <xf numFmtId="0" fontId="8" fillId="24" borderId="50" applyNumberFormat="0" applyFont="0" applyAlignment="0" applyProtection="0"/>
    <xf numFmtId="0" fontId="46" fillId="0" borderId="72" applyNumberFormat="0" applyFill="0" applyAlignment="0" applyProtection="0"/>
    <xf numFmtId="0" fontId="8" fillId="24" borderId="105" applyNumberFormat="0" applyFont="0" applyAlignment="0" applyProtection="0"/>
    <xf numFmtId="0" fontId="29" fillId="37" borderId="156" applyNumberFormat="0" applyAlignment="0" applyProtection="0"/>
    <xf numFmtId="0" fontId="28" fillId="36" borderId="74" applyNumberFormat="0" applyAlignment="0" applyProtection="0"/>
    <xf numFmtId="0" fontId="46" fillId="0" borderId="37" applyNumberFormat="0" applyFill="0" applyAlignment="0" applyProtection="0"/>
    <xf numFmtId="0" fontId="46" fillId="0" borderId="38" applyNumberFormat="0" applyFill="0" applyAlignment="0" applyProtection="0"/>
    <xf numFmtId="0" fontId="8" fillId="24" borderId="75" applyNumberFormat="0" applyFont="0" applyAlignment="0" applyProtection="0"/>
    <xf numFmtId="0" fontId="41" fillId="37" borderId="66" applyNumberFormat="0" applyAlignment="0" applyProtection="0"/>
    <xf numFmtId="0" fontId="8" fillId="24" borderId="55" applyNumberFormat="0" applyFont="0" applyAlignment="0" applyProtection="0"/>
    <xf numFmtId="0" fontId="35" fillId="27" borderId="44" applyNumberFormat="0" applyAlignment="0" applyProtection="0"/>
    <xf numFmtId="0" fontId="41" fillId="36" borderId="106" applyNumberFormat="0" applyAlignment="0" applyProtection="0"/>
    <xf numFmtId="0" fontId="41" fillId="37" borderId="56" applyNumberFormat="0" applyAlignment="0" applyProtection="0"/>
    <xf numFmtId="0" fontId="8" fillId="24" borderId="135" applyNumberFormat="0" applyFont="0" applyAlignment="0" applyProtection="0"/>
    <xf numFmtId="0" fontId="35" fillId="21" borderId="94" applyNumberFormat="0" applyAlignment="0" applyProtection="0"/>
    <xf numFmtId="0" fontId="29" fillId="37" borderId="64" applyNumberFormat="0" applyAlignment="0" applyProtection="0"/>
    <xf numFmtId="0" fontId="46" fillId="0" borderId="57" applyNumberFormat="0" applyFill="0" applyAlignment="0" applyProtection="0"/>
    <xf numFmtId="0" fontId="35" fillId="27" borderId="215" applyNumberFormat="0" applyAlignment="0" applyProtection="0"/>
    <xf numFmtId="0" fontId="41" fillId="36" borderId="61" applyNumberFormat="0" applyAlignment="0" applyProtection="0"/>
    <xf numFmtId="0" fontId="41" fillId="37" borderId="61" applyNumberFormat="0" applyAlignment="0" applyProtection="0"/>
    <xf numFmtId="0" fontId="28" fillId="36" borderId="119" applyNumberFormat="0" applyAlignment="0" applyProtection="0"/>
    <xf numFmtId="0" fontId="28" fillId="36" borderId="64" applyNumberFormat="0" applyAlignment="0" applyProtection="0"/>
    <xf numFmtId="0" fontId="35" fillId="21" borderId="69" applyNumberFormat="0" applyAlignment="0" applyProtection="0"/>
    <xf numFmtId="0" fontId="2" fillId="24" borderId="70" applyNumberFormat="0" applyFont="0" applyAlignment="0" applyProtection="0"/>
    <xf numFmtId="0" fontId="35" fillId="21" borderId="162" applyNumberFormat="0" applyAlignment="0" applyProtection="0"/>
    <xf numFmtId="0" fontId="35" fillId="21" borderId="44" applyNumberFormat="0" applyAlignment="0" applyProtection="0"/>
    <xf numFmtId="0" fontId="28" fillId="36" borderId="39" applyNumberFormat="0" applyAlignment="0" applyProtection="0"/>
    <xf numFmtId="0" fontId="41" fillId="36" borderId="106" applyNumberFormat="0" applyAlignment="0" applyProtection="0"/>
    <xf numFmtId="0" fontId="8" fillId="24" borderId="55" applyNumberFormat="0" applyFont="0" applyAlignment="0" applyProtection="0"/>
    <xf numFmtId="0" fontId="28" fillId="36" borderId="74" applyNumberFormat="0" applyAlignment="0" applyProtection="0"/>
    <xf numFmtId="0" fontId="35" fillId="21" borderId="54" applyNumberFormat="0" applyAlignment="0" applyProtection="0"/>
    <xf numFmtId="0" fontId="35" fillId="21" borderId="69" applyNumberFormat="0" applyAlignment="0" applyProtection="0"/>
    <xf numFmtId="0" fontId="41" fillId="36" borderId="96" applyNumberFormat="0" applyAlignment="0" applyProtection="0"/>
    <xf numFmtId="0" fontId="41" fillId="36" borderId="56" applyNumberFormat="0" applyAlignment="0" applyProtection="0"/>
    <xf numFmtId="166" fontId="1" fillId="0" borderId="0" applyFont="0" applyFill="0" applyBorder="0" applyAlignment="0" applyProtection="0"/>
    <xf numFmtId="0" fontId="46" fillId="0" borderId="103" applyNumberFormat="0" applyFill="0" applyAlignment="0" applyProtection="0"/>
    <xf numFmtId="0" fontId="46" fillId="0" borderId="128" applyNumberFormat="0" applyFill="0" applyAlignment="0" applyProtection="0"/>
    <xf numFmtId="0" fontId="29" fillId="37" borderId="119" applyNumberFormat="0" applyAlignment="0" applyProtection="0"/>
    <xf numFmtId="0" fontId="28" fillId="36" borderId="215" applyNumberFormat="0" applyAlignment="0" applyProtection="0"/>
    <xf numFmtId="0" fontId="35" fillId="21" borderId="49" applyNumberFormat="0" applyAlignment="0" applyProtection="0"/>
    <xf numFmtId="0" fontId="35" fillId="27" borderId="104" applyNumberFormat="0" applyAlignment="0" applyProtection="0"/>
    <xf numFmtId="0" fontId="41" fillId="37" borderId="81" applyNumberFormat="0" applyAlignment="0" applyProtection="0"/>
    <xf numFmtId="0" fontId="28" fillId="36" borderId="44" applyNumberFormat="0" applyAlignment="0" applyProtection="0"/>
    <xf numFmtId="0" fontId="41" fillId="36" borderId="81" applyNumberFormat="0" applyAlignment="0" applyProtection="0"/>
    <xf numFmtId="43" fontId="1" fillId="0" borderId="0" applyFont="0" applyFill="0" applyBorder="0" applyAlignment="0" applyProtection="0"/>
    <xf numFmtId="0" fontId="35" fillId="21" borderId="74" applyNumberFormat="0" applyAlignment="0" applyProtection="0"/>
    <xf numFmtId="0" fontId="29" fillId="37" borderId="69" applyNumberFormat="0" applyAlignment="0" applyProtection="0"/>
    <xf numFmtId="0" fontId="46" fillId="0" borderId="62" applyNumberFormat="0" applyFill="0" applyAlignment="0" applyProtection="0"/>
    <xf numFmtId="166" fontId="1" fillId="0" borderId="0" applyFont="0" applyFill="0" applyBorder="0" applyAlignment="0" applyProtection="0"/>
    <xf numFmtId="0" fontId="41" fillId="37" borderId="158" applyNumberFormat="0" applyAlignment="0" applyProtection="0"/>
    <xf numFmtId="0" fontId="28" fillId="36" borderId="144" applyNumberFormat="0" applyAlignment="0" applyProtection="0"/>
    <xf numFmtId="0" fontId="41" fillId="36" borderId="152" applyNumberFormat="0" applyAlignment="0" applyProtection="0"/>
    <xf numFmtId="0" fontId="8" fillId="24" borderId="100" applyNumberFormat="0" applyFont="0" applyAlignment="0" applyProtection="0"/>
    <xf numFmtId="0" fontId="8" fillId="24" borderId="140" applyNumberFormat="0" applyFont="0" applyAlignment="0" applyProtection="0"/>
    <xf numFmtId="0" fontId="28" fillId="36" borderId="89" applyNumberFormat="0" applyAlignment="0" applyProtection="0"/>
    <xf numFmtId="0" fontId="28" fillId="36" borderId="49" applyNumberFormat="0" applyAlignment="0" applyProtection="0"/>
    <xf numFmtId="0" fontId="35" fillId="27" borderId="69" applyNumberFormat="0" applyAlignment="0" applyProtection="0"/>
    <xf numFmtId="43" fontId="1" fillId="0" borderId="0" applyFont="0" applyFill="0" applyBorder="0" applyAlignment="0" applyProtection="0"/>
    <xf numFmtId="0" fontId="41" fillId="36" borderId="101" applyNumberFormat="0" applyAlignment="0" applyProtection="0"/>
    <xf numFmtId="0" fontId="2" fillId="24" borderId="80" applyNumberFormat="0" applyFont="0" applyAlignment="0" applyProtection="0"/>
    <xf numFmtId="0" fontId="46" fillId="0" borderId="166" applyNumberFormat="0" applyFill="0" applyAlignment="0" applyProtection="0"/>
    <xf numFmtId="0" fontId="28" fillId="36" borderId="134" applyNumberFormat="0" applyAlignment="0" applyProtection="0"/>
    <xf numFmtId="166" fontId="1" fillId="0" borderId="0" applyFont="0" applyFill="0" applyBorder="0" applyAlignment="0" applyProtection="0"/>
    <xf numFmtId="0" fontId="29" fillId="37" borderId="59" applyNumberFormat="0" applyAlignment="0" applyProtection="0"/>
    <xf numFmtId="0" fontId="2" fillId="24" borderId="75" applyNumberFormat="0" applyFont="0" applyAlignment="0" applyProtection="0"/>
    <xf numFmtId="0" fontId="8" fillId="24" borderId="192" applyNumberFormat="0" applyFont="0" applyAlignment="0" applyProtection="0"/>
    <xf numFmtId="0" fontId="35" fillId="27" borderId="74" applyNumberFormat="0" applyAlignment="0" applyProtection="0"/>
    <xf numFmtId="0" fontId="35" fillId="21" borderId="150" applyNumberFormat="0" applyAlignment="0" applyProtection="0"/>
    <xf numFmtId="0" fontId="46" fillId="0" borderId="98" applyNumberFormat="0" applyFill="0" applyAlignment="0" applyProtection="0"/>
    <xf numFmtId="0" fontId="8" fillId="24" borderId="90" applyNumberFormat="0" applyFont="0" applyAlignment="0" applyProtection="0"/>
    <xf numFmtId="0" fontId="35" fillId="21" borderId="54" applyNumberFormat="0" applyAlignment="0" applyProtection="0"/>
    <xf numFmtId="0" fontId="8" fillId="24" borderId="120" applyNumberFormat="0" applyFont="0" applyAlignment="0" applyProtection="0"/>
    <xf numFmtId="0" fontId="35" fillId="21" borderId="186" applyNumberFormat="0" applyAlignment="0" applyProtection="0"/>
    <xf numFmtId="0" fontId="29" fillId="37" borderId="109" applyNumberFormat="0" applyAlignment="0" applyProtection="0"/>
    <xf numFmtId="0" fontId="46" fillId="0" borderId="102" applyNumberFormat="0" applyFill="0" applyAlignment="0" applyProtection="0"/>
    <xf numFmtId="166" fontId="1" fillId="0" borderId="0" applyFont="0" applyFill="0" applyBorder="0" applyAlignment="0" applyProtection="0"/>
    <xf numFmtId="0" fontId="35" fillId="27" borderId="89" applyNumberFormat="0" applyAlignment="0" applyProtection="0"/>
    <xf numFmtId="0" fontId="46" fillId="0" borderId="97" applyNumberFormat="0" applyFill="0" applyAlignment="0" applyProtection="0"/>
    <xf numFmtId="0" fontId="8" fillId="24" borderId="100" applyNumberFormat="0" applyFont="0" applyAlignment="0" applyProtection="0"/>
    <xf numFmtId="0" fontId="28" fillId="36" borderId="109" applyNumberFormat="0" applyAlignment="0" applyProtection="0"/>
    <xf numFmtId="0" fontId="35" fillId="27" borderId="197" applyNumberFormat="0" applyAlignment="0" applyProtection="0"/>
    <xf numFmtId="0" fontId="8" fillId="24" borderId="198" applyNumberFormat="0" applyFont="0" applyAlignment="0" applyProtection="0"/>
    <xf numFmtId="0" fontId="46" fillId="0" borderId="159" applyNumberFormat="0" applyFill="0" applyAlignment="0" applyProtection="0"/>
    <xf numFmtId="0" fontId="46" fillId="0" borderId="153" applyNumberFormat="0" applyFill="0" applyAlignment="0" applyProtection="0"/>
    <xf numFmtId="43" fontId="1" fillId="0" borderId="0" applyFont="0" applyFill="0" applyBorder="0" applyAlignment="0" applyProtection="0"/>
    <xf numFmtId="0" fontId="41" fillId="36" borderId="91" applyNumberFormat="0" applyAlignment="0" applyProtection="0"/>
    <xf numFmtId="0" fontId="46" fillId="0" borderId="92" applyNumberFormat="0" applyFill="0" applyAlignment="0" applyProtection="0"/>
    <xf numFmtId="0" fontId="2" fillId="24" borderId="216" applyNumberFormat="0" applyFont="0" applyAlignment="0" applyProtection="0"/>
    <xf numFmtId="0" fontId="2" fillId="24" borderId="181" applyNumberFormat="0" applyFont="0" applyAlignment="0" applyProtection="0"/>
    <xf numFmtId="0" fontId="35" fillId="21" borderId="59" applyNumberFormat="0" applyAlignment="0" applyProtection="0"/>
    <xf numFmtId="0" fontId="8" fillId="24" borderId="163" applyNumberFormat="0" applyFont="0" applyAlignment="0" applyProtection="0"/>
    <xf numFmtId="0" fontId="28" fillId="36" borderId="89" applyNumberFormat="0" applyAlignment="0" applyProtection="0"/>
    <xf numFmtId="0" fontId="41" fillId="37" borderId="76" applyNumberFormat="0" applyAlignment="0" applyProtection="0"/>
    <xf numFmtId="0" fontId="35" fillId="21" borderId="84" applyNumberFormat="0" applyAlignment="0" applyProtection="0"/>
    <xf numFmtId="0" fontId="35" fillId="21" borderId="64" applyNumberFormat="0" applyAlignment="0" applyProtection="0"/>
    <xf numFmtId="0" fontId="29" fillId="37" borderId="144"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0" fontId="28" fillId="36" borderId="104" applyNumberFormat="0" applyAlignment="0" applyProtection="0"/>
    <xf numFmtId="0" fontId="2" fillId="24" borderId="115" applyNumberFormat="0" applyFont="0" applyAlignment="0" applyProtection="0"/>
    <xf numFmtId="0" fontId="28" fillId="36" borderId="124" applyNumberFormat="0" applyAlignment="0" applyProtection="0"/>
    <xf numFmtId="0" fontId="41" fillId="36" borderId="211" applyNumberFormat="0" applyAlignment="0" applyProtection="0"/>
    <xf numFmtId="43" fontId="1" fillId="0" borderId="0" applyFont="0" applyFill="0" applyBorder="0" applyAlignment="0" applyProtection="0"/>
    <xf numFmtId="0" fontId="35" fillId="21" borderId="180" applyNumberFormat="0" applyAlignment="0" applyProtection="0"/>
    <xf numFmtId="0" fontId="46" fillId="0" borderId="127" applyNumberFormat="0" applyFill="0" applyAlignment="0" applyProtection="0"/>
    <xf numFmtId="43" fontId="1" fillId="0" borderId="0" applyFont="0" applyFill="0" applyBorder="0" applyAlignment="0" applyProtection="0"/>
    <xf numFmtId="0" fontId="35" fillId="21" borderId="64" applyNumberFormat="0" applyAlignment="0" applyProtection="0"/>
    <xf numFmtId="0" fontId="8" fillId="24" borderId="80" applyNumberFormat="0" applyFont="0" applyAlignment="0" applyProtection="0"/>
    <xf numFmtId="0" fontId="28" fillId="36" borderId="84" applyNumberFormat="0" applyAlignment="0" applyProtection="0"/>
    <xf numFmtId="0" fontId="41" fillId="37" borderId="188" applyNumberFormat="0" applyAlignment="0" applyProtection="0"/>
    <xf numFmtId="0" fontId="35" fillId="27" borderId="99" applyNumberFormat="0" applyAlignment="0" applyProtection="0"/>
    <xf numFmtId="166" fontId="1" fillId="0" borderId="0" applyFont="0" applyFill="0" applyBorder="0" applyAlignment="0" applyProtection="0"/>
    <xf numFmtId="0" fontId="46" fillId="0" borderId="78" applyNumberFormat="0" applyFill="0" applyAlignment="0" applyProtection="0"/>
    <xf numFmtId="0" fontId="35" fillId="27" borderId="84" applyNumberFormat="0" applyAlignment="0" applyProtection="0"/>
    <xf numFmtId="0" fontId="46" fillId="0" borderId="147" applyNumberFormat="0" applyFill="0" applyAlignment="0" applyProtection="0"/>
    <xf numFmtId="0" fontId="46" fillId="0" borderId="190" applyNumberFormat="0" applyFill="0" applyAlignment="0" applyProtection="0"/>
    <xf numFmtId="0" fontId="41" fillId="36" borderId="91" applyNumberFormat="0" applyAlignment="0" applyProtection="0"/>
    <xf numFmtId="0" fontId="41" fillId="36" borderId="116" applyNumberFormat="0" applyAlignment="0" applyProtection="0"/>
    <xf numFmtId="0" fontId="28" fillId="36" borderId="69" applyNumberFormat="0" applyAlignment="0" applyProtection="0"/>
    <xf numFmtId="43" fontId="1" fillId="0" borderId="0" applyFont="0" applyFill="0" applyBorder="0" applyAlignment="0" applyProtection="0"/>
    <xf numFmtId="0" fontId="41" fillId="37" borderId="86" applyNumberFormat="0" applyAlignment="0" applyProtection="0"/>
    <xf numFmtId="0" fontId="35" fillId="27" borderId="221" applyNumberFormat="0" applyAlignment="0" applyProtection="0"/>
    <xf numFmtId="0" fontId="35" fillId="27" borderId="94" applyNumberFormat="0" applyAlignment="0" applyProtection="0"/>
    <xf numFmtId="0" fontId="8" fillId="24" borderId="75" applyNumberFormat="0" applyFont="0" applyAlignment="0" applyProtection="0"/>
    <xf numFmtId="0" fontId="41" fillId="36" borderId="86"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2" fillId="24" borderId="222" applyNumberFormat="0" applyFont="0" applyAlignment="0" applyProtection="0"/>
    <xf numFmtId="0" fontId="2" fillId="24" borderId="85" applyNumberFormat="0" applyFont="0" applyAlignment="0" applyProtection="0"/>
    <xf numFmtId="0" fontId="35" fillId="27" borderId="119" applyNumberFormat="0" applyAlignment="0" applyProtection="0"/>
    <xf numFmtId="0" fontId="8" fillId="24" borderId="125" applyNumberFormat="0" applyFont="0" applyAlignment="0" applyProtection="0"/>
    <xf numFmtId="0" fontId="35" fillId="21" borderId="74" applyNumberFormat="0" applyAlignment="0" applyProtection="0"/>
    <xf numFmtId="0" fontId="8" fillId="24" borderId="120" applyNumberFormat="0" applyFont="0" applyAlignment="0" applyProtection="0"/>
    <xf numFmtId="0" fontId="2" fillId="24" borderId="130" applyNumberFormat="0" applyFont="0" applyAlignment="0" applyProtection="0"/>
    <xf numFmtId="0" fontId="46" fillId="0" borderId="206" applyNumberFormat="0" applyFill="0" applyAlignment="0" applyProtection="0"/>
    <xf numFmtId="0" fontId="35" fillId="21" borderId="89" applyNumberFormat="0" applyAlignment="0" applyProtection="0"/>
    <xf numFmtId="0" fontId="41" fillId="36" borderId="146" applyNumberFormat="0" applyAlignment="0" applyProtection="0"/>
    <xf numFmtId="0" fontId="8" fillId="24" borderId="105" applyNumberFormat="0" applyFont="0" applyAlignment="0" applyProtection="0"/>
    <xf numFmtId="0" fontId="41" fillId="37" borderId="217" applyNumberFormat="0" applyAlignment="0" applyProtection="0"/>
    <xf numFmtId="166" fontId="1" fillId="0" borderId="0" applyFont="0" applyFill="0" applyBorder="0" applyAlignment="0" applyProtection="0"/>
    <xf numFmtId="0" fontId="46" fillId="0" borderId="133" applyNumberFormat="0" applyFill="0" applyAlignment="0" applyProtection="0"/>
    <xf numFmtId="0" fontId="46" fillId="0" borderId="143" applyNumberFormat="0" applyFill="0" applyAlignment="0" applyProtection="0"/>
    <xf numFmtId="0" fontId="46" fillId="0" borderId="107" applyNumberFormat="0" applyFill="0" applyAlignment="0" applyProtection="0"/>
    <xf numFmtId="0" fontId="28" fillId="36" borderId="139" applyNumberFormat="0" applyAlignment="0" applyProtection="0"/>
    <xf numFmtId="0" fontId="46" fillId="0" borderId="142" applyNumberFormat="0" applyFill="0" applyAlignment="0" applyProtection="0"/>
    <xf numFmtId="0" fontId="35" fillId="21" borderId="84" applyNumberFormat="0" applyAlignment="0" applyProtection="0"/>
    <xf numFmtId="0" fontId="41" fillId="36" borderId="96" applyNumberFormat="0" applyAlignment="0" applyProtection="0"/>
    <xf numFmtId="0" fontId="28" fillId="36" borderId="79" applyNumberFormat="0" applyAlignment="0" applyProtection="0"/>
    <xf numFmtId="0" fontId="8" fillId="24" borderId="125" applyNumberFormat="0" applyFont="0" applyAlignment="0" applyProtection="0"/>
    <xf numFmtId="0" fontId="46" fillId="0" borderId="123" applyNumberFormat="0" applyFill="0" applyAlignment="0" applyProtection="0"/>
    <xf numFmtId="0" fontId="8" fillId="24" borderId="169" applyNumberFormat="0" applyFont="0" applyAlignment="0" applyProtection="0"/>
    <xf numFmtId="0" fontId="35" fillId="21" borderId="129" applyNumberFormat="0" applyAlignment="0" applyProtection="0"/>
    <xf numFmtId="0" fontId="41" fillId="36" borderId="217" applyNumberFormat="0" applyAlignment="0" applyProtection="0"/>
    <xf numFmtId="166" fontId="1" fillId="0" borderId="0" applyFont="0" applyFill="0" applyBorder="0" applyAlignment="0" applyProtection="0"/>
    <xf numFmtId="0" fontId="2" fillId="24" borderId="145" applyNumberFormat="0" applyFont="0" applyAlignment="0" applyProtection="0"/>
    <xf numFmtId="0" fontId="41" fillId="37" borderId="106" applyNumberFormat="0" applyAlignment="0" applyProtection="0"/>
    <xf numFmtId="0" fontId="35" fillId="21" borderId="109" applyNumberFormat="0" applyAlignment="0" applyProtection="0"/>
    <xf numFmtId="0" fontId="46" fillId="0" borderId="112" applyNumberFormat="0" applyFill="0" applyAlignment="0" applyProtection="0"/>
    <xf numFmtId="0" fontId="8" fillId="24" borderId="130" applyNumberFormat="0" applyFont="0" applyAlignment="0" applyProtection="0"/>
    <xf numFmtId="0" fontId="28" fillId="36" borderId="84" applyNumberFormat="0" applyAlignment="0" applyProtection="0"/>
    <xf numFmtId="0" fontId="28" fillId="36" borderId="114" applyNumberFormat="0" applyAlignment="0" applyProtection="0"/>
    <xf numFmtId="0" fontId="41" fillId="37" borderId="101" applyNumberFormat="0" applyAlignment="0" applyProtection="0"/>
    <xf numFmtId="0" fontId="28" fillId="36" borderId="129" applyNumberFormat="0" applyAlignment="0" applyProtection="0"/>
    <xf numFmtId="0" fontId="29" fillId="37" borderId="139" applyNumberFormat="0" applyAlignment="0" applyProtection="0"/>
    <xf numFmtId="0" fontId="8" fillId="24" borderId="90" applyNumberFormat="0" applyFont="0" applyAlignment="0" applyProtection="0"/>
    <xf numFmtId="43" fontId="1" fillId="0" borderId="0" applyFont="0" applyFill="0" applyBorder="0" applyAlignment="0" applyProtection="0"/>
    <xf numFmtId="0" fontId="41" fillId="36" borderId="101" applyNumberFormat="0" applyAlignment="0" applyProtection="0"/>
    <xf numFmtId="166" fontId="1" fillId="0" borderId="0" applyFont="0" applyFill="0" applyBorder="0" applyAlignment="0" applyProtection="0"/>
    <xf numFmtId="0" fontId="41" fillId="36" borderId="111" applyNumberFormat="0" applyAlignment="0" applyProtection="0"/>
    <xf numFmtId="43" fontId="1" fillId="0" borderId="0" applyFont="0" applyFill="0" applyBorder="0" applyAlignment="0" applyProtection="0"/>
    <xf numFmtId="0" fontId="29" fillId="37" borderId="104" applyNumberFormat="0" applyAlignment="0" applyProtection="0"/>
    <xf numFmtId="0" fontId="2" fillId="24" borderId="100" applyNumberFormat="0" applyFont="0" applyAlignment="0" applyProtection="0"/>
    <xf numFmtId="0" fontId="35" fillId="21" borderId="134" applyNumberFormat="0" applyAlignment="0" applyProtection="0"/>
    <xf numFmtId="0" fontId="35" fillId="21" borderId="89" applyNumberFormat="0" applyAlignment="0" applyProtection="0"/>
    <xf numFmtId="0" fontId="35" fillId="21" borderId="191" applyNumberFormat="0" applyAlignment="0" applyProtection="0"/>
    <xf numFmtId="0" fontId="2" fillId="24" borderId="187" applyNumberFormat="0" applyFont="0" applyAlignment="0" applyProtection="0"/>
    <xf numFmtId="0" fontId="29" fillId="37" borderId="114" applyNumberFormat="0" applyAlignment="0" applyProtection="0"/>
    <xf numFmtId="0" fontId="41" fillId="36" borderId="164" applyNumberFormat="0" applyAlignment="0" applyProtection="0"/>
    <xf numFmtId="0" fontId="35" fillId="21" borderId="114" applyNumberFormat="0" applyAlignment="0" applyProtection="0"/>
    <xf numFmtId="0" fontId="46" fillId="0" borderId="117" applyNumberFormat="0" applyFill="0" applyAlignment="0" applyProtection="0"/>
    <xf numFmtId="0" fontId="35" fillId="21" borderId="119" applyNumberFormat="0" applyAlignment="0" applyProtection="0"/>
    <xf numFmtId="0" fontId="35" fillId="27" borderId="150" applyNumberFormat="0" applyAlignment="0" applyProtection="0"/>
    <xf numFmtId="166" fontId="1" fillId="0" borderId="0" applyFont="0" applyFill="0" applyBorder="0" applyAlignment="0" applyProtection="0"/>
    <xf numFmtId="0" fontId="41" fillId="36" borderId="158" applyNumberFormat="0" applyAlignment="0" applyProtection="0"/>
    <xf numFmtId="0" fontId="35" fillId="27" borderId="109" applyNumberFormat="0" applyAlignment="0" applyProtection="0"/>
    <xf numFmtId="0" fontId="46" fillId="0" borderId="122" applyNumberFormat="0" applyFill="0" applyAlignment="0" applyProtection="0"/>
    <xf numFmtId="0" fontId="46" fillId="0" borderId="132" applyNumberFormat="0" applyFill="0" applyAlignment="0" applyProtection="0"/>
    <xf numFmtId="0" fontId="8" fillId="24" borderId="115" applyNumberFormat="0" applyFont="0" applyAlignment="0" applyProtection="0"/>
    <xf numFmtId="0" fontId="2" fillId="24" borderId="210" applyNumberFormat="0" applyFont="0" applyAlignment="0" applyProtection="0"/>
    <xf numFmtId="0" fontId="35" fillId="21" borderId="99" applyNumberFormat="0" applyAlignment="0" applyProtection="0"/>
    <xf numFmtId="0" fontId="8" fillId="24" borderId="110" applyNumberFormat="0" applyFont="0" applyAlignment="0" applyProtection="0"/>
    <xf numFmtId="0" fontId="28" fillId="36" borderId="94" applyNumberFormat="0" applyAlignment="0" applyProtection="0"/>
    <xf numFmtId="0" fontId="46" fillId="0" borderId="218" applyNumberFormat="0" applyFill="0" applyAlignment="0" applyProtection="0"/>
    <xf numFmtId="0" fontId="41" fillId="36" borderId="121" applyNumberFormat="0" applyAlignment="0" applyProtection="0"/>
    <xf numFmtId="0" fontId="41" fillId="36" borderId="158" applyNumberFormat="0" applyAlignment="0" applyProtection="0"/>
    <xf numFmtId="166" fontId="1" fillId="0" borderId="0" applyFont="0" applyFill="0" applyBorder="0" applyAlignment="0" applyProtection="0"/>
    <xf numFmtId="0" fontId="46" fillId="0" borderId="118" applyNumberFormat="0" applyFill="0" applyAlignment="0" applyProtection="0"/>
    <xf numFmtId="0" fontId="35" fillId="27" borderId="124" applyNumberFormat="0" applyAlignment="0" applyProtection="0"/>
    <xf numFmtId="43" fontId="1" fillId="0" borderId="0" applyFont="0" applyFill="0" applyBorder="0" applyAlignment="0" applyProtection="0"/>
    <xf numFmtId="0" fontId="8" fillId="24" borderId="140" applyNumberFormat="0" applyFont="0" applyAlignment="0" applyProtection="0"/>
    <xf numFmtId="0" fontId="35" fillId="21" borderId="104" applyNumberFormat="0" applyAlignment="0" applyProtection="0"/>
    <xf numFmtId="0" fontId="8" fillId="24" borderId="145" applyNumberFormat="0" applyFont="0" applyAlignment="0" applyProtection="0"/>
    <xf numFmtId="0" fontId="28" fillId="36" borderId="99" applyNumberFormat="0" applyAlignment="0" applyProtection="0"/>
    <xf numFmtId="0" fontId="46" fillId="0" borderId="194" applyNumberFormat="0" applyFill="0" applyAlignment="0" applyProtection="0"/>
    <xf numFmtId="0" fontId="41" fillId="37" borderId="116" applyNumberFormat="0" applyAlignment="0" applyProtection="0"/>
    <xf numFmtId="0" fontId="35" fillId="21" borderId="124" applyNumberFormat="0" applyAlignment="0" applyProtection="0"/>
    <xf numFmtId="0" fontId="41" fillId="36" borderId="223"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0" fontId="28" fillId="36" borderId="156" applyNumberFormat="0" applyAlignment="0" applyProtection="0"/>
    <xf numFmtId="0" fontId="35" fillId="21" borderId="109" applyNumberFormat="0" applyAlignment="0" applyProtection="0"/>
    <xf numFmtId="0" fontId="41" fillId="36" borderId="121" applyNumberFormat="0" applyAlignment="0" applyProtection="0"/>
    <xf numFmtId="0" fontId="8" fillId="24" borderId="181" applyNumberFormat="0" applyFont="0" applyAlignment="0" applyProtection="0"/>
    <xf numFmtId="0" fontId="28" fillId="36" borderId="104" applyNumberFormat="0" applyAlignment="0" applyProtection="0"/>
    <xf numFmtId="0" fontId="46" fillId="0" borderId="184" applyNumberFormat="0" applyFill="0" applyAlignment="0" applyProtection="0"/>
    <xf numFmtId="0" fontId="35" fillId="21" borderId="144" applyNumberFormat="0" applyAlignment="0" applyProtection="0"/>
    <xf numFmtId="0" fontId="46" fillId="0" borderId="177" applyNumberFormat="0" applyFill="0" applyAlignment="0" applyProtection="0"/>
    <xf numFmtId="0" fontId="8" fillId="24" borderId="210" applyNumberFormat="0" applyFont="0" applyAlignment="0" applyProtection="0"/>
    <xf numFmtId="0" fontId="28" fillId="36" borderId="162" applyNumberFormat="0" applyAlignment="0" applyProtection="0"/>
    <xf numFmtId="166" fontId="1" fillId="0" borderId="0" applyFont="0" applyFill="0" applyBorder="0" applyAlignment="0" applyProtection="0"/>
    <xf numFmtId="0" fontId="29" fillId="37" borderId="150" applyNumberFormat="0" applyAlignment="0" applyProtection="0"/>
    <xf numFmtId="0" fontId="41" fillId="37" borderId="131" applyNumberFormat="0" applyAlignment="0" applyProtection="0"/>
    <xf numFmtId="43" fontId="1" fillId="0" borderId="0" applyFont="0" applyFill="0" applyBorder="0" applyAlignment="0" applyProtection="0"/>
    <xf numFmtId="0" fontId="41" fillId="36" borderId="205" applyNumberFormat="0" applyAlignment="0" applyProtection="0"/>
    <xf numFmtId="0" fontId="28" fillId="36" borderId="109" applyNumberFormat="0" applyAlignment="0" applyProtection="0"/>
    <xf numFmtId="0" fontId="28" fillId="36" borderId="174" applyNumberFormat="0" applyAlignment="0" applyProtection="0"/>
    <xf numFmtId="0" fontId="41" fillId="37" borderId="126" applyNumberFormat="0" applyAlignment="0" applyProtection="0"/>
    <xf numFmtId="0" fontId="8" fillId="24" borderId="115" applyNumberFormat="0" applyFont="0" applyAlignment="0" applyProtection="0"/>
    <xf numFmtId="43" fontId="1" fillId="0" borderId="0" applyFont="0" applyFill="0" applyBorder="0" applyAlignment="0" applyProtection="0"/>
    <xf numFmtId="0" fontId="41" fillId="36" borderId="126" applyNumberFormat="0" applyAlignment="0" applyProtection="0"/>
    <xf numFmtId="166" fontId="1" fillId="0" borderId="0" applyFont="0" applyFill="0" applyBorder="0" applyAlignment="0" applyProtection="0"/>
    <xf numFmtId="0" fontId="41" fillId="36" borderId="188" applyNumberFormat="0" applyAlignment="0" applyProtection="0"/>
    <xf numFmtId="43" fontId="1" fillId="0" borderId="0" applyFont="0" applyFill="0" applyBorder="0" applyAlignment="0" applyProtection="0"/>
    <xf numFmtId="0" fontId="29" fillId="37" borderId="129" applyNumberFormat="0" applyAlignment="0" applyProtection="0"/>
    <xf numFmtId="0" fontId="2" fillId="24" borderId="125" applyNumberFormat="0" applyFont="0" applyAlignment="0" applyProtection="0"/>
    <xf numFmtId="0" fontId="35" fillId="21" borderId="134" applyNumberFormat="0" applyAlignment="0" applyProtection="0"/>
    <xf numFmtId="0" fontId="35" fillId="21" borderId="114" applyNumberFormat="0" applyAlignment="0" applyProtection="0"/>
    <xf numFmtId="0" fontId="46" fillId="0" borderId="178" applyNumberFormat="0" applyFill="0" applyAlignment="0" applyProtection="0"/>
    <xf numFmtId="0" fontId="28" fillId="36" borderId="134" applyNumberFormat="0" applyAlignment="0" applyProtection="0"/>
    <xf numFmtId="43" fontId="1" fillId="0" borderId="0" applyFont="0" applyFill="0" applyBorder="0" applyAlignment="0" applyProtection="0"/>
    <xf numFmtId="0" fontId="35" fillId="21" borderId="144" applyNumberFormat="0" applyAlignment="0" applyProtection="0"/>
    <xf numFmtId="0" fontId="2" fillId="24" borderId="192" applyNumberFormat="0" applyFont="0" applyAlignment="0" applyProtection="0"/>
    <xf numFmtId="166" fontId="1" fillId="0" borderId="0" applyFont="0" applyFill="0" applyBorder="0" applyAlignment="0" applyProtection="0"/>
    <xf numFmtId="0" fontId="29" fillId="37" borderId="180" applyNumberFormat="0" applyAlignment="0" applyProtection="0"/>
    <xf numFmtId="0" fontId="29" fillId="37" borderId="186" applyNumberFormat="0" applyAlignment="0" applyProtection="0"/>
    <xf numFmtId="0" fontId="28" fillId="36" borderId="197" applyNumberFormat="0" applyAlignment="0" applyProtection="0"/>
    <xf numFmtId="0" fontId="41" fillId="36" borderId="152" applyNumberFormat="0" applyAlignment="0" applyProtection="0"/>
    <xf numFmtId="0" fontId="41" fillId="36" borderId="193" applyNumberFormat="0" applyAlignment="0" applyProtection="0"/>
    <xf numFmtId="0" fontId="41" fillId="37" borderId="141" applyNumberFormat="0" applyAlignment="0" applyProtection="0"/>
    <xf numFmtId="0" fontId="2" fillId="24" borderId="140" applyNumberFormat="0" applyFont="0" applyAlignment="0" applyProtection="0"/>
    <xf numFmtId="0" fontId="35" fillId="21" borderId="124" applyNumberFormat="0" applyAlignment="0" applyProtection="0"/>
    <xf numFmtId="0" fontId="29" fillId="37" borderId="168" applyNumberFormat="0" applyAlignment="0" applyProtection="0"/>
    <xf numFmtId="0" fontId="41" fillId="37" borderId="205" applyNumberFormat="0" applyAlignment="0" applyProtection="0"/>
    <xf numFmtId="0" fontId="28" fillId="36" borderId="119" applyNumberFormat="0" applyAlignment="0" applyProtection="0"/>
    <xf numFmtId="0" fontId="28" fillId="36" borderId="144" applyNumberFormat="0" applyAlignment="0" applyProtection="0"/>
    <xf numFmtId="0" fontId="41" fillId="37" borderId="136" applyNumberFormat="0" applyAlignment="0" applyProtection="0"/>
    <xf numFmtId="0" fontId="35" fillId="27" borderId="156" applyNumberFormat="0" applyAlignment="0" applyProtection="0"/>
    <xf numFmtId="166" fontId="1" fillId="0" borderId="0" applyFont="0" applyFill="0" applyBorder="0" applyAlignment="0" applyProtection="0"/>
    <xf numFmtId="0" fontId="35" fillId="27" borderId="186" applyNumberFormat="0" applyAlignment="0" applyProtection="0"/>
    <xf numFmtId="0" fontId="2" fillId="24" borderId="169" applyNumberFormat="0" applyFont="0" applyAlignment="0" applyProtection="0"/>
    <xf numFmtId="0" fontId="28" fillId="36" borderId="150" applyNumberFormat="0" applyAlignment="0" applyProtection="0"/>
    <xf numFmtId="0" fontId="41" fillId="37" borderId="170" applyNumberFormat="0" applyAlignment="0" applyProtection="0"/>
    <xf numFmtId="0" fontId="35" fillId="21" borderId="129" applyNumberFormat="0" applyAlignment="0" applyProtection="0"/>
    <xf numFmtId="0" fontId="28" fillId="36" borderId="124" applyNumberFormat="0" applyAlignment="0" applyProtection="0"/>
    <xf numFmtId="0" fontId="35" fillId="21" borderId="203" applyNumberFormat="0" applyAlignment="0" applyProtection="0"/>
    <xf numFmtId="0" fontId="35" fillId="21" borderId="139" applyNumberFormat="0" applyAlignment="0" applyProtection="0"/>
    <xf numFmtId="0" fontId="46" fillId="0" borderId="212" applyNumberFormat="0" applyFill="0" applyAlignment="0" applyProtection="0"/>
    <xf numFmtId="0" fontId="35" fillId="27" borderId="174" applyNumberFormat="0" applyAlignment="0" applyProtection="0"/>
    <xf numFmtId="166" fontId="1" fillId="0" borderId="0" applyFont="0" applyFill="0" applyBorder="0" applyAlignment="0" applyProtection="0"/>
    <xf numFmtId="0" fontId="35" fillId="21" borderId="197" applyNumberFormat="0" applyAlignment="0" applyProtection="0"/>
    <xf numFmtId="0" fontId="35" fillId="21" borderId="221" applyNumberFormat="0" applyAlignment="0" applyProtection="0"/>
    <xf numFmtId="0" fontId="28" fillId="36" borderId="191" applyNumberFormat="0" applyAlignment="0" applyProtection="0"/>
    <xf numFmtId="0" fontId="35" fillId="27" borderId="139" applyNumberFormat="0" applyAlignment="0" applyProtection="0"/>
    <xf numFmtId="0" fontId="28" fillId="36" borderId="129" applyNumberFormat="0" applyAlignment="0" applyProtection="0"/>
    <xf numFmtId="0" fontId="35" fillId="21" borderId="174" applyNumberFormat="0" applyAlignment="0" applyProtection="0"/>
    <xf numFmtId="0" fontId="41" fillId="36" borderId="199" applyNumberFormat="0" applyAlignment="0" applyProtection="0"/>
    <xf numFmtId="0" fontId="41" fillId="37" borderId="176" applyNumberFormat="0" applyAlignment="0" applyProtection="0"/>
    <xf numFmtId="0" fontId="35" fillId="27" borderId="209" applyNumberFormat="0" applyAlignment="0" applyProtection="0"/>
    <xf numFmtId="166" fontId="1" fillId="0" borderId="0" applyFont="0" applyFill="0" applyBorder="0" applyAlignment="0" applyProtection="0"/>
    <xf numFmtId="0" fontId="46" fillId="0" borderId="148" applyNumberFormat="0" applyFill="0" applyAlignment="0" applyProtection="0"/>
    <xf numFmtId="0" fontId="8" fillId="24" borderId="204" applyNumberFormat="0" applyFont="0" applyAlignment="0" applyProtection="0"/>
    <xf numFmtId="0" fontId="41" fillId="37" borderId="199" applyNumberFormat="0" applyAlignment="0" applyProtection="0"/>
    <xf numFmtId="0" fontId="46" fillId="0" borderId="154" applyNumberFormat="0" applyFill="0" applyAlignment="0" applyProtection="0"/>
    <xf numFmtId="0" fontId="35" fillId="27" borderId="134" applyNumberFormat="0" applyAlignment="0" applyProtection="0"/>
    <xf numFmtId="0" fontId="46" fillId="0" borderId="201" applyNumberFormat="0" applyFill="0" applyAlignment="0" applyProtection="0"/>
    <xf numFmtId="0" fontId="41" fillId="36" borderId="141" applyNumberFormat="0" applyAlignment="0" applyProtection="0"/>
    <xf numFmtId="0" fontId="2" fillId="24" borderId="204" applyNumberFormat="0" applyFont="0" applyAlignment="0" applyProtection="0"/>
    <xf numFmtId="166" fontId="1" fillId="0" borderId="0" applyFont="0" applyFill="0" applyBorder="0" applyAlignment="0" applyProtection="0"/>
    <xf numFmtId="0" fontId="28" fillId="36" borderId="221" applyNumberFormat="0" applyAlignment="0" applyProtection="0"/>
    <xf numFmtId="43" fontId="1" fillId="0" borderId="0" applyFont="0" applyFill="0" applyBorder="0" applyAlignment="0" applyProtection="0"/>
    <xf numFmtId="0" fontId="35" fillId="27" borderId="180" applyNumberFormat="0" applyAlignment="0" applyProtection="0"/>
    <xf numFmtId="0" fontId="41" fillId="37" borderId="146" applyNumberFormat="0" applyAlignment="0" applyProtection="0"/>
    <xf numFmtId="0" fontId="41" fillId="36" borderId="146" applyNumberFormat="0" applyAlignment="0" applyProtection="0"/>
    <xf numFmtId="0" fontId="2" fillId="24" borderId="163" applyNumberFormat="0" applyFont="0" applyAlignment="0" applyProtection="0"/>
    <xf numFmtId="43" fontId="1" fillId="0" borderId="0" applyFont="0" applyFill="0" applyBorder="0" applyAlignment="0" applyProtection="0"/>
    <xf numFmtId="0" fontId="28" fillId="36" borderId="203" applyNumberFormat="0" applyAlignment="0" applyProtection="0"/>
    <xf numFmtId="0" fontId="41" fillId="36" borderId="182" applyNumberFormat="0" applyAlignment="0" applyProtection="0"/>
    <xf numFmtId="0" fontId="28" fillId="36" borderId="139" applyNumberFormat="0" applyAlignment="0" applyProtection="0"/>
    <xf numFmtId="0" fontId="46" fillId="0" borderId="183" applyNumberFormat="0" applyFill="0" applyAlignment="0" applyProtection="0"/>
    <xf numFmtId="0" fontId="46" fillId="0" borderId="200" applyNumberFormat="0" applyFill="0" applyAlignment="0" applyProtection="0"/>
    <xf numFmtId="0" fontId="28" fillId="36" borderId="168" applyNumberFormat="0" applyAlignment="0" applyProtection="0"/>
    <xf numFmtId="166" fontId="1" fillId="0" borderId="0" applyFont="0" applyFill="0" applyBorder="0" applyAlignment="0" applyProtection="0"/>
    <xf numFmtId="0" fontId="28" fillId="36" borderId="180" applyNumberFormat="0" applyAlignment="0" applyProtection="0"/>
    <xf numFmtId="0" fontId="46" fillId="0" borderId="189" applyNumberFormat="0" applyFill="0" applyAlignment="0" applyProtection="0"/>
    <xf numFmtId="0" fontId="8" fillId="24" borderId="151" applyNumberFormat="0" applyFont="0" applyAlignment="0" applyProtection="0"/>
    <xf numFmtId="0" fontId="41" fillId="37" borderId="211" applyNumberFormat="0" applyAlignment="0" applyProtection="0"/>
    <xf numFmtId="0" fontId="35" fillId="21" borderId="156" applyNumberFormat="0" applyAlignment="0" applyProtection="0"/>
    <xf numFmtId="0" fontId="2" fillId="24" borderId="151" applyNumberFormat="0" applyFont="0" applyAlignment="0" applyProtection="0"/>
    <xf numFmtId="0" fontId="8" fillId="24" borderId="151" applyNumberFormat="0" applyFont="0" applyAlignment="0" applyProtection="0"/>
    <xf numFmtId="166" fontId="1" fillId="0" borderId="0" applyFont="0" applyFill="0" applyBorder="0" applyAlignment="0" applyProtection="0"/>
    <xf numFmtId="0" fontId="28" fillId="36" borderId="186" applyNumberFormat="0" applyAlignment="0" applyProtection="0"/>
    <xf numFmtId="0" fontId="35" fillId="21" borderId="209" applyNumberFormat="0" applyAlignment="0" applyProtection="0"/>
    <xf numFmtId="0" fontId="46" fillId="0" borderId="172" applyNumberFormat="0" applyFill="0" applyAlignment="0" applyProtection="0"/>
    <xf numFmtId="0" fontId="28" fillId="36" borderId="209" applyNumberFormat="0" applyAlignment="0" applyProtection="0"/>
    <xf numFmtId="0" fontId="46" fillId="0" borderId="195" applyNumberFormat="0" applyFill="0" applyAlignment="0" applyProtection="0"/>
    <xf numFmtId="0" fontId="2" fillId="24" borderId="198" applyNumberFormat="0" applyFont="0" applyAlignment="0" applyProtection="0"/>
    <xf numFmtId="0" fontId="2" fillId="24" borderId="175" applyNumberFormat="0" applyFont="0" applyAlignment="0" applyProtection="0"/>
    <xf numFmtId="0" fontId="8" fillId="24" borderId="175" applyNumberFormat="0" applyFont="0" applyAlignment="0" applyProtection="0"/>
    <xf numFmtId="43" fontId="1" fillId="0" borderId="0" applyFont="0" applyFill="0" applyBorder="0" applyAlignment="0" applyProtection="0"/>
    <xf numFmtId="0" fontId="35" fillId="27" borderId="168" applyNumberFormat="0" applyAlignment="0" applyProtection="0"/>
    <xf numFmtId="43" fontId="1" fillId="0" borderId="0" applyFont="0" applyFill="0" applyBorder="0" applyAlignment="0" applyProtection="0"/>
    <xf numFmtId="0" fontId="41" fillId="36" borderId="176" applyNumberFormat="0" applyAlignment="0" applyProtection="0"/>
    <xf numFmtId="0" fontId="46" fillId="0" borderId="213" applyNumberFormat="0" applyFill="0" applyAlignment="0" applyProtection="0"/>
    <xf numFmtId="0" fontId="35" fillId="21" borderId="156" applyNumberFormat="0" applyAlignment="0" applyProtection="0"/>
    <xf numFmtId="0" fontId="8" fillId="24" borderId="169" applyNumberFormat="0" applyFont="0" applyAlignment="0" applyProtection="0"/>
    <xf numFmtId="0" fontId="28" fillId="36" borderId="150" applyNumberFormat="0" applyAlignment="0" applyProtection="0"/>
    <xf numFmtId="0" fontId="29" fillId="37" borderId="191" applyNumberFormat="0" applyAlignment="0" applyProtection="0"/>
    <xf numFmtId="0" fontId="8" fillId="24" borderId="216" applyNumberFormat="0" applyFont="0" applyAlignment="0" applyProtection="0"/>
    <xf numFmtId="166" fontId="1" fillId="0" borderId="0" applyFont="0" applyFill="0" applyBorder="0" applyAlignment="0" applyProtection="0"/>
    <xf numFmtId="43" fontId="1" fillId="0" borderId="0" applyFont="0" applyFill="0" applyBorder="0" applyAlignment="0" applyProtection="0"/>
    <xf numFmtId="0" fontId="41" fillId="36" borderId="182" applyNumberFormat="0" applyAlignment="0" applyProtection="0"/>
    <xf numFmtId="0" fontId="46" fillId="0" borderId="219" applyNumberFormat="0" applyFill="0" applyAlignment="0" applyProtection="0"/>
    <xf numFmtId="0" fontId="35" fillId="21" borderId="162" applyNumberFormat="0" applyAlignment="0" applyProtection="0"/>
    <xf numFmtId="0" fontId="8" fillId="24" borderId="175" applyNumberFormat="0" applyFont="0" applyAlignment="0" applyProtection="0"/>
    <xf numFmtId="0" fontId="28" fillId="36" borderId="156" applyNumberFormat="0" applyAlignment="0" applyProtection="0"/>
    <xf numFmtId="0" fontId="29" fillId="37" borderId="197" applyNumberFormat="0" applyAlignment="0" applyProtection="0"/>
    <xf numFmtId="0" fontId="8" fillId="24" borderId="222" applyNumberFormat="0" applyFont="0" applyAlignment="0" applyProtection="0"/>
    <xf numFmtId="166" fontId="1" fillId="0" borderId="0" applyFont="0" applyFill="0" applyBorder="0" applyAlignment="0" applyProtection="0"/>
    <xf numFmtId="43" fontId="1" fillId="0" borderId="0" applyFont="0" applyFill="0" applyBorder="0" applyAlignment="0" applyProtection="0"/>
    <xf numFmtId="0" fontId="41" fillId="36" borderId="188" applyNumberFormat="0" applyAlignment="0" applyProtection="0"/>
    <xf numFmtId="0" fontId="46" fillId="0" borderId="225" applyNumberFormat="0" applyFill="0" applyAlignment="0" applyProtection="0"/>
    <xf numFmtId="0" fontId="35" fillId="21" borderId="168" applyNumberFormat="0" applyAlignment="0" applyProtection="0"/>
    <xf numFmtId="0" fontId="8" fillId="24" borderId="181" applyNumberFormat="0" applyFont="0" applyAlignment="0" applyProtection="0"/>
    <xf numFmtId="0" fontId="28" fillId="36" borderId="162" applyNumberFormat="0" applyAlignment="0" applyProtection="0"/>
    <xf numFmtId="0" fontId="29" fillId="37" borderId="203"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41" fillId="36" borderId="193" applyNumberFormat="0" applyAlignment="0" applyProtection="0"/>
    <xf numFmtId="0" fontId="35" fillId="21" borderId="174" applyNumberFormat="0" applyAlignment="0" applyProtection="0"/>
    <xf numFmtId="0" fontId="8" fillId="24" borderId="187" applyNumberFormat="0" applyFont="0" applyAlignment="0" applyProtection="0"/>
    <xf numFmtId="0" fontId="28" fillId="36" borderId="168" applyNumberFormat="0" applyAlignment="0" applyProtection="0"/>
    <xf numFmtId="0" fontId="29" fillId="37" borderId="209" applyNumberFormat="0" applyAlignment="0" applyProtection="0"/>
    <xf numFmtId="166" fontId="1" fillId="0" borderId="0" applyFont="0" applyFill="0" applyBorder="0" applyAlignment="0" applyProtection="0"/>
    <xf numFmtId="43" fontId="1" fillId="0" borderId="0" applyFont="0" applyFill="0" applyBorder="0" applyAlignment="0" applyProtection="0"/>
    <xf numFmtId="0" fontId="41" fillId="36" borderId="199" applyNumberFormat="0" applyAlignment="0" applyProtection="0"/>
    <xf numFmtId="0" fontId="35" fillId="21" borderId="180" applyNumberFormat="0" applyAlignment="0" applyProtection="0"/>
    <xf numFmtId="0" fontId="8" fillId="24" borderId="192" applyNumberFormat="0" applyFont="0" applyAlignment="0" applyProtection="0"/>
    <xf numFmtId="0" fontId="28" fillId="36" borderId="174" applyNumberFormat="0" applyAlignment="0" applyProtection="0"/>
    <xf numFmtId="0" fontId="29" fillId="37" borderId="215" applyNumberFormat="0" applyAlignment="0" applyProtection="0"/>
    <xf numFmtId="166" fontId="1" fillId="0" borderId="0" applyFont="0" applyFill="0" applyBorder="0" applyAlignment="0" applyProtection="0"/>
    <xf numFmtId="0" fontId="41" fillId="36" borderId="205" applyNumberFormat="0" applyAlignment="0" applyProtection="0"/>
    <xf numFmtId="0" fontId="35" fillId="21" borderId="186" applyNumberFormat="0" applyAlignment="0" applyProtection="0"/>
    <xf numFmtId="0" fontId="8" fillId="24" borderId="198" applyNumberFormat="0" applyFont="0" applyAlignment="0" applyProtection="0"/>
    <xf numFmtId="0" fontId="28" fillId="36" borderId="180" applyNumberFormat="0" applyAlignment="0" applyProtection="0"/>
    <xf numFmtId="0" fontId="29" fillId="37" borderId="221" applyNumberFormat="0" applyAlignment="0" applyProtection="0"/>
    <xf numFmtId="166" fontId="1" fillId="0" borderId="0" applyFont="0" applyFill="0" applyBorder="0" applyAlignment="0" applyProtection="0"/>
    <xf numFmtId="0" fontId="41" fillId="36" borderId="211" applyNumberFormat="0" applyAlignment="0" applyProtection="0"/>
    <xf numFmtId="0" fontId="35" fillId="21" borderId="191" applyNumberFormat="0" applyAlignment="0" applyProtection="0"/>
    <xf numFmtId="0" fontId="8" fillId="24" borderId="204" applyNumberFormat="0" applyFont="0" applyAlignment="0" applyProtection="0"/>
    <xf numFmtId="0" fontId="28" fillId="36" borderId="186" applyNumberFormat="0" applyAlignment="0" applyProtection="0"/>
    <xf numFmtId="166" fontId="1" fillId="0" borderId="0" applyFont="0" applyFill="0" applyBorder="0" applyAlignment="0" applyProtection="0"/>
    <xf numFmtId="0" fontId="41" fillId="36" borderId="217" applyNumberFormat="0" applyAlignment="0" applyProtection="0"/>
    <xf numFmtId="0" fontId="35" fillId="21" borderId="197" applyNumberFormat="0" applyAlignment="0" applyProtection="0"/>
    <xf numFmtId="0" fontId="8" fillId="24" borderId="210" applyNumberFormat="0" applyFont="0" applyAlignment="0" applyProtection="0"/>
    <xf numFmtId="0" fontId="28" fillId="36" borderId="191" applyNumberFormat="0" applyAlignment="0" applyProtection="0"/>
    <xf numFmtId="166" fontId="1" fillId="0" borderId="0" applyFont="0" applyFill="0" applyBorder="0" applyAlignment="0" applyProtection="0"/>
    <xf numFmtId="0" fontId="41" fillId="36" borderId="223" applyNumberFormat="0" applyAlignment="0" applyProtection="0"/>
    <xf numFmtId="0" fontId="35" fillId="21" borderId="203" applyNumberFormat="0" applyAlignment="0" applyProtection="0"/>
    <xf numFmtId="0" fontId="8" fillId="24" borderId="216" applyNumberFormat="0" applyFont="0" applyAlignment="0" applyProtection="0"/>
    <xf numFmtId="0" fontId="28" fillId="36" borderId="197" applyNumberFormat="0" applyAlignment="0" applyProtection="0"/>
    <xf numFmtId="166" fontId="1" fillId="0" borderId="0" applyFont="0" applyFill="0" applyBorder="0" applyAlignment="0" applyProtection="0"/>
    <xf numFmtId="0" fontId="35" fillId="21" borderId="209" applyNumberFormat="0" applyAlignment="0" applyProtection="0"/>
    <xf numFmtId="0" fontId="8" fillId="24" borderId="222" applyNumberFormat="0" applyFont="0" applyAlignment="0" applyProtection="0"/>
    <xf numFmtId="0" fontId="28" fillId="36" borderId="203" applyNumberFormat="0" applyAlignment="0" applyProtection="0"/>
    <xf numFmtId="166" fontId="1" fillId="0" borderId="0" applyFont="0" applyFill="0" applyBorder="0" applyAlignment="0" applyProtection="0"/>
    <xf numFmtId="0" fontId="35" fillId="21" borderId="215" applyNumberFormat="0" applyAlignment="0" applyProtection="0"/>
    <xf numFmtId="0" fontId="28" fillId="36" borderId="209" applyNumberFormat="0" applyAlignment="0" applyProtection="0"/>
    <xf numFmtId="166" fontId="1" fillId="0" borderId="0" applyFont="0" applyFill="0" applyBorder="0" applyAlignment="0" applyProtection="0"/>
    <xf numFmtId="0" fontId="35" fillId="21" borderId="221" applyNumberFormat="0" applyAlignment="0" applyProtection="0"/>
    <xf numFmtId="0" fontId="28" fillId="36" borderId="215" applyNumberFormat="0" applyAlignment="0" applyProtection="0"/>
    <xf numFmtId="166" fontId="1" fillId="0" borderId="0" applyFont="0" applyFill="0" applyBorder="0" applyAlignment="0" applyProtection="0"/>
    <xf numFmtId="0" fontId="28" fillId="36" borderId="221"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2" fillId="24" borderId="229" applyNumberFormat="0" applyFont="0" applyAlignment="0" applyProtection="0"/>
    <xf numFmtId="0" fontId="46" fillId="0" borderId="232" applyNumberFormat="0" applyFill="0" applyAlignment="0" applyProtection="0"/>
    <xf numFmtId="44" fontId="2" fillId="0" borderId="0" applyFont="0" applyFill="0" applyBorder="0" applyAlignment="0" applyProtection="0"/>
    <xf numFmtId="0" fontId="46" fillId="0" borderId="232" applyNumberFormat="0" applyFill="0" applyAlignment="0" applyProtection="0"/>
    <xf numFmtId="0" fontId="28" fillId="36" borderId="228" applyNumberFormat="0" applyAlignment="0" applyProtection="0"/>
    <xf numFmtId="0" fontId="29" fillId="37" borderId="228" applyNumberFormat="0" applyAlignment="0" applyProtection="0"/>
    <xf numFmtId="0" fontId="35" fillId="21" borderId="228" applyNumberFormat="0" applyAlignment="0" applyProtection="0"/>
    <xf numFmtId="0" fontId="28" fillId="36" borderId="228" applyNumberFormat="0" applyAlignment="0" applyProtection="0"/>
    <xf numFmtId="0" fontId="29" fillId="37" borderId="228" applyNumberFormat="0" applyAlignment="0" applyProtection="0"/>
    <xf numFmtId="0" fontId="28" fillId="36" borderId="228" applyNumberFormat="0" applyAlignment="0" applyProtection="0"/>
    <xf numFmtId="0" fontId="35" fillId="27" borderId="228" applyNumberFormat="0" applyAlignment="0" applyProtection="0"/>
    <xf numFmtId="0" fontId="35" fillId="21" borderId="228" applyNumberFormat="0" applyAlignment="0" applyProtection="0"/>
    <xf numFmtId="0" fontId="35" fillId="21" borderId="228" applyNumberFormat="0" applyAlignment="0" applyProtection="0"/>
    <xf numFmtId="44" fontId="2" fillId="0" borderId="0" applyFont="0" applyFill="0" applyBorder="0" applyAlignment="0" applyProtection="0"/>
    <xf numFmtId="0" fontId="8" fillId="24" borderId="229" applyNumberFormat="0" applyFont="0" applyAlignment="0" applyProtection="0"/>
    <xf numFmtId="0" fontId="8" fillId="24" borderId="229" applyNumberFormat="0" applyFont="0" applyAlignment="0" applyProtection="0"/>
    <xf numFmtId="0" fontId="2" fillId="24" borderId="229" applyNumberFormat="0" applyFont="0" applyAlignment="0" applyProtection="0"/>
    <xf numFmtId="0" fontId="41" fillId="36" borderId="230" applyNumberFormat="0" applyAlignment="0" applyProtection="0"/>
    <xf numFmtId="0" fontId="41" fillId="37" borderId="230" applyNumberFormat="0" applyAlignment="0" applyProtection="0"/>
    <xf numFmtId="0" fontId="41" fillId="36" borderId="230" applyNumberFormat="0" applyAlignment="0" applyProtection="0"/>
    <xf numFmtId="0" fontId="46" fillId="0" borderId="231" applyNumberFormat="0" applyFill="0" applyAlignment="0" applyProtection="0"/>
    <xf numFmtId="0" fontId="46" fillId="0" borderId="232" applyNumberFormat="0" applyFill="0" applyAlignment="0" applyProtection="0"/>
    <xf numFmtId="0" fontId="8" fillId="24" borderId="229" applyNumberFormat="0" applyFont="0" applyAlignment="0" applyProtection="0"/>
    <xf numFmtId="0" fontId="8" fillId="24" borderId="229" applyNumberFormat="0" applyFont="0" applyAlignment="0" applyProtection="0"/>
    <xf numFmtId="0" fontId="41" fillId="36" borderId="230" applyNumberFormat="0" applyAlignment="0" applyProtection="0"/>
    <xf numFmtId="0" fontId="41" fillId="36" borderId="230" applyNumberFormat="0" applyAlignment="0" applyProtection="0"/>
    <xf numFmtId="0" fontId="2" fillId="24" borderId="229" applyNumberFormat="0" applyFont="0" applyAlignment="0" applyProtection="0"/>
    <xf numFmtId="0" fontId="29" fillId="37" borderId="228" applyNumberFormat="0" applyAlignment="0" applyProtection="0"/>
    <xf numFmtId="0" fontId="29" fillId="37" borderId="228" applyNumberFormat="0" applyAlignment="0" applyProtection="0"/>
    <xf numFmtId="0" fontId="46" fillId="0" borderId="232" applyNumberFormat="0" applyFill="0" applyAlignment="0" applyProtection="0"/>
    <xf numFmtId="0" fontId="46" fillId="0" borderId="232" applyNumberFormat="0" applyFill="0" applyAlignment="0" applyProtection="0"/>
    <xf numFmtId="0" fontId="35" fillId="21" borderId="228" applyNumberFormat="0" applyAlignment="0" applyProtection="0"/>
    <xf numFmtId="0" fontId="35" fillId="27" borderId="228" applyNumberFormat="0" applyAlignment="0" applyProtection="0"/>
    <xf numFmtId="0" fontId="8" fillId="24" borderId="229" applyNumberFormat="0" applyFont="0" applyAlignment="0" applyProtection="0"/>
    <xf numFmtId="0" fontId="2" fillId="24" borderId="229" applyNumberFormat="0" applyFont="0" applyAlignment="0" applyProtection="0"/>
    <xf numFmtId="0" fontId="41" fillId="37" borderId="230" applyNumberFormat="0" applyAlignment="0" applyProtection="0"/>
    <xf numFmtId="0" fontId="41" fillId="36" borderId="230" applyNumberFormat="0" applyAlignment="0" applyProtection="0"/>
    <xf numFmtId="0" fontId="41" fillId="36" borderId="230" applyNumberFormat="0" applyAlignment="0" applyProtection="0"/>
    <xf numFmtId="0" fontId="41" fillId="36" borderId="230" applyNumberFormat="0" applyAlignment="0" applyProtection="0"/>
    <xf numFmtId="0" fontId="2" fillId="24" borderId="229" applyNumberFormat="0" applyFont="0" applyAlignment="0" applyProtection="0"/>
    <xf numFmtId="0" fontId="46" fillId="0" borderId="232" applyNumberFormat="0" applyFill="0" applyAlignment="0" applyProtection="0"/>
    <xf numFmtId="0" fontId="28" fillId="36" borderId="228" applyNumberFormat="0" applyAlignment="0" applyProtection="0"/>
    <xf numFmtId="0" fontId="41" fillId="36" borderId="230" applyNumberFormat="0" applyAlignment="0" applyProtection="0"/>
    <xf numFmtId="0" fontId="41" fillId="37" borderId="230" applyNumberFormat="0" applyAlignment="0" applyProtection="0"/>
    <xf numFmtId="0" fontId="35" fillId="27" borderId="228" applyNumberFormat="0" applyAlignment="0" applyProtection="0"/>
    <xf numFmtId="0" fontId="35" fillId="21" borderId="228" applyNumberFormat="0" applyAlignment="0" applyProtection="0"/>
    <xf numFmtId="0" fontId="35" fillId="27" borderId="228" applyNumberFormat="0" applyAlignment="0" applyProtection="0"/>
    <xf numFmtId="0" fontId="2" fillId="24" borderId="229" applyNumberFormat="0" applyFont="0" applyAlignment="0" applyProtection="0"/>
    <xf numFmtId="0" fontId="46" fillId="0" borderId="232" applyNumberFormat="0" applyFill="0" applyAlignment="0" applyProtection="0"/>
    <xf numFmtId="0" fontId="46" fillId="0" borderId="231" applyNumberFormat="0" applyFill="0" applyAlignment="0" applyProtection="0"/>
    <xf numFmtId="0" fontId="29" fillId="37" borderId="228" applyNumberFormat="0" applyAlignment="0" applyProtection="0"/>
    <xf numFmtId="0" fontId="35" fillId="27"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8" fillId="24" borderId="229" applyNumberFormat="0" applyFont="0" applyAlignment="0" applyProtection="0"/>
    <xf numFmtId="0" fontId="46" fillId="0" borderId="231" applyNumberFormat="0" applyFill="0" applyAlignment="0" applyProtection="0"/>
    <xf numFmtId="0" fontId="8" fillId="24" borderId="229" applyNumberFormat="0" applyFont="0" applyAlignment="0" applyProtection="0"/>
    <xf numFmtId="0" fontId="41" fillId="36" borderId="230" applyNumberFormat="0" applyAlignment="0" applyProtection="0"/>
    <xf numFmtId="0" fontId="41" fillId="37" borderId="230" applyNumberFormat="0" applyAlignment="0" applyProtection="0"/>
    <xf numFmtId="0" fontId="8" fillId="24" borderId="229" applyNumberFormat="0" applyFont="0" applyAlignment="0" applyProtection="0"/>
    <xf numFmtId="0" fontId="2" fillId="24" borderId="229" applyNumberFormat="0" applyFont="0" applyAlignment="0" applyProtection="0"/>
    <xf numFmtId="0" fontId="28" fillId="36" borderId="228" applyNumberFormat="0" applyAlignment="0" applyProtection="0"/>
    <xf numFmtId="0" fontId="41" fillId="36" borderId="230" applyNumberFormat="0" applyAlignment="0" applyProtection="0"/>
    <xf numFmtId="0" fontId="2" fillId="24" borderId="229" applyNumberFormat="0" applyFont="0" applyAlignment="0" applyProtection="0"/>
    <xf numFmtId="0" fontId="8" fillId="24" borderId="229" applyNumberFormat="0" applyFont="0" applyAlignment="0" applyProtection="0"/>
    <xf numFmtId="0" fontId="8" fillId="24" borderId="229" applyNumberFormat="0" applyFont="0" applyAlignment="0" applyProtection="0"/>
    <xf numFmtId="0" fontId="41" fillId="36" borderId="230" applyNumberFormat="0" applyAlignment="0" applyProtection="0"/>
    <xf numFmtId="0" fontId="2" fillId="24" borderId="229" applyNumberFormat="0" applyFont="0" applyAlignment="0" applyProtection="0"/>
    <xf numFmtId="0" fontId="8" fillId="24" borderId="229" applyNumberFormat="0" applyFont="0" applyAlignment="0" applyProtection="0"/>
    <xf numFmtId="0" fontId="8" fillId="24" borderId="229" applyNumberFormat="0" applyFont="0" applyAlignment="0" applyProtection="0"/>
    <xf numFmtId="0" fontId="41" fillId="36" borderId="230" applyNumberFormat="0" applyAlignment="0" applyProtection="0"/>
    <xf numFmtId="0" fontId="35" fillId="27" borderId="228" applyNumberFormat="0" applyAlignment="0" applyProtection="0"/>
    <xf numFmtId="0" fontId="46" fillId="0" borderId="232" applyNumberFormat="0" applyFill="0" applyAlignment="0" applyProtection="0"/>
    <xf numFmtId="0" fontId="46" fillId="0" borderId="231" applyNumberFormat="0" applyFill="0" applyAlignment="0" applyProtection="0"/>
    <xf numFmtId="0" fontId="35" fillId="27" borderId="228" applyNumberFormat="0" applyAlignment="0" applyProtection="0"/>
    <xf numFmtId="0" fontId="41" fillId="36" borderId="230" applyNumberFormat="0" applyAlignment="0" applyProtection="0"/>
    <xf numFmtId="0" fontId="41" fillId="37" borderId="230" applyNumberFormat="0" applyAlignment="0" applyProtection="0"/>
    <xf numFmtId="0" fontId="41" fillId="37" borderId="230" applyNumberFormat="0" applyAlignment="0" applyProtection="0"/>
    <xf numFmtId="0" fontId="41" fillId="36" borderId="230" applyNumberFormat="0" applyAlignment="0" applyProtection="0"/>
    <xf numFmtId="0" fontId="8" fillId="24" borderId="229" applyNumberFormat="0" applyFont="0" applyAlignment="0" applyProtection="0"/>
    <xf numFmtId="0" fontId="41" fillId="37" borderId="230" applyNumberFormat="0" applyAlignment="0" applyProtection="0"/>
    <xf numFmtId="0" fontId="41" fillId="36" borderId="230" applyNumberFormat="0" applyAlignment="0" applyProtection="0"/>
    <xf numFmtId="0" fontId="28" fillId="36" borderId="228" applyNumberFormat="0" applyAlignment="0" applyProtection="0"/>
    <xf numFmtId="0" fontId="29" fillId="37" borderId="228" applyNumberFormat="0" applyAlignment="0" applyProtection="0"/>
    <xf numFmtId="0" fontId="28" fillId="36" borderId="228" applyNumberFormat="0" applyAlignment="0" applyProtection="0"/>
    <xf numFmtId="0" fontId="35" fillId="21" borderId="228" applyNumberFormat="0" applyAlignment="0" applyProtection="0"/>
    <xf numFmtId="0" fontId="41" fillId="36" borderId="230" applyNumberFormat="0" applyAlignment="0" applyProtection="0"/>
    <xf numFmtId="0" fontId="41" fillId="37" borderId="230" applyNumberFormat="0" applyAlignment="0" applyProtection="0"/>
    <xf numFmtId="0" fontId="8" fillId="24" borderId="229" applyNumberFormat="0" applyFont="0" applyAlignment="0" applyProtection="0"/>
    <xf numFmtId="0" fontId="35" fillId="21" borderId="228" applyNumberFormat="0" applyAlignment="0" applyProtection="0"/>
    <xf numFmtId="0" fontId="41" fillId="36" borderId="230" applyNumberFormat="0" applyAlignment="0" applyProtection="0"/>
    <xf numFmtId="0" fontId="29" fillId="37" borderId="228" applyNumberFormat="0" applyAlignment="0" applyProtection="0"/>
    <xf numFmtId="0" fontId="28" fillId="36" borderId="228" applyNumberFormat="0" applyAlignment="0" applyProtection="0"/>
    <xf numFmtId="0" fontId="35" fillId="21" borderId="228" applyNumberFormat="0" applyAlignment="0" applyProtection="0"/>
    <xf numFmtId="0" fontId="41" fillId="36" borderId="230" applyNumberFormat="0" applyAlignment="0" applyProtection="0"/>
    <xf numFmtId="0" fontId="8" fillId="24" borderId="229" applyNumberFormat="0" applyFont="0" applyAlignment="0" applyProtection="0"/>
    <xf numFmtId="0" fontId="41" fillId="37" borderId="230" applyNumberFormat="0" applyAlignment="0" applyProtection="0"/>
    <xf numFmtId="0" fontId="35" fillId="27" borderId="228" applyNumberFormat="0" applyAlignment="0" applyProtection="0"/>
    <xf numFmtId="0" fontId="35" fillId="21" borderId="228" applyNumberFormat="0" applyAlignment="0" applyProtection="0"/>
    <xf numFmtId="0" fontId="8" fillId="24" borderId="229" applyNumberFormat="0" applyFont="0" applyAlignment="0" applyProtection="0"/>
    <xf numFmtId="0" fontId="8" fillId="24" borderId="229" applyNumberFormat="0" applyFont="0" applyAlignment="0" applyProtection="0"/>
    <xf numFmtId="0" fontId="46" fillId="0" borderId="231" applyNumberFormat="0" applyFill="0" applyAlignment="0" applyProtection="0"/>
    <xf numFmtId="0" fontId="46" fillId="0" borderId="232" applyNumberFormat="0" applyFill="0" applyAlignment="0" applyProtection="0"/>
    <xf numFmtId="0" fontId="29" fillId="37" borderId="228" applyNumberFormat="0" applyAlignment="0" applyProtection="0"/>
    <xf numFmtId="0" fontId="46" fillId="0" borderId="232" applyNumberFormat="0" applyFill="0" applyAlignment="0" applyProtection="0"/>
    <xf numFmtId="0" fontId="29" fillId="37" borderId="228" applyNumberFormat="0" applyAlignment="0" applyProtection="0"/>
    <xf numFmtId="0" fontId="35" fillId="21" borderId="228" applyNumberFormat="0" applyAlignment="0" applyProtection="0"/>
    <xf numFmtId="0" fontId="41" fillId="36" borderId="230" applyNumberFormat="0" applyAlignment="0" applyProtection="0"/>
    <xf numFmtId="0" fontId="41" fillId="37" borderId="230" applyNumberFormat="0" applyAlignment="0" applyProtection="0"/>
    <xf numFmtId="0" fontId="8" fillId="24" borderId="229" applyNumberFormat="0" applyFont="0" applyAlignment="0" applyProtection="0"/>
    <xf numFmtId="0" fontId="8" fillId="24" borderId="229" applyNumberFormat="0" applyFont="0" applyAlignment="0" applyProtection="0"/>
    <xf numFmtId="0" fontId="29" fillId="37" borderId="228" applyNumberFormat="0" applyAlignment="0" applyProtection="0"/>
    <xf numFmtId="0" fontId="35" fillId="21" borderId="228" applyNumberFormat="0" applyAlignment="0" applyProtection="0"/>
    <xf numFmtId="0" fontId="35" fillId="27" borderId="228" applyNumberFormat="0" applyAlignment="0" applyProtection="0"/>
    <xf numFmtId="0" fontId="41" fillId="36" borderId="230" applyNumberFormat="0" applyAlignment="0" applyProtection="0"/>
    <xf numFmtId="0" fontId="29" fillId="37" borderId="228" applyNumberFormat="0" applyAlignment="0" applyProtection="0"/>
    <xf numFmtId="0" fontId="2" fillId="24" borderId="229" applyNumberFormat="0" applyFont="0" applyAlignment="0" applyProtection="0"/>
    <xf numFmtId="0" fontId="41" fillId="37" borderId="230" applyNumberFormat="0" applyAlignment="0" applyProtection="0"/>
    <xf numFmtId="0" fontId="35" fillId="21" borderId="228" applyNumberFormat="0" applyAlignment="0" applyProtection="0"/>
    <xf numFmtId="0" fontId="35" fillId="21" borderId="228" applyNumberFormat="0" applyAlignment="0" applyProtection="0"/>
    <xf numFmtId="0" fontId="2" fillId="24" borderId="229" applyNumberFormat="0" applyFont="0" applyAlignment="0" applyProtection="0"/>
    <xf numFmtId="0" fontId="35" fillId="21" borderId="228" applyNumberFormat="0" applyAlignment="0" applyProtection="0"/>
    <xf numFmtId="0" fontId="35" fillId="27" borderId="228" applyNumberFormat="0" applyAlignment="0" applyProtection="0"/>
    <xf numFmtId="0" fontId="35" fillId="21" borderId="228" applyNumberFormat="0" applyAlignment="0" applyProtection="0"/>
    <xf numFmtId="0" fontId="35" fillId="27" borderId="228" applyNumberFormat="0" applyAlignment="0" applyProtection="0"/>
    <xf numFmtId="0" fontId="28" fillId="36" borderId="228" applyNumberFormat="0" applyAlignment="0" applyProtection="0"/>
    <xf numFmtId="0" fontId="29" fillId="37" borderId="228" applyNumberFormat="0" applyAlignment="0" applyProtection="0"/>
    <xf numFmtId="0" fontId="35" fillId="21" borderId="228" applyNumberFormat="0" applyAlignment="0" applyProtection="0"/>
    <xf numFmtId="0" fontId="35" fillId="27" borderId="228"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2" fillId="24" borderId="229" applyNumberFormat="0" applyFont="0" applyAlignment="0" applyProtection="0"/>
    <xf numFmtId="0" fontId="46" fillId="0" borderId="231" applyNumberFormat="0" applyFill="0" applyAlignment="0" applyProtection="0"/>
    <xf numFmtId="0" fontId="41" fillId="36" borderId="230" applyNumberFormat="0" applyAlignment="0" applyProtection="0"/>
    <xf numFmtId="0" fontId="28" fillId="36" borderId="228" applyNumberFormat="0" applyAlignment="0" applyProtection="0"/>
    <xf numFmtId="0" fontId="28" fillId="36" borderId="228" applyNumberFormat="0" applyAlignment="0" applyProtection="0"/>
    <xf numFmtId="0" fontId="28" fillId="36" borderId="228" applyNumberFormat="0" applyAlignment="0" applyProtection="0"/>
    <xf numFmtId="0" fontId="41" fillId="36" borderId="230" applyNumberFormat="0" applyAlignment="0" applyProtection="0"/>
    <xf numFmtId="0" fontId="41" fillId="36" borderId="230" applyNumberFormat="0" applyAlignment="0" applyProtection="0"/>
    <xf numFmtId="0" fontId="41" fillId="36" borderId="230" applyNumberFormat="0" applyAlignment="0" applyProtection="0"/>
    <xf numFmtId="0" fontId="8" fillId="24" borderId="229" applyNumberFormat="0" applyFont="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41" fillId="36" borderId="230" applyNumberFormat="0" applyAlignment="0" applyProtection="0"/>
    <xf numFmtId="0" fontId="29" fillId="37" borderId="228" applyNumberFormat="0" applyAlignment="0" applyProtection="0"/>
    <xf numFmtId="0" fontId="35" fillId="21" borderId="228" applyNumberFormat="0" applyAlignment="0" applyProtection="0"/>
    <xf numFmtId="0" fontId="35" fillId="27" borderId="228" applyNumberFormat="0" applyAlignment="0" applyProtection="0"/>
    <xf numFmtId="0" fontId="46" fillId="0" borderId="231" applyNumberFormat="0" applyFill="0" applyAlignment="0" applyProtection="0"/>
    <xf numFmtId="0" fontId="46" fillId="0" borderId="232" applyNumberFormat="0" applyFill="0" applyAlignment="0" applyProtection="0"/>
    <xf numFmtId="0" fontId="46" fillId="0" borderId="231" applyNumberFormat="0" applyFill="0" applyAlignment="0" applyProtection="0"/>
    <xf numFmtId="0" fontId="29" fillId="37" borderId="228" applyNumberFormat="0" applyAlignment="0" applyProtection="0"/>
    <xf numFmtId="0" fontId="46" fillId="0" borderId="232" applyNumberFormat="0" applyFill="0" applyAlignment="0" applyProtection="0"/>
    <xf numFmtId="0" fontId="8" fillId="24" borderId="229" applyNumberFormat="0" applyFont="0" applyAlignment="0" applyProtection="0"/>
    <xf numFmtId="0" fontId="41" fillId="36" borderId="230" applyNumberFormat="0" applyAlignment="0" applyProtection="0"/>
    <xf numFmtId="0" fontId="41" fillId="37" borderId="230" applyNumberFormat="0" applyAlignment="0" applyProtection="0"/>
    <xf numFmtId="0" fontId="41" fillId="37" borderId="230" applyNumberFormat="0" applyAlignment="0" applyProtection="0"/>
    <xf numFmtId="0" fontId="41" fillId="36" borderId="230" applyNumberFormat="0" applyAlignment="0" applyProtection="0"/>
    <xf numFmtId="0" fontId="28" fillId="36" borderId="228" applyNumberFormat="0" applyAlignment="0" applyProtection="0"/>
    <xf numFmtId="0" fontId="46" fillId="0" borderId="232" applyNumberFormat="0" applyFill="0" applyAlignment="0" applyProtection="0"/>
    <xf numFmtId="0" fontId="41" fillId="36" borderId="230" applyNumberFormat="0" applyAlignment="0" applyProtection="0"/>
    <xf numFmtId="0" fontId="41" fillId="36" borderId="230" applyNumberFormat="0" applyAlignment="0" applyProtection="0"/>
    <xf numFmtId="0" fontId="8" fillId="24" borderId="229" applyNumberFormat="0" applyFont="0" applyAlignment="0" applyProtection="0"/>
    <xf numFmtId="0" fontId="28" fillId="36" borderId="228" applyNumberFormat="0" applyAlignment="0" applyProtection="0"/>
    <xf numFmtId="0" fontId="8" fillId="24" borderId="229" applyNumberFormat="0" applyFont="0" applyAlignment="0" applyProtection="0"/>
    <xf numFmtId="0" fontId="46" fillId="0" borderId="231" applyNumberFormat="0" applyFill="0" applyAlignment="0" applyProtection="0"/>
    <xf numFmtId="0" fontId="46" fillId="0" borderId="232" applyNumberFormat="0" applyFill="0" applyAlignment="0" applyProtection="0"/>
    <xf numFmtId="0" fontId="35" fillId="27" borderId="228" applyNumberFormat="0" applyAlignment="0" applyProtection="0"/>
    <xf numFmtId="0" fontId="41" fillId="36" borderId="230" applyNumberFormat="0" applyAlignment="0" applyProtection="0"/>
    <xf numFmtId="0" fontId="46" fillId="0" borderId="232" applyNumberFormat="0" applyFill="0" applyAlignment="0" applyProtection="0"/>
    <xf numFmtId="0" fontId="8" fillId="24" borderId="229" applyNumberFormat="0" applyFont="0" applyAlignment="0" applyProtection="0"/>
    <xf numFmtId="0" fontId="8" fillId="24" borderId="229" applyNumberFormat="0" applyFont="0" applyAlignment="0" applyProtection="0"/>
    <xf numFmtId="0" fontId="2" fillId="24" borderId="229" applyNumberFormat="0" applyFont="0" applyAlignment="0" applyProtection="0"/>
    <xf numFmtId="0" fontId="41" fillId="36" borderId="230" applyNumberFormat="0" applyAlignment="0" applyProtection="0"/>
    <xf numFmtId="0" fontId="2" fillId="24" borderId="229" applyNumberFormat="0" applyFont="0" applyAlignment="0" applyProtection="0"/>
    <xf numFmtId="0" fontId="46" fillId="0" borderId="231" applyNumberFormat="0" applyFill="0" applyAlignment="0" applyProtection="0"/>
    <xf numFmtId="0" fontId="46" fillId="0" borderId="231" applyNumberFormat="0" applyFill="0" applyAlignment="0" applyProtection="0"/>
    <xf numFmtId="0" fontId="35" fillId="21" borderId="228" applyNumberFormat="0" applyAlignment="0" applyProtection="0"/>
    <xf numFmtId="0" fontId="41" fillId="37" borderId="230" applyNumberFormat="0" applyAlignment="0" applyProtection="0"/>
    <xf numFmtId="0" fontId="41" fillId="36" borderId="230" applyNumberFormat="0" applyAlignment="0" applyProtection="0"/>
    <xf numFmtId="0" fontId="2" fillId="24" borderId="229" applyNumberFormat="0" applyFont="0" applyAlignment="0" applyProtection="0"/>
    <xf numFmtId="0" fontId="46" fillId="0" borderId="232" applyNumberFormat="0" applyFill="0" applyAlignment="0" applyProtection="0"/>
    <xf numFmtId="0" fontId="29" fillId="37" borderId="228" applyNumberFormat="0" applyAlignment="0" applyProtection="0"/>
    <xf numFmtId="0" fontId="8" fillId="24" borderId="229" applyNumberFormat="0" applyFont="0" applyAlignment="0" applyProtection="0"/>
    <xf numFmtId="0" fontId="46" fillId="0" borderId="231" applyNumberFormat="0" applyFill="0" applyAlignment="0" applyProtection="0"/>
    <xf numFmtId="0" fontId="8" fillId="24" borderId="229" applyNumberFormat="0" applyFont="0" applyAlignment="0" applyProtection="0"/>
    <xf numFmtId="0" fontId="29" fillId="37" borderId="228" applyNumberFormat="0" applyAlignment="0" applyProtection="0"/>
    <xf numFmtId="0" fontId="28" fillId="36" borderId="228" applyNumberFormat="0" applyAlignment="0" applyProtection="0"/>
    <xf numFmtId="0" fontId="46" fillId="0" borderId="231" applyNumberFormat="0" applyFill="0" applyAlignment="0" applyProtection="0"/>
    <xf numFmtId="0" fontId="46" fillId="0" borderId="232" applyNumberFormat="0" applyFill="0" applyAlignment="0" applyProtection="0"/>
    <xf numFmtId="0" fontId="8" fillId="24" borderId="229" applyNumberFormat="0" applyFont="0" applyAlignment="0" applyProtection="0"/>
    <xf numFmtId="0" fontId="41" fillId="37" borderId="230" applyNumberFormat="0" applyAlignment="0" applyProtection="0"/>
    <xf numFmtId="0" fontId="8" fillId="24" borderId="229" applyNumberFormat="0" applyFont="0" applyAlignment="0" applyProtection="0"/>
    <xf numFmtId="0" fontId="35" fillId="27" borderId="228" applyNumberFormat="0" applyAlignment="0" applyProtection="0"/>
    <xf numFmtId="0" fontId="41" fillId="36" borderId="230" applyNumberFormat="0" applyAlignment="0" applyProtection="0"/>
    <xf numFmtId="0" fontId="41" fillId="37" borderId="230" applyNumberFormat="0" applyAlignment="0" applyProtection="0"/>
    <xf numFmtId="0" fontId="8" fillId="24" borderId="229" applyNumberFormat="0" applyFont="0" applyAlignment="0" applyProtection="0"/>
    <xf numFmtId="0" fontId="35" fillId="21" borderId="228" applyNumberFormat="0" applyAlignment="0" applyProtection="0"/>
    <xf numFmtId="0" fontId="29" fillId="37" borderId="228" applyNumberFormat="0" applyAlignment="0" applyProtection="0"/>
    <xf numFmtId="0" fontId="46" fillId="0" borderId="231" applyNumberFormat="0" applyFill="0" applyAlignment="0" applyProtection="0"/>
    <xf numFmtId="0" fontId="35" fillId="27" borderId="228" applyNumberFormat="0" applyAlignment="0" applyProtection="0"/>
    <xf numFmtId="0" fontId="41" fillId="36" borderId="230" applyNumberFormat="0" applyAlignment="0" applyProtection="0"/>
    <xf numFmtId="0" fontId="41" fillId="37" borderId="230" applyNumberFormat="0" applyAlignment="0" applyProtection="0"/>
    <xf numFmtId="0" fontId="28" fillId="36" borderId="228" applyNumberFormat="0" applyAlignment="0" applyProtection="0"/>
    <xf numFmtId="0" fontId="28" fillId="36" borderId="228" applyNumberFormat="0" applyAlignment="0" applyProtection="0"/>
    <xf numFmtId="0" fontId="35" fillId="21" borderId="228" applyNumberFormat="0" applyAlignment="0" applyProtection="0"/>
    <xf numFmtId="0" fontId="2" fillId="24" borderId="229" applyNumberFormat="0" applyFont="0" applyAlignment="0" applyProtection="0"/>
    <xf numFmtId="0" fontId="35" fillId="21" borderId="228" applyNumberFormat="0" applyAlignment="0" applyProtection="0"/>
    <xf numFmtId="0" fontId="35" fillId="21" borderId="228" applyNumberFormat="0" applyAlignment="0" applyProtection="0"/>
    <xf numFmtId="0" fontId="28" fillId="36" borderId="228" applyNumberFormat="0" applyAlignment="0" applyProtection="0"/>
    <xf numFmtId="0" fontId="41" fillId="36" borderId="230" applyNumberFormat="0" applyAlignment="0" applyProtection="0"/>
    <xf numFmtId="0" fontId="8" fillId="24" borderId="229" applyNumberFormat="0" applyFont="0" applyAlignment="0" applyProtection="0"/>
    <xf numFmtId="0" fontId="28" fillId="36" borderId="228" applyNumberFormat="0" applyAlignment="0" applyProtection="0"/>
    <xf numFmtId="0" fontId="35" fillId="21" borderId="228" applyNumberFormat="0" applyAlignment="0" applyProtection="0"/>
    <xf numFmtId="0" fontId="35" fillId="21" borderId="228" applyNumberFormat="0" applyAlignment="0" applyProtection="0"/>
    <xf numFmtId="0" fontId="41" fillId="36" borderId="230" applyNumberFormat="0" applyAlignment="0" applyProtection="0"/>
    <xf numFmtId="0" fontId="41" fillId="36" borderId="230" applyNumberFormat="0" applyAlignment="0" applyProtection="0"/>
    <xf numFmtId="0" fontId="46" fillId="0" borderId="232" applyNumberFormat="0" applyFill="0" applyAlignment="0" applyProtection="0"/>
    <xf numFmtId="0" fontId="46" fillId="0" borderId="232" applyNumberFormat="0" applyFill="0" applyAlignment="0" applyProtection="0"/>
    <xf numFmtId="0" fontId="29" fillId="37" borderId="228" applyNumberFormat="0" applyAlignment="0" applyProtection="0"/>
    <xf numFmtId="0" fontId="28" fillId="36" borderId="228" applyNumberFormat="0" applyAlignment="0" applyProtection="0"/>
    <xf numFmtId="0" fontId="35" fillId="21" borderId="228" applyNumberFormat="0" applyAlignment="0" applyProtection="0"/>
    <xf numFmtId="0" fontId="35" fillId="27" borderId="228" applyNumberFormat="0" applyAlignment="0" applyProtection="0"/>
    <xf numFmtId="0" fontId="41" fillId="37" borderId="230" applyNumberFormat="0" applyAlignment="0" applyProtection="0"/>
    <xf numFmtId="0" fontId="28" fillId="36" borderId="228" applyNumberFormat="0" applyAlignment="0" applyProtection="0"/>
    <xf numFmtId="0" fontId="41" fillId="36" borderId="230" applyNumberFormat="0" applyAlignment="0" applyProtection="0"/>
    <xf numFmtId="0" fontId="35" fillId="21" borderId="228" applyNumberFormat="0" applyAlignment="0" applyProtection="0"/>
    <xf numFmtId="0" fontId="29" fillId="37" borderId="228" applyNumberFormat="0" applyAlignment="0" applyProtection="0"/>
    <xf numFmtId="0" fontId="46" fillId="0" borderId="231" applyNumberFormat="0" applyFill="0" applyAlignment="0" applyProtection="0"/>
    <xf numFmtId="0" fontId="41" fillId="37" borderId="230" applyNumberFormat="0" applyAlignment="0" applyProtection="0"/>
    <xf numFmtId="0" fontId="28" fillId="36" borderId="228" applyNumberFormat="0" applyAlignment="0" applyProtection="0"/>
    <xf numFmtId="0" fontId="41" fillId="36" borderId="230" applyNumberFormat="0" applyAlignment="0" applyProtection="0"/>
    <xf numFmtId="0" fontId="8" fillId="24" borderId="229" applyNumberFormat="0" applyFont="0" applyAlignment="0" applyProtection="0"/>
    <xf numFmtId="0" fontId="8" fillId="24" borderId="229" applyNumberFormat="0" applyFont="0" applyAlignment="0" applyProtection="0"/>
    <xf numFmtId="0" fontId="28" fillId="36" borderId="228" applyNumberFormat="0" applyAlignment="0" applyProtection="0"/>
    <xf numFmtId="0" fontId="28" fillId="36" borderId="228" applyNumberFormat="0" applyAlignment="0" applyProtection="0"/>
    <xf numFmtId="0" fontId="35" fillId="27" borderId="228" applyNumberFormat="0" applyAlignment="0" applyProtection="0"/>
    <xf numFmtId="0" fontId="41" fillId="36" borderId="230" applyNumberFormat="0" applyAlignment="0" applyProtection="0"/>
    <xf numFmtId="0" fontId="2" fillId="24" borderId="229" applyNumberFormat="0" applyFont="0" applyAlignment="0" applyProtection="0"/>
    <xf numFmtId="0" fontId="46" fillId="0" borderId="232" applyNumberFormat="0" applyFill="0" applyAlignment="0" applyProtection="0"/>
    <xf numFmtId="0" fontId="28" fillId="36" borderId="228" applyNumberFormat="0" applyAlignment="0" applyProtection="0"/>
    <xf numFmtId="0" fontId="29" fillId="37" borderId="228" applyNumberFormat="0" applyAlignment="0" applyProtection="0"/>
    <xf numFmtId="0" fontId="2" fillId="24" borderId="229" applyNumberFormat="0" applyFont="0" applyAlignment="0" applyProtection="0"/>
    <xf numFmtId="0" fontId="8" fillId="24" borderId="229" applyNumberFormat="0" applyFont="0" applyAlignment="0" applyProtection="0"/>
    <xf numFmtId="0" fontId="35" fillId="27" borderId="228" applyNumberFormat="0" applyAlignment="0" applyProtection="0"/>
    <xf numFmtId="0" fontId="35" fillId="21" borderId="228" applyNumberFormat="0" applyAlignment="0" applyProtection="0"/>
    <xf numFmtId="0" fontId="46" fillId="0" borderId="232" applyNumberFormat="0" applyFill="0" applyAlignment="0" applyProtection="0"/>
    <xf numFmtId="0" fontId="8" fillId="24" borderId="229" applyNumberFormat="0" applyFont="0" applyAlignment="0" applyProtection="0"/>
    <xf numFmtId="0" fontId="35" fillId="21" borderId="228" applyNumberFormat="0" applyAlignment="0" applyProtection="0"/>
    <xf numFmtId="0" fontId="8" fillId="24" borderId="229" applyNumberFormat="0" applyFont="0" applyAlignment="0" applyProtection="0"/>
    <xf numFmtId="0" fontId="35" fillId="21" borderId="228" applyNumberFormat="0" applyAlignment="0" applyProtection="0"/>
    <xf numFmtId="0" fontId="29" fillId="37" borderId="228" applyNumberFormat="0" applyAlignment="0" applyProtection="0"/>
    <xf numFmtId="0" fontId="46" fillId="0" borderId="231" applyNumberFormat="0" applyFill="0" applyAlignment="0" applyProtection="0"/>
    <xf numFmtId="0" fontId="35" fillId="27" borderId="228" applyNumberFormat="0" applyAlignment="0" applyProtection="0"/>
    <xf numFmtId="0" fontId="46" fillId="0" borderId="231" applyNumberFormat="0" applyFill="0" applyAlignment="0" applyProtection="0"/>
    <xf numFmtId="0" fontId="8" fillId="24" borderId="229" applyNumberFormat="0" applyFont="0" applyAlignment="0" applyProtection="0"/>
    <xf numFmtId="0" fontId="28" fillId="36" borderId="228" applyNumberFormat="0" applyAlignment="0" applyProtection="0"/>
    <xf numFmtId="0" fontId="35" fillId="27" borderId="228" applyNumberFormat="0" applyAlignment="0" applyProtection="0"/>
    <xf numFmtId="0" fontId="8" fillId="24" borderId="229" applyNumberFormat="0" applyFont="0" applyAlignment="0" applyProtection="0"/>
    <xf numFmtId="0" fontId="46" fillId="0" borderId="231" applyNumberFormat="0" applyFill="0" applyAlignment="0" applyProtection="0"/>
    <xf numFmtId="0" fontId="46" fillId="0" borderId="231" applyNumberFormat="0" applyFill="0" applyAlignment="0" applyProtection="0"/>
    <xf numFmtId="0" fontId="41" fillId="36" borderId="230" applyNumberFormat="0" applyAlignment="0" applyProtection="0"/>
    <xf numFmtId="0" fontId="46" fillId="0" borderId="231" applyNumberFormat="0" applyFill="0" applyAlignment="0" applyProtection="0"/>
    <xf numFmtId="0" fontId="2" fillId="24" borderId="229" applyNumberFormat="0" applyFont="0" applyAlignment="0" applyProtection="0"/>
    <xf numFmtId="0" fontId="2" fillId="24" borderId="229" applyNumberFormat="0" applyFon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41" fillId="37" borderId="230" applyNumberFormat="0" applyAlignment="0" applyProtection="0"/>
    <xf numFmtId="0" fontId="35" fillId="21" borderId="228" applyNumberFormat="0" applyAlignment="0" applyProtection="0"/>
    <xf numFmtId="0" fontId="35" fillId="21" borderId="228" applyNumberFormat="0" applyAlignment="0" applyProtection="0"/>
    <xf numFmtId="0" fontId="29" fillId="37" borderId="228" applyNumberFormat="0" applyAlignment="0" applyProtection="0"/>
    <xf numFmtId="0" fontId="28" fillId="36" borderId="228" applyNumberFormat="0" applyAlignment="0" applyProtection="0"/>
    <xf numFmtId="0" fontId="2" fillId="24" borderId="229" applyNumberFormat="0" applyFont="0" applyAlignment="0" applyProtection="0"/>
    <xf numFmtId="0" fontId="28" fillId="36" borderId="228" applyNumberFormat="0" applyAlignment="0" applyProtection="0"/>
    <xf numFmtId="0" fontId="41" fillId="36" borderId="230" applyNumberFormat="0" applyAlignment="0" applyProtection="0"/>
    <xf numFmtId="0" fontId="35" fillId="21" borderId="228" applyNumberFormat="0" applyAlignment="0" applyProtection="0"/>
    <xf numFmtId="0" fontId="46" fillId="0" borderId="231" applyNumberFormat="0" applyFill="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41" fillId="37" borderId="230" applyNumberFormat="0" applyAlignment="0" applyProtection="0"/>
    <xf numFmtId="0" fontId="35" fillId="27" borderId="228" applyNumberFormat="0" applyAlignment="0" applyProtection="0"/>
    <xf numFmtId="0" fontId="46" fillId="0" borderId="232" applyNumberFormat="0" applyFill="0" applyAlignment="0" applyProtection="0"/>
    <xf numFmtId="0" fontId="35" fillId="27" borderId="228" applyNumberFormat="0" applyAlignment="0" applyProtection="0"/>
    <xf numFmtId="0" fontId="46" fillId="0" borderId="231" applyNumberFormat="0" applyFill="0" applyAlignment="0" applyProtection="0"/>
    <xf numFmtId="0" fontId="46" fillId="0" borderId="232" applyNumberFormat="0" applyFill="0" applyAlignment="0" applyProtection="0"/>
    <xf numFmtId="0" fontId="41" fillId="36" borderId="230" applyNumberFormat="0" applyAlignment="0" applyProtection="0"/>
    <xf numFmtId="0" fontId="41" fillId="36" borderId="230" applyNumberFormat="0" applyAlignment="0" applyProtection="0"/>
    <xf numFmtId="0" fontId="28" fillId="36" borderId="228" applyNumberFormat="0" applyAlignment="0" applyProtection="0"/>
    <xf numFmtId="0" fontId="41" fillId="37" borderId="230" applyNumberFormat="0" applyAlignment="0" applyProtection="0"/>
    <xf numFmtId="0" fontId="35" fillId="27" borderId="228" applyNumberFormat="0" applyAlignment="0" applyProtection="0"/>
    <xf numFmtId="0" fontId="8" fillId="24" borderId="229" applyNumberFormat="0" applyFont="0" applyAlignment="0" applyProtection="0"/>
    <xf numFmtId="0" fontId="41" fillId="36" borderId="230" applyNumberFormat="0" applyAlignment="0" applyProtection="0"/>
    <xf numFmtId="0" fontId="2" fillId="24" borderId="229" applyNumberFormat="0" applyFont="0" applyAlignment="0" applyProtection="0"/>
    <xf numFmtId="0" fontId="35" fillId="27" borderId="228" applyNumberFormat="0" applyAlignment="0" applyProtection="0"/>
    <xf numFmtId="0" fontId="8" fillId="24" borderId="229" applyNumberFormat="0" applyFont="0" applyAlignment="0" applyProtection="0"/>
    <xf numFmtId="0" fontId="35" fillId="21" borderId="228" applyNumberFormat="0" applyAlignment="0" applyProtection="0"/>
    <xf numFmtId="0" fontId="8" fillId="24" borderId="229" applyNumberFormat="0" applyFont="0" applyAlignment="0" applyProtection="0"/>
    <xf numFmtId="0" fontId="2" fillId="24" borderId="229" applyNumberFormat="0" applyFont="0" applyAlignment="0" applyProtection="0"/>
    <xf numFmtId="0" fontId="46" fillId="0" borderId="231" applyNumberFormat="0" applyFill="0" applyAlignment="0" applyProtection="0"/>
    <xf numFmtId="0" fontId="35" fillId="21" borderId="228" applyNumberFormat="0" applyAlignment="0" applyProtection="0"/>
    <xf numFmtId="0" fontId="41" fillId="36" borderId="230" applyNumberFormat="0" applyAlignment="0" applyProtection="0"/>
    <xf numFmtId="0" fontId="8" fillId="24" borderId="229" applyNumberFormat="0" applyFont="0" applyAlignment="0" applyProtection="0"/>
    <xf numFmtId="0" fontId="41" fillId="37" borderId="230" applyNumberFormat="0" applyAlignment="0" applyProtection="0"/>
    <xf numFmtId="0" fontId="46" fillId="0" borderId="232" applyNumberFormat="0" applyFill="0" applyAlignment="0" applyProtection="0"/>
    <xf numFmtId="0" fontId="46" fillId="0" borderId="232" applyNumberFormat="0" applyFill="0" applyAlignment="0" applyProtection="0"/>
    <xf numFmtId="0" fontId="46" fillId="0" borderId="231" applyNumberFormat="0" applyFill="0" applyAlignment="0" applyProtection="0"/>
    <xf numFmtId="0" fontId="28" fillId="36" borderId="228" applyNumberFormat="0" applyAlignment="0" applyProtection="0"/>
    <xf numFmtId="0" fontId="46" fillId="0" borderId="231" applyNumberFormat="0" applyFill="0" applyAlignment="0" applyProtection="0"/>
    <xf numFmtId="0" fontId="35" fillId="21" borderId="228" applyNumberFormat="0" applyAlignment="0" applyProtection="0"/>
    <xf numFmtId="0" fontId="41" fillId="36" borderId="230" applyNumberFormat="0" applyAlignment="0" applyProtection="0"/>
    <xf numFmtId="0" fontId="28" fillId="36" borderId="228" applyNumberFormat="0" applyAlignment="0" applyProtection="0"/>
    <xf numFmtId="0" fontId="8" fillId="24" borderId="229" applyNumberFormat="0" applyFont="0" applyAlignment="0" applyProtection="0"/>
    <xf numFmtId="0" fontId="46" fillId="0" borderId="232" applyNumberFormat="0" applyFill="0" applyAlignment="0" applyProtection="0"/>
    <xf numFmtId="0" fontId="8" fillId="24" borderId="229" applyNumberFormat="0" applyFont="0" applyAlignment="0" applyProtection="0"/>
    <xf numFmtId="0" fontId="35" fillId="21" borderId="228" applyNumberFormat="0" applyAlignment="0" applyProtection="0"/>
    <xf numFmtId="0" fontId="41" fillId="36" borderId="230" applyNumberFormat="0" applyAlignment="0" applyProtection="0"/>
    <xf numFmtId="0" fontId="2" fillId="24" borderId="229" applyNumberFormat="0" applyFont="0" applyAlignment="0" applyProtection="0"/>
    <xf numFmtId="0" fontId="41" fillId="37" borderId="230" applyNumberFormat="0" applyAlignment="0" applyProtection="0"/>
    <xf numFmtId="0" fontId="35" fillId="21" borderId="228" applyNumberFormat="0" applyAlignment="0" applyProtection="0"/>
    <xf numFmtId="0" fontId="46" fillId="0" borderId="231" applyNumberFormat="0" applyFill="0" applyAlignment="0" applyProtection="0"/>
    <xf numFmtId="0" fontId="8" fillId="24" borderId="229" applyNumberFormat="0" applyFont="0" applyAlignment="0" applyProtection="0"/>
    <xf numFmtId="0" fontId="28" fillId="36" borderId="228" applyNumberFormat="0" applyAlignment="0" applyProtection="0"/>
    <xf numFmtId="0" fontId="28" fillId="36" borderId="228" applyNumberFormat="0" applyAlignment="0" applyProtection="0"/>
    <xf numFmtId="0" fontId="41" fillId="37" borderId="230" applyNumberFormat="0" applyAlignment="0" applyProtection="0"/>
    <xf numFmtId="0" fontId="28" fillId="36" borderId="228" applyNumberFormat="0" applyAlignment="0" applyProtection="0"/>
    <xf numFmtId="0" fontId="29" fillId="37" borderId="228" applyNumberFormat="0" applyAlignment="0" applyProtection="0"/>
    <xf numFmtId="0" fontId="8" fillId="24" borderId="229" applyNumberFormat="0" applyFont="0" applyAlignment="0" applyProtection="0"/>
    <xf numFmtId="0" fontId="41" fillId="36" borderId="230" applyNumberFormat="0" applyAlignment="0" applyProtection="0"/>
    <xf numFmtId="0" fontId="41" fillId="36" borderId="230" applyNumberFormat="0" applyAlignment="0" applyProtection="0"/>
    <xf numFmtId="0" fontId="29" fillId="37" borderId="228" applyNumberFormat="0" applyAlignment="0" applyProtection="0"/>
    <xf numFmtId="0" fontId="2" fillId="24" borderId="229" applyNumberFormat="0" applyFont="0" applyAlignment="0" applyProtection="0"/>
    <xf numFmtId="0" fontId="35" fillId="21" borderId="228" applyNumberFormat="0" applyAlignment="0" applyProtection="0"/>
    <xf numFmtId="0" fontId="35" fillId="21" borderId="228" applyNumberFormat="0" applyAlignment="0" applyProtection="0"/>
    <xf numFmtId="0" fontId="35" fillId="21" borderId="228" applyNumberFormat="0" applyAlignment="0" applyProtection="0"/>
    <xf numFmtId="0" fontId="2" fillId="24" borderId="229" applyNumberFormat="0" applyFont="0" applyAlignment="0" applyProtection="0"/>
    <xf numFmtId="0" fontId="29" fillId="37" borderId="228" applyNumberFormat="0" applyAlignment="0" applyProtection="0"/>
    <xf numFmtId="0" fontId="41" fillId="36" borderId="230" applyNumberFormat="0" applyAlignment="0" applyProtection="0"/>
    <xf numFmtId="0" fontId="35" fillId="21" borderId="228" applyNumberFormat="0" applyAlignment="0" applyProtection="0"/>
    <xf numFmtId="0" fontId="46" fillId="0" borderId="231" applyNumberFormat="0" applyFill="0" applyAlignment="0" applyProtection="0"/>
    <xf numFmtId="0" fontId="35" fillId="21" borderId="228" applyNumberFormat="0" applyAlignment="0" applyProtection="0"/>
    <xf numFmtId="0" fontId="35" fillId="27" borderId="228" applyNumberFormat="0" applyAlignment="0" applyProtection="0"/>
    <xf numFmtId="0" fontId="41" fillId="36" borderId="230" applyNumberFormat="0" applyAlignment="0" applyProtection="0"/>
    <xf numFmtId="0" fontId="35" fillId="27" borderId="228" applyNumberFormat="0" applyAlignment="0" applyProtection="0"/>
    <xf numFmtId="0" fontId="46" fillId="0" borderId="231" applyNumberFormat="0" applyFill="0" applyAlignment="0" applyProtection="0"/>
    <xf numFmtId="0" fontId="46" fillId="0" borderId="231" applyNumberFormat="0" applyFill="0" applyAlignment="0" applyProtection="0"/>
    <xf numFmtId="0" fontId="8" fillId="24" borderId="229" applyNumberFormat="0" applyFont="0" applyAlignment="0" applyProtection="0"/>
    <xf numFmtId="0" fontId="2" fillId="24" borderId="229" applyNumberFormat="0" applyFon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46" fillId="0" borderId="231" applyNumberFormat="0" applyFill="0" applyAlignment="0" applyProtection="0"/>
    <xf numFmtId="0" fontId="41" fillId="36" borderId="230" applyNumberFormat="0" applyAlignment="0" applyProtection="0"/>
    <xf numFmtId="0" fontId="41" fillId="36" borderId="230" applyNumberFormat="0" applyAlignment="0" applyProtection="0"/>
    <xf numFmtId="0" fontId="46" fillId="0" borderId="232" applyNumberFormat="0" applyFill="0" applyAlignment="0" applyProtection="0"/>
    <xf numFmtId="0" fontId="35" fillId="27" borderId="228" applyNumberFormat="0" applyAlignment="0" applyProtection="0"/>
    <xf numFmtId="0" fontId="8" fillId="24" borderId="229" applyNumberFormat="0" applyFon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46" fillId="0" borderId="231" applyNumberFormat="0" applyFill="0" applyAlignment="0" applyProtection="0"/>
    <xf numFmtId="0" fontId="41" fillId="37" borderId="230" applyNumberFormat="0" applyAlignment="0" applyProtection="0"/>
    <xf numFmtId="0" fontId="35" fillId="21" borderId="228" applyNumberFormat="0" applyAlignment="0" applyProtection="0"/>
    <xf numFmtId="0" fontId="28" fillId="36" borderId="228" applyNumberFormat="0" applyAlignment="0" applyProtection="0"/>
    <xf numFmtId="0" fontId="35" fillId="21" borderId="228" applyNumberFormat="0" applyAlignment="0" applyProtection="0"/>
    <xf numFmtId="0" fontId="41" fillId="36" borderId="230" applyNumberFormat="0" applyAlignment="0" applyProtection="0"/>
    <xf numFmtId="0" fontId="8" fillId="24" borderId="229" applyNumberFormat="0" applyFont="0" applyAlignment="0" applyProtection="0"/>
    <xf numFmtId="0" fontId="28" fillId="36" borderId="228" applyNumberFormat="0" applyAlignment="0" applyProtection="0"/>
    <xf numFmtId="0" fontId="46" fillId="0" borderId="232" applyNumberFormat="0" applyFill="0" applyAlignment="0" applyProtection="0"/>
    <xf numFmtId="0" fontId="35" fillId="21" borderId="228" applyNumberFormat="0" applyAlignment="0" applyProtection="0"/>
    <xf numFmtId="0" fontId="46" fillId="0" borderId="231" applyNumberFormat="0" applyFill="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41" fillId="37" borderId="230" applyNumberFormat="0" applyAlignment="0" applyProtection="0"/>
    <xf numFmtId="0" fontId="41" fillId="36" borderId="230" applyNumberFormat="0" applyAlignment="0" applyProtection="0"/>
    <xf numFmtId="0" fontId="28" fillId="36" borderId="228" applyNumberFormat="0" applyAlignment="0" applyProtection="0"/>
    <xf numFmtId="0" fontId="28" fillId="36" borderId="228" applyNumberFormat="0" applyAlignment="0" applyProtection="0"/>
    <xf numFmtId="0" fontId="41" fillId="37" borderId="230" applyNumberFormat="0" applyAlignment="0" applyProtection="0"/>
    <xf numFmtId="0" fontId="8" fillId="24" borderId="229" applyNumberFormat="0" applyFont="0" applyAlignment="0" applyProtection="0"/>
    <xf numFmtId="0" fontId="41" fillId="36" borderId="230" applyNumberFormat="0" applyAlignment="0" applyProtection="0"/>
    <xf numFmtId="0" fontId="41" fillId="36" borderId="230" applyNumberFormat="0" applyAlignment="0" applyProtection="0"/>
    <xf numFmtId="0" fontId="29" fillId="37" borderId="228" applyNumberFormat="0" applyAlignment="0" applyProtection="0"/>
    <xf numFmtId="0" fontId="2" fillId="24" borderId="229" applyNumberFormat="0" applyFont="0" applyAlignment="0" applyProtection="0"/>
    <xf numFmtId="0" fontId="35" fillId="21" borderId="228" applyNumberFormat="0" applyAlignment="0" applyProtection="0"/>
    <xf numFmtId="0" fontId="35" fillId="21" borderId="228" applyNumberFormat="0" applyAlignment="0" applyProtection="0"/>
    <xf numFmtId="0" fontId="46" fillId="0" borderId="232" applyNumberFormat="0" applyFill="0" applyAlignment="0" applyProtection="0"/>
    <xf numFmtId="0" fontId="28" fillId="36" borderId="228" applyNumberFormat="0" applyAlignment="0" applyProtection="0"/>
    <xf numFmtId="0" fontId="35" fillId="21" borderId="228" applyNumberFormat="0" applyAlignment="0" applyProtection="0"/>
    <xf numFmtId="0" fontId="2" fillId="24" borderId="229" applyNumberFormat="0" applyFont="0" applyAlignment="0" applyProtection="0"/>
    <xf numFmtId="0" fontId="29" fillId="37" borderId="228" applyNumberFormat="0" applyAlignment="0" applyProtection="0"/>
    <xf numFmtId="0" fontId="29" fillId="37" borderId="228" applyNumberFormat="0" applyAlignment="0" applyProtection="0"/>
    <xf numFmtId="0" fontId="28" fillId="36" borderId="228" applyNumberFormat="0" applyAlignment="0" applyProtection="0"/>
    <xf numFmtId="0" fontId="41" fillId="36" borderId="230" applyNumberFormat="0" applyAlignment="0" applyProtection="0"/>
    <xf numFmtId="0" fontId="41" fillId="36" borderId="230" applyNumberFormat="0" applyAlignment="0" applyProtection="0"/>
    <xf numFmtId="0" fontId="41" fillId="37" borderId="230" applyNumberFormat="0" applyAlignment="0" applyProtection="0"/>
    <xf numFmtId="0" fontId="2" fillId="24" borderId="229" applyNumberFormat="0" applyFont="0" applyAlignment="0" applyProtection="0"/>
    <xf numFmtId="0" fontId="35" fillId="21" borderId="228" applyNumberFormat="0" applyAlignment="0" applyProtection="0"/>
    <xf numFmtId="0" fontId="29" fillId="37" borderId="228" applyNumberFormat="0" applyAlignment="0" applyProtection="0"/>
    <xf numFmtId="0" fontId="41" fillId="37" borderId="230" applyNumberFormat="0" applyAlignment="0" applyProtection="0"/>
    <xf numFmtId="0" fontId="28" fillId="36" borderId="228" applyNumberFormat="0" applyAlignment="0" applyProtection="0"/>
    <xf numFmtId="0" fontId="28" fillId="36" borderId="228" applyNumberFormat="0" applyAlignment="0" applyProtection="0"/>
    <xf numFmtId="0" fontId="41" fillId="37" borderId="230" applyNumberFormat="0" applyAlignment="0" applyProtection="0"/>
    <xf numFmtId="0" fontId="35" fillId="27" borderId="228" applyNumberFormat="0" applyAlignment="0" applyProtection="0"/>
    <xf numFmtId="0" fontId="35" fillId="27" borderId="228" applyNumberFormat="0" applyAlignment="0" applyProtection="0"/>
    <xf numFmtId="0" fontId="2" fillId="24" borderId="229" applyNumberFormat="0" applyFont="0" applyAlignment="0" applyProtection="0"/>
    <xf numFmtId="0" fontId="28" fillId="36" borderId="228" applyNumberFormat="0" applyAlignment="0" applyProtection="0"/>
    <xf numFmtId="0" fontId="41" fillId="37" borderId="230" applyNumberFormat="0" applyAlignment="0" applyProtection="0"/>
    <xf numFmtId="0" fontId="35" fillId="21" borderId="228" applyNumberFormat="0" applyAlignment="0" applyProtection="0"/>
    <xf numFmtId="0" fontId="28" fillId="36" borderId="228" applyNumberFormat="0" applyAlignment="0" applyProtection="0"/>
    <xf numFmtId="0" fontId="35" fillId="21" borderId="228" applyNumberFormat="0" applyAlignment="0" applyProtection="0"/>
    <xf numFmtId="0" fontId="35" fillId="21" borderId="228" applyNumberFormat="0" applyAlignment="0" applyProtection="0"/>
    <xf numFmtId="0" fontId="46" fillId="0" borderId="231" applyNumberFormat="0" applyFill="0" applyAlignment="0" applyProtection="0"/>
    <xf numFmtId="0" fontId="35" fillId="27" borderId="228" applyNumberFormat="0" applyAlignment="0" applyProtection="0"/>
    <xf numFmtId="0" fontId="35" fillId="21" borderId="228" applyNumberFormat="0" applyAlignment="0" applyProtection="0"/>
    <xf numFmtId="0" fontId="28" fillId="36" borderId="228" applyNumberFormat="0" applyAlignment="0" applyProtection="0"/>
    <xf numFmtId="0" fontId="35" fillId="27" borderId="228" applyNumberFormat="0" applyAlignment="0" applyProtection="0"/>
    <xf numFmtId="0" fontId="28" fillId="36" borderId="228" applyNumberFormat="0" applyAlignment="0" applyProtection="0"/>
    <xf numFmtId="0" fontId="35" fillId="21" borderId="228" applyNumberFormat="0" applyAlignment="0" applyProtection="0"/>
    <xf numFmtId="0" fontId="41" fillId="36" borderId="230" applyNumberFormat="0" applyAlignment="0" applyProtection="0"/>
    <xf numFmtId="0" fontId="41" fillId="37" borderId="230" applyNumberFormat="0" applyAlignment="0" applyProtection="0"/>
    <xf numFmtId="0" fontId="35" fillId="27" borderId="228" applyNumberFormat="0" applyAlignment="0" applyProtection="0"/>
    <xf numFmtId="0" fontId="46" fillId="0" borderId="232" applyNumberFormat="0" applyFill="0" applyAlignment="0" applyProtection="0"/>
    <xf numFmtId="0" fontId="8" fillId="24" borderId="229" applyNumberFormat="0" applyFont="0" applyAlignment="0" applyProtection="0"/>
    <xf numFmtId="0" fontId="41" fillId="37" borderId="230" applyNumberFormat="0" applyAlignment="0" applyProtection="0"/>
    <xf numFmtId="0" fontId="46" fillId="0" borderId="232" applyNumberFormat="0" applyFill="0" applyAlignment="0" applyProtection="0"/>
    <xf numFmtId="0" fontId="35" fillId="27" borderId="228" applyNumberFormat="0" applyAlignment="0" applyProtection="0"/>
    <xf numFmtId="0" fontId="46" fillId="0" borderId="232" applyNumberFormat="0" applyFill="0" applyAlignment="0" applyProtection="0"/>
    <xf numFmtId="0" fontId="41" fillId="36" borderId="230" applyNumberFormat="0" applyAlignment="0" applyProtection="0"/>
    <xf numFmtId="0" fontId="2" fillId="24" borderId="229" applyNumberFormat="0" applyFont="0" applyAlignment="0" applyProtection="0"/>
    <xf numFmtId="0" fontId="35" fillId="27" borderId="228" applyNumberFormat="0" applyAlignment="0" applyProtection="0"/>
    <xf numFmtId="0" fontId="41" fillId="37" borderId="230" applyNumberFormat="0" applyAlignment="0" applyProtection="0"/>
    <xf numFmtId="0" fontId="41" fillId="36" borderId="230" applyNumberFormat="0" applyAlignment="0" applyProtection="0"/>
    <xf numFmtId="0" fontId="2" fillId="24" borderId="229" applyNumberFormat="0" applyFont="0" applyAlignment="0" applyProtection="0"/>
    <xf numFmtId="0" fontId="28" fillId="36" borderId="228" applyNumberFormat="0" applyAlignment="0" applyProtection="0"/>
    <xf numFmtId="0" fontId="41" fillId="36" borderId="230" applyNumberFormat="0" applyAlignment="0" applyProtection="0"/>
    <xf numFmtId="0" fontId="28" fillId="36" borderId="228" applyNumberFormat="0" applyAlignment="0" applyProtection="0"/>
    <xf numFmtId="0" fontId="46" fillId="0" borderId="231" applyNumberFormat="0" applyFill="0" applyAlignment="0" applyProtection="0"/>
    <xf numFmtId="0" fontId="46" fillId="0" borderId="231" applyNumberFormat="0" applyFill="0" applyAlignment="0" applyProtection="0"/>
    <xf numFmtId="0" fontId="28" fillId="36" borderId="228" applyNumberFormat="0" applyAlignment="0" applyProtection="0"/>
    <xf numFmtId="0" fontId="28" fillId="36" borderId="228" applyNumberFormat="0" applyAlignment="0" applyProtection="0"/>
    <xf numFmtId="0" fontId="46" fillId="0" borderId="231" applyNumberFormat="0" applyFill="0" applyAlignment="0" applyProtection="0"/>
    <xf numFmtId="0" fontId="8" fillId="24" borderId="229" applyNumberFormat="0" applyFont="0" applyAlignment="0" applyProtection="0"/>
    <xf numFmtId="0" fontId="41" fillId="37" borderId="230" applyNumberFormat="0" applyAlignment="0" applyProtection="0"/>
    <xf numFmtId="0" fontId="35" fillId="21" borderId="228" applyNumberFormat="0" applyAlignment="0" applyProtection="0"/>
    <xf numFmtId="0" fontId="2" fillId="24" borderId="229" applyNumberFormat="0" applyFont="0" applyAlignment="0" applyProtection="0"/>
    <xf numFmtId="0" fontId="8" fillId="24" borderId="229" applyNumberFormat="0" applyFont="0" applyAlignment="0" applyProtection="0"/>
    <xf numFmtId="0" fontId="28" fillId="36" borderId="228" applyNumberFormat="0" applyAlignment="0" applyProtection="0"/>
    <xf numFmtId="0" fontId="35" fillId="21" borderId="228" applyNumberFormat="0" applyAlignment="0" applyProtection="0"/>
    <xf numFmtId="0" fontId="46" fillId="0" borderId="232" applyNumberFormat="0" applyFill="0" applyAlignment="0" applyProtection="0"/>
    <xf numFmtId="0" fontId="28" fillId="36" borderId="228" applyNumberFormat="0" applyAlignment="0" applyProtection="0"/>
    <xf numFmtId="0" fontId="46" fillId="0" borderId="232" applyNumberFormat="0" applyFill="0" applyAlignment="0" applyProtection="0"/>
    <xf numFmtId="0" fontId="2" fillId="24" borderId="229" applyNumberFormat="0" applyFont="0" applyAlignment="0" applyProtection="0"/>
    <xf numFmtId="0" fontId="2" fillId="24" borderId="229" applyNumberFormat="0" applyFont="0" applyAlignment="0" applyProtection="0"/>
    <xf numFmtId="0" fontId="8" fillId="24" borderId="229" applyNumberFormat="0" applyFont="0" applyAlignment="0" applyProtection="0"/>
    <xf numFmtId="0" fontId="35" fillId="27" borderId="228" applyNumberFormat="0" applyAlignment="0" applyProtection="0"/>
    <xf numFmtId="0" fontId="41" fillId="36" borderId="230" applyNumberFormat="0" applyAlignment="0" applyProtection="0"/>
    <xf numFmtId="0" fontId="46" fillId="0" borderId="232" applyNumberFormat="0" applyFill="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8" fillId="24" borderId="229" applyNumberFormat="0" applyFont="0" applyAlignment="0" applyProtection="0"/>
    <xf numFmtId="0" fontId="41" fillId="36" borderId="230" applyNumberFormat="0" applyAlignment="0" applyProtection="0"/>
    <xf numFmtId="0" fontId="46" fillId="0" borderId="232" applyNumberFormat="0" applyFill="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41" fillId="36" borderId="230"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41" fillId="36" borderId="230"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41" fillId="36" borderId="230"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29" fillId="37" borderId="228" applyNumberFormat="0" applyAlignment="0" applyProtection="0"/>
    <xf numFmtId="0" fontId="41" fillId="36" borderId="230"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41" fillId="36" borderId="230"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41" fillId="36" borderId="230"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35" fillId="21" borderId="228" applyNumberFormat="0" applyAlignment="0" applyProtection="0"/>
    <xf numFmtId="0" fontId="8" fillId="24" borderId="229" applyNumberFormat="0" applyFont="0" applyAlignment="0" applyProtection="0"/>
    <xf numFmtId="0" fontId="28" fillId="36" borderId="228" applyNumberFormat="0" applyAlignment="0" applyProtection="0"/>
    <xf numFmtId="0" fontId="35" fillId="21" borderId="228" applyNumberFormat="0" applyAlignment="0" applyProtection="0"/>
    <xf numFmtId="0" fontId="28" fillId="36" borderId="228" applyNumberFormat="0" applyAlignment="0" applyProtection="0"/>
    <xf numFmtId="0" fontId="35" fillId="21" borderId="228" applyNumberFormat="0" applyAlignment="0" applyProtection="0"/>
    <xf numFmtId="0" fontId="28" fillId="36" borderId="228" applyNumberFormat="0" applyAlignment="0" applyProtection="0"/>
    <xf numFmtId="0" fontId="28" fillId="36" borderId="228"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181">
    <xf numFmtId="0" fontId="0" fillId="0" borderId="0" xfId="0"/>
    <xf numFmtId="0" fontId="3" fillId="6" borderId="3" xfId="0" applyFont="1" applyFill="1" applyBorder="1" applyAlignment="1">
      <alignment horizontal="left" vertical="center" wrapText="1"/>
    </xf>
    <xf numFmtId="0" fontId="3" fillId="6" borderId="11" xfId="0" applyFont="1" applyFill="1" applyBorder="1" applyAlignment="1">
      <alignment vertical="center"/>
    </xf>
    <xf numFmtId="170" fontId="5" fillId="2" borderId="3"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170" fontId="5" fillId="2" borderId="7" xfId="1"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70" fontId="5" fillId="0" borderId="7"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6" borderId="3" xfId="0" applyFont="1" applyFill="1" applyBorder="1" applyAlignment="1">
      <alignment horizontal="justify" vertical="center" wrapText="1"/>
    </xf>
    <xf numFmtId="0" fontId="5" fillId="6" borderId="3" xfId="0" applyNumberFormat="1" applyFont="1" applyFill="1" applyBorder="1" applyAlignment="1">
      <alignment horizontal="center" vertical="center" wrapText="1"/>
    </xf>
    <xf numFmtId="170" fontId="5" fillId="0" borderId="3" xfId="1" applyNumberFormat="1" applyFont="1" applyFill="1" applyBorder="1" applyAlignment="1">
      <alignment horizontal="center" vertical="center"/>
    </xf>
    <xf numFmtId="0" fontId="5" fillId="0" borderId="7" xfId="0" applyNumberFormat="1" applyFont="1" applyFill="1" applyBorder="1" applyAlignment="1">
      <alignment horizontal="center" vertical="center" wrapText="1"/>
    </xf>
    <xf numFmtId="170" fontId="5" fillId="2" borderId="3" xfId="1" applyNumberFormat="1" applyFont="1" applyFill="1" applyBorder="1" applyAlignment="1">
      <alignment horizontal="center" vertical="center" wrapText="1"/>
    </xf>
    <xf numFmtId="170" fontId="5" fillId="2" borderId="3" xfId="1" applyNumberFormat="1" applyFont="1" applyFill="1" applyBorder="1" applyAlignment="1">
      <alignment horizontal="right" vertical="center"/>
    </xf>
    <xf numFmtId="170" fontId="5" fillId="0" borderId="3" xfId="1" applyNumberFormat="1" applyFont="1" applyFill="1" applyBorder="1" applyAlignment="1">
      <alignment horizontal="righ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70" fontId="5" fillId="0" borderId="3" xfId="2" applyNumberFormat="1" applyFont="1" applyFill="1" applyBorder="1" applyAlignment="1">
      <alignment horizontal="justify" vertical="center"/>
    </xf>
    <xf numFmtId="170" fontId="5" fillId="0" borderId="7" xfId="2" applyNumberFormat="1" applyFont="1" applyFill="1" applyBorder="1" applyAlignment="1">
      <alignment horizontal="justify" vertical="center"/>
    </xf>
    <xf numFmtId="0" fontId="6" fillId="0" borderId="0" xfId="0" applyFont="1" applyFill="1" applyBorder="1"/>
    <xf numFmtId="0" fontId="5" fillId="0" borderId="14" xfId="0" applyFont="1" applyFill="1" applyBorder="1" applyAlignment="1">
      <alignment vertical="center" wrapText="1"/>
    </xf>
    <xf numFmtId="0" fontId="5" fillId="0" borderId="10" xfId="0" applyFont="1" applyFill="1" applyBorder="1" applyAlignment="1">
      <alignment vertical="center" wrapText="1"/>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right" vertical="center" wrapText="1"/>
    </xf>
    <xf numFmtId="9" fontId="5" fillId="0" borderId="6" xfId="0" applyNumberFormat="1" applyFont="1" applyFill="1" applyBorder="1" applyAlignment="1">
      <alignment horizontal="center" vertical="center"/>
    </xf>
    <xf numFmtId="0" fontId="3" fillId="0" borderId="15"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6" xfId="0" applyFont="1" applyFill="1" applyBorder="1" applyAlignment="1">
      <alignment horizontal="center" vertical="center"/>
    </xf>
    <xf numFmtId="0" fontId="7" fillId="0" borderId="3" xfId="0" applyFont="1" applyFill="1" applyBorder="1" applyAlignment="1">
      <alignment horizontal="right" vertical="center" wrapText="1"/>
    </xf>
    <xf numFmtId="170" fontId="5" fillId="0" borderId="3" xfId="2" applyNumberFormat="1" applyFont="1" applyFill="1" applyBorder="1" applyAlignment="1">
      <alignment vertical="center"/>
    </xf>
    <xf numFmtId="170" fontId="5" fillId="0" borderId="3" xfId="2" applyNumberFormat="1" applyFont="1" applyFill="1" applyBorder="1" applyAlignment="1">
      <alignment horizontal="center" vertical="center" wrapText="1"/>
    </xf>
    <xf numFmtId="3" fontId="5" fillId="0" borderId="3" xfId="0" applyNumberFormat="1" applyFont="1" applyFill="1" applyBorder="1" applyAlignment="1">
      <alignment vertical="center" wrapText="1"/>
    </xf>
    <xf numFmtId="3" fontId="6" fillId="0" borderId="3" xfId="0" applyNumberFormat="1" applyFont="1" applyFill="1" applyBorder="1" applyAlignment="1">
      <alignment vertical="center"/>
    </xf>
    <xf numFmtId="0" fontId="5" fillId="0" borderId="10" xfId="0" applyNumberFormat="1" applyFont="1" applyFill="1" applyBorder="1" applyAlignment="1">
      <alignment horizontal="center" vertical="center"/>
    </xf>
    <xf numFmtId="0" fontId="9" fillId="0" borderId="3" xfId="0" applyFont="1" applyFill="1" applyBorder="1" applyAlignment="1">
      <alignment horizontal="left" vertical="center"/>
    </xf>
    <xf numFmtId="170" fontId="5" fillId="0" borderId="10" xfId="2" applyNumberFormat="1" applyFont="1" applyFill="1" applyBorder="1" applyAlignment="1">
      <alignment horizontal="justify" vertical="center"/>
    </xf>
    <xf numFmtId="171" fontId="9" fillId="0" borderId="3" xfId="0" applyNumberFormat="1" applyFont="1" applyFill="1" applyBorder="1" applyAlignment="1">
      <alignment horizontal="left" vertical="center"/>
    </xf>
    <xf numFmtId="170" fontId="9" fillId="0" borderId="3" xfId="0" applyNumberFormat="1" applyFont="1" applyFill="1" applyBorder="1" applyAlignment="1">
      <alignment horizontal="left" vertical="center"/>
    </xf>
    <xf numFmtId="0" fontId="9" fillId="0" borderId="0" xfId="0" applyFont="1" applyFill="1" applyBorder="1" applyAlignment="1">
      <alignment vertical="center"/>
    </xf>
    <xf numFmtId="43" fontId="6" fillId="0" borderId="7" xfId="2" applyFont="1" applyFill="1" applyBorder="1"/>
    <xf numFmtId="43" fontId="6" fillId="0" borderId="0" xfId="0" applyNumberFormat="1" applyFont="1" applyFill="1" applyAlignment="1">
      <alignment vertical="center"/>
    </xf>
    <xf numFmtId="170" fontId="5" fillId="0" borderId="7" xfId="2" applyNumberFormat="1" applyFont="1" applyFill="1" applyBorder="1" applyAlignment="1">
      <alignment vertical="center"/>
    </xf>
    <xf numFmtId="0" fontId="5" fillId="0" borderId="3" xfId="0" applyNumberFormat="1" applyFont="1" applyFill="1" applyBorder="1" applyAlignment="1">
      <alignment horizontal="justify" vertical="center" wrapText="1"/>
    </xf>
    <xf numFmtId="170" fontId="6" fillId="0" borderId="7" xfId="1" applyNumberFormat="1" applyFont="1" applyFill="1" applyBorder="1" applyAlignment="1">
      <alignment horizontal="center" vertical="center"/>
    </xf>
    <xf numFmtId="0" fontId="5"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170" fontId="5" fillId="0" borderId="6" xfId="1" applyNumberFormat="1" applyFont="1" applyFill="1" applyBorder="1" applyAlignment="1">
      <alignment vertical="center"/>
    </xf>
    <xf numFmtId="0" fontId="5"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6" fillId="0" borderId="16" xfId="0" applyNumberFormat="1" applyFont="1" applyFill="1" applyBorder="1" applyAlignment="1">
      <alignment vertical="center"/>
    </xf>
    <xf numFmtId="43" fontId="6" fillId="0" borderId="7" xfId="2" applyFont="1" applyFill="1" applyBorder="1" applyAlignment="1">
      <alignment vertical="center"/>
    </xf>
    <xf numFmtId="3" fontId="5" fillId="0" borderId="6"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2"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9"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0" borderId="10" xfId="0" applyFont="1" applyFill="1" applyBorder="1" applyAlignment="1">
      <alignment horizontal="center" vertical="top" wrapText="1"/>
    </xf>
    <xf numFmtId="2" fontId="5" fillId="0" borderId="10" xfId="0" applyNumberFormat="1" applyFont="1" applyFill="1" applyBorder="1" applyAlignment="1">
      <alignment horizontal="center" vertical="center" wrapText="1"/>
    </xf>
    <xf numFmtId="43" fontId="5" fillId="0" borderId="3" xfId="2" applyFont="1" applyFill="1" applyBorder="1" applyAlignment="1">
      <alignment horizontal="center" vertical="center"/>
    </xf>
    <xf numFmtId="170" fontId="5" fillId="0" borderId="3" xfId="3" applyNumberFormat="1" applyFont="1" applyFill="1" applyBorder="1" applyAlignment="1">
      <alignment horizontal="center" vertical="center"/>
    </xf>
    <xf numFmtId="0" fontId="6" fillId="0" borderId="3" xfId="0" applyFont="1" applyFill="1" applyBorder="1"/>
    <xf numFmtId="0" fontId="3" fillId="0" borderId="3" xfId="0" applyFont="1" applyFill="1" applyBorder="1" applyAlignment="1">
      <alignment horizontal="justify" vertical="center" wrapText="1"/>
    </xf>
    <xf numFmtId="170" fontId="5" fillId="0" borderId="4" xfId="1"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xf>
    <xf numFmtId="170" fontId="5" fillId="0" borderId="4" xfId="2" applyNumberFormat="1" applyFont="1" applyFill="1" applyBorder="1" applyAlignment="1">
      <alignment horizontal="justify" vertical="center"/>
    </xf>
    <xf numFmtId="170" fontId="5" fillId="0" borderId="6" xfId="2" applyNumberFormat="1" applyFont="1" applyFill="1" applyBorder="1" applyAlignment="1">
      <alignment vertical="center"/>
    </xf>
    <xf numFmtId="10" fontId="5" fillId="0" borderId="3" xfId="0" applyNumberFormat="1" applyFont="1" applyFill="1" applyBorder="1" applyAlignment="1">
      <alignment horizontal="center" vertical="center" wrapText="1"/>
    </xf>
    <xf numFmtId="170" fontId="5" fillId="0" borderId="13" xfId="2" applyNumberFormat="1" applyFont="1" applyFill="1" applyBorder="1" applyAlignment="1">
      <alignment horizontal="justify" vertical="center"/>
    </xf>
    <xf numFmtId="170" fontId="3" fillId="0" borderId="3" xfId="2" applyNumberFormat="1" applyFont="1" applyFill="1" applyBorder="1" applyAlignment="1">
      <alignment horizontal="justify" vertical="center"/>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xf>
    <xf numFmtId="0" fontId="6" fillId="0" borderId="3" xfId="0" applyFont="1" applyFill="1" applyBorder="1" applyAlignment="1"/>
    <xf numFmtId="10" fontId="5" fillId="0" borderId="3" xfId="0" applyNumberFormat="1" applyFont="1" applyFill="1" applyBorder="1" applyAlignment="1">
      <alignment vertical="center" wrapText="1"/>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xf>
    <xf numFmtId="170" fontId="5" fillId="0" borderId="14" xfId="2" applyNumberFormat="1" applyFont="1" applyFill="1" applyBorder="1" applyAlignment="1">
      <alignment vertical="center"/>
    </xf>
    <xf numFmtId="0" fontId="5" fillId="0" borderId="15" xfId="0" applyFont="1" applyFill="1" applyBorder="1" applyAlignment="1">
      <alignment horizontal="justify" vertical="center" wrapText="1"/>
    </xf>
    <xf numFmtId="1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6" fillId="0" borderId="14" xfId="0" applyFont="1" applyFill="1" applyBorder="1" applyAlignment="1">
      <alignment horizontal="center"/>
    </xf>
    <xf numFmtId="0" fontId="6" fillId="0" borderId="14" xfId="0" applyFont="1" applyFill="1" applyBorder="1"/>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10" fontId="5" fillId="0" borderId="14" xfId="0" applyNumberFormat="1" applyFont="1" applyFill="1" applyBorder="1" applyAlignment="1">
      <alignment vertical="center" wrapText="1"/>
    </xf>
    <xf numFmtId="0" fontId="5" fillId="0" borderId="9"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6" borderId="10" xfId="0" applyNumberFormat="1" applyFont="1" applyFill="1" applyBorder="1" applyAlignment="1">
      <alignment horizontal="center" vertical="center" wrapText="1"/>
    </xf>
    <xf numFmtId="170" fontId="5" fillId="0" borderId="0" xfId="2" applyNumberFormat="1" applyFont="1" applyFill="1" applyBorder="1" applyAlignment="1">
      <alignment horizontal="justify" vertical="center"/>
    </xf>
    <xf numFmtId="0" fontId="9" fillId="0" borderId="10" xfId="0" applyFont="1" applyFill="1" applyBorder="1" applyAlignment="1">
      <alignment horizontal="left" vertical="center"/>
    </xf>
    <xf numFmtId="170" fontId="5" fillId="0" borderId="14" xfId="2" applyNumberFormat="1" applyFont="1" applyFill="1" applyBorder="1" applyAlignment="1">
      <alignment horizontal="justify" vertical="center"/>
    </xf>
    <xf numFmtId="172" fontId="3" fillId="6" borderId="11"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wrapText="1"/>
    </xf>
    <xf numFmtId="172" fontId="5" fillId="0" borderId="7"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5" fillId="2" borderId="3" xfId="1" applyNumberFormat="1" applyFont="1" applyFill="1" applyBorder="1" applyAlignment="1">
      <alignment horizontal="center" vertical="center"/>
    </xf>
    <xf numFmtId="172" fontId="5" fillId="0" borderId="6" xfId="1" applyNumberFormat="1" applyFont="1" applyFill="1" applyBorder="1" applyAlignment="1">
      <alignment horizontal="center" vertical="center"/>
    </xf>
    <xf numFmtId="172" fontId="6" fillId="0" borderId="3" xfId="1" applyNumberFormat="1" applyFont="1" applyFill="1" applyBorder="1" applyAlignment="1">
      <alignment horizontal="center"/>
    </xf>
    <xf numFmtId="172" fontId="5" fillId="0" borderId="14" xfId="1" applyNumberFormat="1" applyFont="1" applyFill="1" applyBorder="1" applyAlignment="1">
      <alignment horizontal="center" vertical="center"/>
    </xf>
    <xf numFmtId="172" fontId="5" fillId="2" borderId="7" xfId="1" applyNumberFormat="1" applyFont="1" applyFill="1" applyBorder="1" applyAlignment="1">
      <alignment horizontal="center" vertical="center"/>
    </xf>
    <xf numFmtId="0" fontId="5" fillId="6" borderId="10"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7" fillId="6" borderId="10" xfId="0" applyFont="1" applyFill="1" applyBorder="1" applyAlignment="1">
      <alignment horizontal="right" vertical="center" wrapText="1"/>
    </xf>
    <xf numFmtId="0" fontId="5" fillId="6" borderId="10" xfId="0" applyFont="1" applyFill="1" applyBorder="1" applyAlignment="1">
      <alignment horizontal="center" vertical="center" wrapText="1"/>
    </xf>
    <xf numFmtId="0" fontId="5" fillId="6" borderId="3" xfId="0" applyFont="1" applyFill="1" applyBorder="1" applyAlignment="1">
      <alignment horizontal="center" vertical="center" wrapText="1"/>
    </xf>
    <xf numFmtId="170" fontId="5" fillId="6" borderId="3" xfId="2" applyNumberFormat="1" applyFont="1" applyFill="1" applyBorder="1" applyAlignment="1">
      <alignment horizontal="justify" vertical="center"/>
    </xf>
    <xf numFmtId="0" fontId="3" fillId="6" borderId="3" xfId="0" applyFont="1" applyFill="1" applyBorder="1" applyAlignment="1">
      <alignment horizontal="center" vertical="center" wrapText="1"/>
    </xf>
    <xf numFmtId="0" fontId="3" fillId="6" borderId="3" xfId="0" applyFont="1" applyFill="1" applyBorder="1" applyAlignment="1">
      <alignment vertical="center"/>
    </xf>
    <xf numFmtId="167" fontId="5" fillId="0" borderId="3" xfId="1" applyNumberFormat="1" applyFont="1" applyFill="1" applyBorder="1" applyAlignment="1">
      <alignment horizontal="center" vertical="center"/>
    </xf>
    <xf numFmtId="170" fontId="8" fillId="0" borderId="3" xfId="2" applyNumberFormat="1" applyFont="1" applyFill="1" applyBorder="1" applyAlignment="1">
      <alignment horizontal="justify" vertical="center"/>
    </xf>
    <xf numFmtId="43" fontId="6" fillId="0" borderId="3" xfId="0" applyNumberFormat="1" applyFont="1" applyFill="1" applyBorder="1" applyAlignment="1">
      <alignment vertical="center"/>
    </xf>
    <xf numFmtId="0" fontId="6" fillId="0" borderId="0" xfId="0" applyFont="1"/>
    <xf numFmtId="0" fontId="6" fillId="0" borderId="0" xfId="0" applyFont="1" applyAlignment="1">
      <alignment horizontal="center"/>
    </xf>
    <xf numFmtId="0" fontId="6" fillId="0" borderId="0" xfId="0" applyFont="1" applyAlignment="1"/>
    <xf numFmtId="0" fontId="14" fillId="0" borderId="0" xfId="0" applyFont="1" applyBorder="1" applyAlignment="1">
      <alignment horizontal="center" vertical="center"/>
    </xf>
    <xf numFmtId="0" fontId="9" fillId="3" borderId="7" xfId="0" applyFont="1" applyFill="1" applyBorder="1" applyAlignment="1">
      <alignment horizontal="left" vertical="center"/>
    </xf>
    <xf numFmtId="0" fontId="9" fillId="3" borderId="11" xfId="0" applyFont="1" applyFill="1" applyBorder="1" applyAlignment="1">
      <alignment horizontal="left" vertical="center"/>
    </xf>
    <xf numFmtId="0" fontId="9" fillId="3" borderId="11" xfId="0" applyFont="1" applyFill="1" applyBorder="1" applyAlignment="1">
      <alignment horizontal="center" vertical="center"/>
    </xf>
    <xf numFmtId="172" fontId="9" fillId="3" borderId="11" xfId="1" applyNumberFormat="1" applyFont="1" applyFill="1" applyBorder="1" applyAlignment="1">
      <alignment horizontal="center" vertical="center"/>
    </xf>
    <xf numFmtId="0" fontId="9" fillId="3" borderId="11" xfId="0" applyFont="1" applyFill="1" applyBorder="1" applyAlignment="1">
      <alignment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xf>
    <xf numFmtId="0" fontId="3" fillId="4" borderId="11" xfId="0" applyFont="1" applyFill="1" applyBorder="1" applyAlignment="1">
      <alignment horizontal="center" vertical="center"/>
    </xf>
    <xf numFmtId="172" fontId="3" fillId="4" borderId="11" xfId="1" applyNumberFormat="1" applyFont="1" applyFill="1" applyBorder="1" applyAlignment="1">
      <alignment horizontal="center" vertical="center"/>
    </xf>
    <xf numFmtId="0" fontId="3" fillId="0" borderId="12" xfId="0" applyFont="1" applyFill="1" applyBorder="1" applyAlignment="1">
      <alignment vertical="center" wrapText="1"/>
    </xf>
    <xf numFmtId="0" fontId="3" fillId="5" borderId="7"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pplyAlignment="1">
      <alignment horizontal="center" vertical="center"/>
    </xf>
    <xf numFmtId="172" fontId="3" fillId="5" borderId="11" xfId="1"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5" fillId="0" borderId="3" xfId="0" applyFont="1" applyBorder="1" applyAlignment="1">
      <alignment horizontal="justify" vertical="center" wrapText="1"/>
    </xf>
    <xf numFmtId="0" fontId="5" fillId="7" borderId="3" xfId="0" applyFont="1" applyFill="1" applyBorder="1" applyAlignment="1">
      <alignment horizontal="justify" vertical="center" wrapText="1"/>
    </xf>
    <xf numFmtId="0" fontId="5" fillId="7" borderId="3" xfId="0" applyFont="1" applyFill="1" applyBorder="1" applyAlignment="1">
      <alignment horizontal="center" vertical="center" wrapText="1"/>
    </xf>
    <xf numFmtId="0" fontId="5" fillId="7" borderId="3" xfId="0" applyNumberFormat="1" applyFont="1" applyFill="1" applyBorder="1" applyAlignment="1">
      <alignment horizontal="center" vertical="center"/>
    </xf>
    <xf numFmtId="0" fontId="7" fillId="7" borderId="3" xfId="0" applyFont="1" applyFill="1" applyBorder="1" applyAlignment="1">
      <alignment horizontal="right" vertical="center" wrapText="1"/>
    </xf>
    <xf numFmtId="170" fontId="5" fillId="7" borderId="3" xfId="2" applyNumberFormat="1" applyFont="1" applyFill="1" applyBorder="1" applyAlignment="1">
      <alignment horizontal="justify" vertical="center"/>
    </xf>
    <xf numFmtId="0" fontId="6" fillId="0" borderId="0" xfId="0" applyFont="1" applyBorder="1"/>
    <xf numFmtId="0" fontId="3" fillId="0" borderId="1" xfId="0" applyFont="1" applyFill="1" applyBorder="1" applyAlignment="1">
      <alignment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3" xfId="0" applyNumberFormat="1" applyFont="1" applyFill="1" applyBorder="1" applyAlignment="1">
      <alignment horizontal="center" vertical="center"/>
    </xf>
    <xf numFmtId="0" fontId="7" fillId="5" borderId="3" xfId="0" applyFont="1" applyFill="1" applyBorder="1" applyAlignment="1">
      <alignment horizontal="right" vertical="center" wrapText="1"/>
    </xf>
    <xf numFmtId="170" fontId="5" fillId="5" borderId="3" xfId="2" applyNumberFormat="1" applyFont="1" applyFill="1" applyBorder="1" applyAlignment="1">
      <alignment horizontal="justify" vertical="center"/>
    </xf>
    <xf numFmtId="0" fontId="5" fillId="4" borderId="3" xfId="0" applyFont="1" applyFill="1" applyBorder="1" applyAlignment="1">
      <alignment horizontal="justify" vertical="center" wrapText="1"/>
    </xf>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7" fillId="4" borderId="3" xfId="0" applyFont="1" applyFill="1" applyBorder="1" applyAlignment="1">
      <alignment horizontal="right" vertical="center" wrapText="1"/>
    </xf>
    <xf numFmtId="170" fontId="5" fillId="4" borderId="3" xfId="2" applyNumberFormat="1" applyFont="1" applyFill="1" applyBorder="1" applyAlignment="1">
      <alignment horizontal="justify" vertical="center"/>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7" fillId="8" borderId="3" xfId="0" applyFont="1" applyFill="1" applyBorder="1" applyAlignment="1">
      <alignment horizontal="right" vertical="center" wrapText="1"/>
    </xf>
    <xf numFmtId="170" fontId="5" fillId="8" borderId="3" xfId="2" applyNumberFormat="1" applyFont="1" applyFill="1" applyBorder="1" applyAlignment="1">
      <alignment horizontal="justify" vertical="center"/>
    </xf>
    <xf numFmtId="0" fontId="5" fillId="0" borderId="7"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1" xfId="0" applyNumberFormat="1" applyFont="1" applyFill="1" applyBorder="1" applyAlignment="1">
      <alignment horizontal="center" vertical="center"/>
    </xf>
    <xf numFmtId="0" fontId="7" fillId="0" borderId="11" xfId="0" applyFont="1" applyFill="1" applyBorder="1" applyAlignment="1">
      <alignment horizontal="right" vertical="center" wrapText="1"/>
    </xf>
    <xf numFmtId="170" fontId="5" fillId="0" borderId="11" xfId="2" applyNumberFormat="1" applyFont="1" applyFill="1" applyBorder="1" applyAlignment="1">
      <alignment horizontal="justify" vertical="center"/>
    </xf>
    <xf numFmtId="170" fontId="5" fillId="2" borderId="11" xfId="2" applyNumberFormat="1" applyFont="1" applyFill="1" applyBorder="1" applyAlignment="1">
      <alignment horizontal="justify" vertical="center"/>
    </xf>
    <xf numFmtId="172" fontId="5" fillId="0" borderId="11" xfId="1" applyNumberFormat="1" applyFont="1" applyFill="1" applyBorder="1" applyAlignment="1">
      <alignment horizontal="center" vertical="center"/>
    </xf>
    <xf numFmtId="170" fontId="5" fillId="0" borderId="11" xfId="2" applyNumberFormat="1"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7" borderId="7" xfId="0" applyFont="1" applyFill="1" applyBorder="1" applyAlignment="1">
      <alignment horizontal="justify" vertical="center" wrapText="1"/>
    </xf>
    <xf numFmtId="0" fontId="3" fillId="7" borderId="11" xfId="0" applyFont="1" applyFill="1" applyBorder="1" applyAlignment="1">
      <alignment vertical="center"/>
    </xf>
    <xf numFmtId="172" fontId="3" fillId="7" borderId="11" xfId="1" applyNumberFormat="1" applyFont="1" applyFill="1" applyBorder="1" applyAlignment="1">
      <alignment horizontal="center" vertical="center"/>
    </xf>
    <xf numFmtId="0" fontId="5" fillId="9" borderId="7" xfId="0" applyFont="1" applyFill="1" applyBorder="1" applyAlignment="1">
      <alignment horizontal="justify" vertical="center" wrapText="1"/>
    </xf>
    <xf numFmtId="0" fontId="5" fillId="9" borderId="11" xfId="0" applyFont="1" applyFill="1" applyBorder="1" applyAlignment="1">
      <alignment horizontal="center" vertical="center" wrapText="1"/>
    </xf>
    <xf numFmtId="0" fontId="5" fillId="9" borderId="11" xfId="0" applyFont="1" applyFill="1" applyBorder="1" applyAlignment="1">
      <alignment horizontal="justify" vertical="center" wrapText="1"/>
    </xf>
    <xf numFmtId="0" fontId="5" fillId="9" borderId="11" xfId="0" applyNumberFormat="1" applyFont="1" applyFill="1" applyBorder="1" applyAlignment="1">
      <alignment horizontal="center" vertical="center"/>
    </xf>
    <xf numFmtId="0" fontId="5" fillId="9" borderId="11" xfId="0" applyNumberFormat="1" applyFont="1" applyFill="1" applyBorder="1" applyAlignment="1">
      <alignment horizontal="justify" vertical="center"/>
    </xf>
    <xf numFmtId="0" fontId="7" fillId="9" borderId="11" xfId="0" applyFont="1" applyFill="1" applyBorder="1" applyAlignment="1">
      <alignment horizontal="right" vertical="center" wrapText="1"/>
    </xf>
    <xf numFmtId="170" fontId="5" fillId="9" borderId="3" xfId="2" applyNumberFormat="1" applyFont="1" applyFill="1" applyBorder="1" applyAlignment="1">
      <alignment horizontal="justify" vertical="center"/>
    </xf>
    <xf numFmtId="170" fontId="5" fillId="0" borderId="2" xfId="2" applyNumberFormat="1" applyFont="1" applyFill="1" applyBorder="1" applyAlignment="1">
      <alignment horizontal="justify" vertical="center"/>
    </xf>
    <xf numFmtId="0" fontId="3" fillId="9" borderId="11" xfId="0" applyFont="1" applyFill="1" applyBorder="1" applyAlignment="1">
      <alignment vertical="center"/>
    </xf>
    <xf numFmtId="172" fontId="3" fillId="9" borderId="11" xfId="1" applyNumberFormat="1" applyFont="1" applyFill="1" applyBorder="1" applyAlignment="1">
      <alignment horizontal="center" vertical="center"/>
    </xf>
    <xf numFmtId="0" fontId="5" fillId="5" borderId="11" xfId="0" applyFont="1"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1" xfId="0" applyNumberFormat="1" applyFont="1" applyFill="1" applyBorder="1" applyAlignment="1">
      <alignment horizontal="center" vertical="center"/>
    </xf>
    <xf numFmtId="0" fontId="5" fillId="5" borderId="11" xfId="0" applyNumberFormat="1" applyFont="1" applyFill="1" applyBorder="1" applyAlignment="1">
      <alignment horizontal="justify" vertical="center"/>
    </xf>
    <xf numFmtId="0" fontId="7" fillId="5" borderId="11" xfId="0" applyFont="1" applyFill="1" applyBorder="1" applyAlignment="1">
      <alignment horizontal="right" vertical="center" wrapText="1"/>
    </xf>
    <xf numFmtId="170" fontId="5" fillId="5" borderId="11" xfId="2" applyNumberFormat="1" applyFont="1" applyFill="1" applyBorder="1" applyAlignment="1">
      <alignment horizontal="justify" vertical="center"/>
    </xf>
    <xf numFmtId="0" fontId="5" fillId="0" borderId="11" xfId="0" applyNumberFormat="1" applyFont="1" applyFill="1" applyBorder="1" applyAlignment="1">
      <alignment horizontal="justify" vertical="center"/>
    </xf>
    <xf numFmtId="0" fontId="5" fillId="0" borderId="6"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horizontal="center"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11" borderId="7" xfId="0" applyFont="1" applyFill="1" applyBorder="1" applyAlignment="1">
      <alignment horizontal="left" vertical="center"/>
    </xf>
    <xf numFmtId="0" fontId="3" fillId="11" borderId="11" xfId="0" applyFont="1" applyFill="1" applyBorder="1" applyAlignment="1">
      <alignment vertical="center"/>
    </xf>
    <xf numFmtId="172" fontId="3" fillId="11" borderId="11" xfId="1" applyNumberFormat="1" applyFont="1" applyFill="1" applyBorder="1" applyAlignment="1">
      <alignment horizontal="center" vertical="center"/>
    </xf>
    <xf numFmtId="0" fontId="3" fillId="0" borderId="9" xfId="0" applyFont="1" applyFill="1" applyBorder="1" applyAlignment="1">
      <alignment vertical="center" wrapText="1"/>
    </xf>
    <xf numFmtId="0" fontId="9" fillId="2" borderId="0" xfId="0" applyFont="1" applyFill="1" applyBorder="1" applyAlignment="1">
      <alignment vertical="center"/>
    </xf>
    <xf numFmtId="0" fontId="5" fillId="0" borderId="4" xfId="0" applyFont="1" applyFill="1" applyBorder="1" applyAlignment="1">
      <alignment horizontal="justify" vertical="center" wrapText="1"/>
    </xf>
    <xf numFmtId="0" fontId="5" fillId="0" borderId="12" xfId="0" applyNumberFormat="1" applyFont="1" applyFill="1" applyBorder="1" applyAlignment="1">
      <alignment horizontal="center" vertical="center"/>
    </xf>
    <xf numFmtId="0" fontId="7" fillId="0" borderId="12" xfId="0" applyFont="1" applyFill="1" applyBorder="1" applyAlignment="1">
      <alignment horizontal="right" vertical="center" wrapText="1"/>
    </xf>
    <xf numFmtId="170" fontId="5" fillId="0" borderId="12" xfId="2" applyNumberFormat="1" applyFont="1" applyFill="1" applyBorder="1" applyAlignment="1">
      <alignment horizontal="justify" vertical="center"/>
    </xf>
    <xf numFmtId="170" fontId="5" fillId="2" borderId="12" xfId="2" applyNumberFormat="1" applyFont="1" applyFill="1" applyBorder="1" applyAlignment="1">
      <alignment horizontal="justify" vertical="center"/>
    </xf>
    <xf numFmtId="172" fontId="5" fillId="0" borderId="12" xfId="1" applyNumberFormat="1" applyFont="1" applyFill="1" applyBorder="1" applyAlignment="1">
      <alignment horizontal="center" vertical="center"/>
    </xf>
    <xf numFmtId="0" fontId="9" fillId="3" borderId="4" xfId="0" applyFont="1" applyFill="1" applyBorder="1" applyAlignment="1">
      <alignment horizontal="left" vertical="center"/>
    </xf>
    <xf numFmtId="0" fontId="9" fillId="3" borderId="12" xfId="0" applyFont="1" applyFill="1" applyBorder="1" applyAlignment="1">
      <alignment horizontal="left" vertical="center"/>
    </xf>
    <xf numFmtId="0" fontId="9" fillId="3" borderId="12" xfId="0" applyFont="1" applyFill="1" applyBorder="1" applyAlignment="1">
      <alignment horizontal="center" vertical="center"/>
    </xf>
    <xf numFmtId="172" fontId="9" fillId="3" borderId="12" xfId="1" applyNumberFormat="1" applyFont="1" applyFill="1" applyBorder="1" applyAlignment="1">
      <alignment horizontal="center" vertical="center"/>
    </xf>
    <xf numFmtId="0" fontId="9" fillId="3" borderId="12" xfId="0" applyFont="1" applyFill="1" applyBorder="1" applyAlignment="1">
      <alignment vertical="center"/>
    </xf>
    <xf numFmtId="0" fontId="3" fillId="5" borderId="11" xfId="0" applyFont="1" applyFill="1" applyBorder="1" applyAlignment="1">
      <alignment horizontal="justify" vertical="center" wrapText="1"/>
    </xf>
    <xf numFmtId="0" fontId="3" fillId="0" borderId="11" xfId="0" applyFont="1" applyFill="1" applyBorder="1" applyAlignment="1">
      <alignment horizontal="center" vertical="center" wrapText="1"/>
    </xf>
    <xf numFmtId="170" fontId="3" fillId="7" borderId="11" xfId="0" applyNumberFormat="1" applyFont="1" applyFill="1" applyBorder="1" applyAlignment="1">
      <alignment vertical="center"/>
    </xf>
    <xf numFmtId="0" fontId="5" fillId="0" borderId="3" xfId="0" applyFont="1" applyBorder="1" applyAlignment="1">
      <alignment vertical="center" wrapText="1"/>
    </xf>
    <xf numFmtId="172" fontId="5" fillId="7" borderId="3" xfId="1" applyNumberFormat="1" applyFont="1" applyFill="1" applyBorder="1" applyAlignment="1">
      <alignment horizontal="center" vertical="center"/>
    </xf>
    <xf numFmtId="170" fontId="5" fillId="7" borderId="3" xfId="2" applyNumberFormat="1" applyFont="1" applyFill="1" applyBorder="1" applyAlignment="1">
      <alignment vertical="center"/>
    </xf>
    <xf numFmtId="170" fontId="5" fillId="5" borderId="3" xfId="2" applyNumberFormat="1" applyFont="1" applyFill="1" applyBorder="1" applyAlignment="1">
      <alignment vertical="center"/>
    </xf>
    <xf numFmtId="172" fontId="5" fillId="4" borderId="3" xfId="1" applyNumberFormat="1" applyFont="1" applyFill="1" applyBorder="1" applyAlignment="1">
      <alignment horizontal="center" vertical="center"/>
    </xf>
    <xf numFmtId="172" fontId="5" fillId="8" borderId="3" xfId="1" applyNumberFormat="1" applyFont="1" applyFill="1" applyBorder="1" applyAlignment="1">
      <alignment horizontal="center" vertical="center"/>
    </xf>
    <xf numFmtId="0" fontId="3" fillId="5" borderId="7" xfId="0" applyFont="1" applyFill="1" applyBorder="1" applyAlignment="1">
      <alignment horizontal="justify" vertical="center" wrapText="1"/>
    </xf>
    <xf numFmtId="0" fontId="5" fillId="7" borderId="3" xfId="0" applyNumberFormat="1" applyFont="1" applyFill="1" applyBorder="1" applyAlignment="1">
      <alignment horizontal="center" vertical="center" wrapText="1"/>
    </xf>
    <xf numFmtId="170" fontId="5" fillId="2" borderId="3" xfId="2" applyNumberFormat="1" applyFont="1" applyFill="1" applyBorder="1" applyAlignment="1">
      <alignment horizontal="justify" vertical="center"/>
    </xf>
    <xf numFmtId="0" fontId="5" fillId="0" borderId="7"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0" fontId="3" fillId="7" borderId="3" xfId="0" applyFont="1" applyFill="1" applyBorder="1" applyAlignment="1">
      <alignment horizontal="justify" vertical="center" wrapText="1"/>
    </xf>
    <xf numFmtId="170" fontId="5" fillId="7" borderId="3" xfId="0" applyNumberFormat="1" applyFont="1" applyFill="1" applyBorder="1" applyAlignment="1">
      <alignment horizontal="justify" vertical="center" wrapText="1"/>
    </xf>
    <xf numFmtId="170" fontId="5" fillId="7"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70" fontId="5" fillId="2" borderId="0" xfId="2" applyNumberFormat="1" applyFont="1" applyFill="1" applyBorder="1" applyAlignment="1">
      <alignment horizontal="justify" vertical="center"/>
    </xf>
    <xf numFmtId="0" fontId="3" fillId="5" borderId="3" xfId="0" applyFont="1" applyFill="1" applyBorder="1" applyAlignment="1">
      <alignment horizontal="justify" vertical="center" wrapText="1"/>
    </xf>
    <xf numFmtId="3" fontId="3" fillId="7" borderId="11" xfId="0" applyNumberFormat="1" applyFont="1" applyFill="1" applyBorder="1" applyAlignment="1">
      <alignment vertical="center"/>
    </xf>
    <xf numFmtId="0" fontId="5" fillId="12" borderId="3" xfId="0" applyFont="1" applyFill="1" applyBorder="1" applyAlignment="1">
      <alignment horizontal="justify" vertical="center" wrapText="1"/>
    </xf>
    <xf numFmtId="0" fontId="5" fillId="12" borderId="3" xfId="0" applyFont="1" applyFill="1" applyBorder="1" applyAlignment="1">
      <alignment horizontal="center" vertical="center" wrapText="1"/>
    </xf>
    <xf numFmtId="0" fontId="5" fillId="12" borderId="3" xfId="0" applyNumberFormat="1" applyFont="1" applyFill="1" applyBorder="1" applyAlignment="1">
      <alignment horizontal="center" vertical="center" wrapText="1"/>
    </xf>
    <xf numFmtId="0" fontId="7" fillId="12" borderId="3" xfId="0" applyFont="1" applyFill="1" applyBorder="1" applyAlignment="1">
      <alignment horizontal="right" vertical="center" wrapText="1"/>
    </xf>
    <xf numFmtId="170" fontId="5" fillId="12" borderId="3" xfId="0" applyNumberFormat="1" applyFont="1" applyFill="1" applyBorder="1" applyAlignment="1">
      <alignment horizontal="justify" vertical="center" wrapText="1"/>
    </xf>
    <xf numFmtId="170" fontId="5" fillId="12" borderId="3" xfId="2" applyNumberFormat="1" applyFont="1" applyFill="1" applyBorder="1" applyAlignment="1">
      <alignment horizontal="justify" vertical="center"/>
    </xf>
    <xf numFmtId="0" fontId="5" fillId="8" borderId="3" xfId="0" applyNumberFormat="1" applyFont="1" applyFill="1" applyBorder="1" applyAlignment="1">
      <alignment horizontal="center" vertical="center" wrapText="1"/>
    </xf>
    <xf numFmtId="0" fontId="3" fillId="7" borderId="7" xfId="0" applyFont="1" applyFill="1" applyBorder="1" applyAlignment="1">
      <alignment vertical="center"/>
    </xf>
    <xf numFmtId="0" fontId="5" fillId="0" borderId="11"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5" fillId="7" borderId="3"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2" xfId="2" applyNumberFormat="1" applyFont="1" applyFill="1" applyBorder="1" applyAlignment="1">
      <alignment horizontal="center" vertical="center"/>
    </xf>
    <xf numFmtId="170" fontId="5" fillId="0" borderId="1" xfId="2" applyNumberFormat="1" applyFont="1" applyFill="1" applyBorder="1" applyAlignment="1">
      <alignment horizontal="justify" vertical="center"/>
    </xf>
    <xf numFmtId="172" fontId="5" fillId="0" borderId="1" xfId="1" applyNumberFormat="1" applyFont="1" applyFill="1" applyBorder="1" applyAlignment="1">
      <alignment horizontal="center" vertical="center"/>
    </xf>
    <xf numFmtId="0" fontId="3" fillId="7" borderId="12" xfId="0" applyFont="1" applyFill="1" applyBorder="1" applyAlignment="1">
      <alignment vertical="center"/>
    </xf>
    <xf numFmtId="172" fontId="3" fillId="7" borderId="12" xfId="1" applyNumberFormat="1" applyFont="1" applyFill="1" applyBorder="1" applyAlignment="1">
      <alignment horizontal="center" vertical="center"/>
    </xf>
    <xf numFmtId="170" fontId="5" fillId="0" borderId="1" xfId="2" applyNumberFormat="1" applyFont="1" applyFill="1" applyBorder="1" applyAlignment="1">
      <alignment vertical="center"/>
    </xf>
    <xf numFmtId="0" fontId="3" fillId="5" borderId="12" xfId="0" applyFont="1" applyFill="1" applyBorder="1" applyAlignment="1">
      <alignment vertical="center"/>
    </xf>
    <xf numFmtId="172" fontId="3" fillId="5" borderId="12" xfId="1"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172" fontId="5" fillId="0" borderId="0" xfId="1" applyNumberFormat="1" applyFont="1" applyFill="1" applyBorder="1" applyAlignment="1">
      <alignment horizontal="center" vertical="center"/>
    </xf>
    <xf numFmtId="170" fontId="5" fillId="0" borderId="0" xfId="2" applyNumberFormat="1" applyFont="1" applyFill="1" applyBorder="1" applyAlignment="1">
      <alignment vertical="center"/>
    </xf>
    <xf numFmtId="170" fontId="5" fillId="0" borderId="7" xfId="2" applyNumberFormat="1" applyFont="1" applyBorder="1" applyAlignment="1">
      <alignment horizontal="justify" vertical="center"/>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5" fillId="0" borderId="14" xfId="0" applyFont="1" applyBorder="1" applyAlignment="1">
      <alignment vertical="center" wrapText="1"/>
    </xf>
    <xf numFmtId="0" fontId="5" fillId="7" borderId="6" xfId="0" applyNumberFormat="1" applyFont="1" applyFill="1" applyBorder="1" applyAlignment="1">
      <alignment horizontal="center" vertical="center"/>
    </xf>
    <xf numFmtId="0" fontId="7" fillId="7" borderId="6" xfId="0" applyFont="1" applyFill="1" applyBorder="1" applyAlignment="1">
      <alignment horizontal="right" vertical="center" wrapText="1"/>
    </xf>
    <xf numFmtId="170" fontId="5" fillId="7" borderId="6" xfId="2" applyNumberFormat="1" applyFont="1" applyFill="1" applyBorder="1" applyAlignment="1">
      <alignment horizontal="justify" vertical="center"/>
    </xf>
    <xf numFmtId="0" fontId="3" fillId="5" borderId="3" xfId="0" applyFont="1" applyFill="1" applyBorder="1" applyAlignment="1">
      <alignment horizontal="center" vertical="center" wrapText="1"/>
    </xf>
    <xf numFmtId="0" fontId="3" fillId="6" borderId="7" xfId="0" applyFont="1" applyFill="1" applyBorder="1" applyAlignment="1">
      <alignment horizontal="justify" vertical="center" wrapText="1"/>
    </xf>
    <xf numFmtId="0" fontId="5" fillId="7" borderId="3" xfId="0" applyFont="1" applyFill="1" applyBorder="1" applyAlignment="1">
      <alignment horizontal="justify" vertical="center"/>
    </xf>
    <xf numFmtId="0" fontId="5" fillId="0" borderId="11" xfId="0" applyFont="1" applyFill="1" applyBorder="1" applyAlignment="1">
      <alignment horizontal="justify" vertical="center"/>
    </xf>
    <xf numFmtId="0" fontId="9" fillId="10" borderId="0" xfId="0" applyFont="1" applyFill="1" applyBorder="1" applyAlignment="1">
      <alignment vertical="center"/>
    </xf>
    <xf numFmtId="170" fontId="5" fillId="0" borderId="12" xfId="2" applyNumberFormat="1" applyFont="1" applyFill="1" applyBorder="1" applyAlignment="1">
      <alignment vertical="center"/>
    </xf>
    <xf numFmtId="172" fontId="9" fillId="3" borderId="3" xfId="1" applyNumberFormat="1" applyFont="1" applyFill="1" applyBorder="1" applyAlignment="1">
      <alignment horizontal="center" vertical="center"/>
    </xf>
    <xf numFmtId="172" fontId="5" fillId="0" borderId="10" xfId="1" applyNumberFormat="1" applyFont="1" applyFill="1" applyBorder="1" applyAlignment="1">
      <alignment horizontal="center" vertical="center"/>
    </xf>
    <xf numFmtId="170" fontId="5" fillId="0" borderId="10" xfId="2" applyNumberFormat="1" applyFont="1" applyFill="1" applyBorder="1" applyAlignment="1">
      <alignment vertical="center"/>
    </xf>
    <xf numFmtId="0" fontId="9" fillId="0" borderId="8" xfId="0" applyFont="1" applyFill="1" applyBorder="1" applyAlignment="1">
      <alignment horizontal="left" vertical="center"/>
    </xf>
    <xf numFmtId="37" fontId="7" fillId="0" borderId="3" xfId="2" applyNumberFormat="1" applyFont="1" applyFill="1" applyBorder="1" applyAlignment="1">
      <alignment horizontal="right" vertical="center"/>
    </xf>
    <xf numFmtId="170" fontId="5" fillId="0" borderId="8" xfId="2" applyNumberFormat="1" applyFont="1" applyFill="1" applyBorder="1" applyAlignment="1">
      <alignment horizontal="justify"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3" xfId="0" applyFont="1" applyFill="1" applyBorder="1" applyAlignment="1">
      <alignment horizontal="justify" vertical="center"/>
    </xf>
    <xf numFmtId="0" fontId="5" fillId="7" borderId="3"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10" xfId="0" applyFont="1" applyFill="1" applyBorder="1" applyAlignment="1">
      <alignment horizontal="justify" vertical="center"/>
    </xf>
    <xf numFmtId="0" fontId="3" fillId="0" borderId="10"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170" fontId="5" fillId="0" borderId="3" xfId="2" applyNumberFormat="1" applyFont="1" applyBorder="1" applyAlignment="1">
      <alignment horizontal="justify" vertical="center"/>
    </xf>
    <xf numFmtId="0" fontId="5" fillId="0" borderId="9" xfId="0" applyFont="1" applyBorder="1" applyAlignment="1">
      <alignment horizontal="center" vertical="center" wrapText="1"/>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11" borderId="7" xfId="0" applyFont="1" applyFill="1" applyBorder="1" applyAlignment="1">
      <alignment horizontal="left" vertical="center" wrapText="1"/>
    </xf>
    <xf numFmtId="170" fontId="5" fillId="2" borderId="3" xfId="2" applyNumberFormat="1" applyFont="1" applyFill="1" applyBorder="1" applyAlignment="1">
      <alignment vertical="center"/>
    </xf>
    <xf numFmtId="0" fontId="5" fillId="0" borderId="12" xfId="0" applyFont="1" applyFill="1" applyBorder="1" applyAlignment="1">
      <alignment horizontal="center" vertical="center"/>
    </xf>
    <xf numFmtId="0" fontId="5" fillId="0" borderId="3" xfId="0" applyFont="1" applyBorder="1" applyAlignment="1">
      <alignment horizontal="center" vertical="center"/>
    </xf>
    <xf numFmtId="0" fontId="3" fillId="0" borderId="8"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11" xfId="0" applyFont="1" applyFill="1" applyBorder="1" applyAlignment="1">
      <alignment horizontal="justify" vertical="center"/>
    </xf>
    <xf numFmtId="0" fontId="3" fillId="7" borderId="11" xfId="0" applyFont="1" applyFill="1" applyBorder="1" applyAlignment="1">
      <alignment horizontal="justify" vertical="center" wrapText="1"/>
    </xf>
    <xf numFmtId="0" fontId="5" fillId="2" borderId="3" xfId="0" applyNumberFormat="1" applyFont="1" applyFill="1" applyBorder="1" applyAlignment="1">
      <alignment horizontal="center" vertical="center" wrapText="1"/>
    </xf>
    <xf numFmtId="0" fontId="3" fillId="7" borderId="10"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7" borderId="0" xfId="0" applyFont="1" applyFill="1" applyBorder="1" applyAlignment="1">
      <alignment vertical="center"/>
    </xf>
    <xf numFmtId="0" fontId="5" fillId="2" borderId="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172" fontId="9" fillId="3" borderId="11" xfId="1" applyNumberFormat="1" applyFont="1" applyFill="1" applyBorder="1" applyAlignment="1">
      <alignment horizontal="center" vertical="center" wrapText="1"/>
    </xf>
    <xf numFmtId="0" fontId="9" fillId="3" borderId="11" xfId="0" applyFont="1" applyFill="1" applyBorder="1" applyAlignment="1">
      <alignment vertical="center" wrapText="1"/>
    </xf>
    <xf numFmtId="43" fontId="5" fillId="0" borderId="14" xfId="2" applyFont="1" applyFill="1" applyBorder="1" applyAlignment="1">
      <alignment horizontal="center" vertical="center"/>
    </xf>
    <xf numFmtId="170" fontId="5" fillId="0" borderId="14" xfId="3" applyNumberFormat="1" applyFont="1" applyFill="1" applyBorder="1" applyAlignment="1">
      <alignment horizontal="center" vertical="center"/>
    </xf>
    <xf numFmtId="172" fontId="5" fillId="0" borderId="7" xfId="1" applyNumberFormat="1" applyFont="1" applyFill="1" applyBorder="1" applyAlignment="1">
      <alignment horizontal="center" vertical="center" wrapText="1"/>
    </xf>
    <xf numFmtId="170" fontId="5" fillId="0" borderId="7" xfId="1" applyNumberFormat="1" applyFont="1" applyFill="1" applyBorder="1" applyAlignment="1">
      <alignment horizontal="center" vertical="center" wrapText="1"/>
    </xf>
    <xf numFmtId="3" fontId="5" fillId="0" borderId="3" xfId="2" applyNumberFormat="1" applyFont="1" applyFill="1" applyBorder="1" applyAlignment="1">
      <alignment vertical="center"/>
    </xf>
    <xf numFmtId="170" fontId="5" fillId="0" borderId="11" xfId="0" applyNumberFormat="1" applyFont="1" applyFill="1" applyBorder="1" applyAlignment="1">
      <alignment horizontal="justify" vertical="center" wrapText="1"/>
    </xf>
    <xf numFmtId="170" fontId="5" fillId="2" borderId="11" xfId="0" applyNumberFormat="1" applyFont="1" applyFill="1" applyBorder="1" applyAlignment="1">
      <alignment horizontal="justify" vertical="center" wrapText="1"/>
    </xf>
    <xf numFmtId="172" fontId="5" fillId="0" borderId="11" xfId="1" applyNumberFormat="1" applyFont="1" applyFill="1" applyBorder="1" applyAlignment="1">
      <alignment horizontal="center" vertical="center" wrapText="1"/>
    </xf>
    <xf numFmtId="170" fontId="5" fillId="0" borderId="11" xfId="0" applyNumberFormat="1" applyFont="1" applyFill="1" applyBorder="1" applyAlignment="1">
      <alignment vertical="center" wrapText="1"/>
    </xf>
    <xf numFmtId="3" fontId="5" fillId="7" borderId="3" xfId="0" applyNumberFormat="1" applyFont="1" applyFill="1" applyBorder="1" applyAlignment="1">
      <alignment horizontal="justify" vertical="center" wrapText="1"/>
    </xf>
    <xf numFmtId="170" fontId="5" fillId="5" borderId="3" xfId="0" applyNumberFormat="1"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7" fillId="6" borderId="3" xfId="0" applyFont="1" applyFill="1" applyBorder="1" applyAlignment="1">
      <alignment horizontal="right" vertical="center" wrapText="1"/>
    </xf>
    <xf numFmtId="172" fontId="5" fillId="6" borderId="3" xfId="1" applyNumberFormat="1" applyFont="1" applyFill="1" applyBorder="1" applyAlignment="1">
      <alignment horizontal="center" vertical="center"/>
    </xf>
    <xf numFmtId="170" fontId="5" fillId="6" borderId="3" xfId="1" applyNumberFormat="1" applyFont="1" applyFill="1" applyBorder="1" applyAlignment="1">
      <alignment horizontal="center" vertical="center"/>
    </xf>
    <xf numFmtId="0" fontId="3" fillId="7" borderId="11" xfId="0" applyFont="1" applyFill="1" applyBorder="1" applyAlignment="1">
      <alignment horizontal="center" vertical="center" wrapText="1"/>
    </xf>
    <xf numFmtId="0" fontId="5" fillId="7" borderId="11" xfId="0" applyFont="1" applyFill="1" applyBorder="1" applyAlignment="1">
      <alignment horizontal="justify" vertical="center" wrapText="1"/>
    </xf>
    <xf numFmtId="0" fontId="5" fillId="7" borderId="11" xfId="0" applyNumberFormat="1" applyFont="1" applyFill="1" applyBorder="1" applyAlignment="1">
      <alignment horizontal="center" vertical="center" wrapText="1"/>
    </xf>
    <xf numFmtId="0" fontId="7" fillId="7" borderId="11" xfId="0" applyFont="1" applyFill="1" applyBorder="1" applyAlignment="1">
      <alignment horizontal="right" vertical="center" wrapText="1"/>
    </xf>
    <xf numFmtId="0" fontId="5" fillId="7" borderId="11" xfId="0" applyFont="1" applyFill="1" applyBorder="1" applyAlignment="1">
      <alignment horizontal="center" vertical="center" wrapText="1"/>
    </xf>
    <xf numFmtId="170" fontId="5" fillId="7" borderId="11" xfId="2" applyNumberFormat="1" applyFont="1" applyFill="1" applyBorder="1" applyAlignment="1">
      <alignment horizontal="justify" vertical="center"/>
    </xf>
    <xf numFmtId="0" fontId="3" fillId="0" borderId="11" xfId="0" applyFont="1" applyFill="1" applyBorder="1" applyAlignment="1">
      <alignment horizontal="justify" vertical="center" wrapText="1"/>
    </xf>
    <xf numFmtId="0" fontId="5" fillId="0" borderId="14" xfId="0" applyFont="1" applyFill="1" applyBorder="1" applyAlignment="1">
      <alignment vertical="center"/>
    </xf>
    <xf numFmtId="170" fontId="5" fillId="0" borderId="3" xfId="2" applyNumberFormat="1" applyFont="1" applyFill="1" applyBorder="1" applyAlignment="1">
      <alignment horizontal="justify" vertical="center" wrapText="1"/>
    </xf>
    <xf numFmtId="0" fontId="5" fillId="0" borderId="10" xfId="0" applyFont="1" applyFill="1" applyBorder="1" applyAlignment="1">
      <alignment vertical="center"/>
    </xf>
    <xf numFmtId="0" fontId="7" fillId="7" borderId="3" xfId="0" applyFont="1" applyFill="1" applyBorder="1" applyAlignment="1">
      <alignment horizontal="right" vertical="center"/>
    </xf>
    <xf numFmtId="170" fontId="5" fillId="7" borderId="3" xfId="0" applyNumberFormat="1" applyFont="1" applyFill="1" applyBorder="1" applyAlignment="1">
      <alignment horizontal="justify" vertical="center"/>
    </xf>
    <xf numFmtId="0" fontId="7" fillId="0" borderId="11" xfId="0" applyFont="1" applyFill="1" applyBorder="1" applyAlignment="1">
      <alignment horizontal="right" vertical="center"/>
    </xf>
    <xf numFmtId="170" fontId="5" fillId="0" borderId="11" xfId="0" applyNumberFormat="1" applyFont="1" applyFill="1" applyBorder="1" applyAlignment="1">
      <alignment horizontal="justify" vertical="center"/>
    </xf>
    <xf numFmtId="170" fontId="5" fillId="0" borderId="11" xfId="0" applyNumberFormat="1" applyFont="1" applyFill="1" applyBorder="1" applyAlignment="1">
      <alignment vertical="center"/>
    </xf>
    <xf numFmtId="0" fontId="3" fillId="7" borderId="3" xfId="0" applyFont="1" applyFill="1" applyBorder="1" applyAlignment="1">
      <alignment horizontal="justify" vertical="center"/>
    </xf>
    <xf numFmtId="0" fontId="5" fillId="2" borderId="10" xfId="0" applyNumberFormat="1" applyFont="1" applyFill="1" applyBorder="1" applyAlignment="1">
      <alignment horizontal="center" vertical="center" wrapText="1"/>
    </xf>
    <xf numFmtId="0" fontId="5" fillId="7" borderId="6"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6" xfId="0" applyNumberFormat="1" applyFont="1" applyFill="1" applyBorder="1" applyAlignment="1">
      <alignment horizontal="center" vertical="center" wrapText="1"/>
    </xf>
    <xf numFmtId="0" fontId="7" fillId="5" borderId="6" xfId="0" applyFont="1" applyFill="1" applyBorder="1" applyAlignment="1">
      <alignment horizontal="right" vertical="center" wrapText="1"/>
    </xf>
    <xf numFmtId="170" fontId="5" fillId="5" borderId="6" xfId="2" applyNumberFormat="1" applyFont="1" applyFill="1" applyBorder="1" applyAlignment="1">
      <alignment horizontal="justify" vertical="center"/>
    </xf>
    <xf numFmtId="0" fontId="5" fillId="4" borderId="5" xfId="0" applyFont="1" applyFill="1" applyBorder="1" applyAlignment="1">
      <alignment horizontal="justify" vertical="center" wrapText="1"/>
    </xf>
    <xf numFmtId="0" fontId="5" fillId="4" borderId="6" xfId="0" applyNumberFormat="1" applyFont="1" applyFill="1" applyBorder="1" applyAlignment="1">
      <alignment horizontal="center" vertical="center" wrapText="1"/>
    </xf>
    <xf numFmtId="0" fontId="7" fillId="4" borderId="6" xfId="0" applyFont="1" applyFill="1" applyBorder="1" applyAlignment="1">
      <alignment horizontal="right" vertical="center" wrapText="1"/>
    </xf>
    <xf numFmtId="170" fontId="5" fillId="4" borderId="6" xfId="2" applyNumberFormat="1" applyFont="1" applyFill="1" applyBorder="1" applyAlignment="1">
      <alignment horizontal="justify" vertical="center"/>
    </xf>
    <xf numFmtId="43" fontId="5" fillId="7" borderId="3" xfId="2" applyNumberFormat="1" applyFont="1" applyFill="1" applyBorder="1" applyAlignment="1">
      <alignment horizontal="justify" vertical="center"/>
    </xf>
    <xf numFmtId="43" fontId="5" fillId="5" borderId="3" xfId="2" applyNumberFormat="1" applyFont="1" applyFill="1" applyBorder="1" applyAlignment="1">
      <alignment horizontal="justify" vertical="center"/>
    </xf>
    <xf numFmtId="3" fontId="5" fillId="7" borderId="3" xfId="0" applyNumberFormat="1" applyFont="1" applyFill="1" applyBorder="1" applyAlignment="1">
      <alignment horizontal="center" vertical="center" wrapText="1"/>
    </xf>
    <xf numFmtId="4" fontId="5" fillId="7" borderId="3"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170" fontId="3" fillId="7" borderId="11" xfId="1" applyNumberFormat="1" applyFont="1" applyFill="1" applyBorder="1" applyAlignment="1">
      <alignment vertical="center"/>
    </xf>
    <xf numFmtId="3" fontId="5" fillId="0" borderId="3" xfId="0" applyNumberFormat="1" applyFont="1" applyFill="1" applyBorder="1" applyAlignment="1">
      <alignment horizontal="left" vertical="center" wrapText="1"/>
    </xf>
    <xf numFmtId="43" fontId="5" fillId="0" borderId="3" xfId="2" applyFont="1" applyFill="1" applyBorder="1" applyAlignment="1">
      <alignment horizontal="justify" vertical="center"/>
    </xf>
    <xf numFmtId="10"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0" fontId="3" fillId="7" borderId="12" xfId="0" applyFont="1" applyFill="1" applyBorder="1" applyAlignment="1">
      <alignment horizontal="justify" vertical="center" wrapText="1"/>
    </xf>
    <xf numFmtId="10" fontId="5" fillId="0" borderId="9"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3" fontId="5" fillId="7" borderId="3" xfId="0" applyNumberFormat="1" applyFont="1" applyFill="1" applyBorder="1" applyAlignment="1">
      <alignment horizontal="center" vertical="center"/>
    </xf>
    <xf numFmtId="9" fontId="5" fillId="0" borderId="10" xfId="0" applyNumberFormat="1" applyFont="1" applyFill="1" applyBorder="1" applyAlignment="1">
      <alignment vertical="center" wrapText="1"/>
    </xf>
    <xf numFmtId="10" fontId="5" fillId="0" borderId="3"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justify" vertical="center" wrapText="1"/>
    </xf>
    <xf numFmtId="170" fontId="5" fillId="2" borderId="1" xfId="2" applyNumberFormat="1" applyFont="1" applyFill="1" applyBorder="1" applyAlignment="1">
      <alignment horizontal="justify" vertical="center"/>
    </xf>
    <xf numFmtId="10" fontId="5" fillId="0" borderId="10" xfId="0" applyNumberFormat="1" applyFont="1" applyFill="1" applyBorder="1" applyAlignment="1">
      <alignment vertical="center" wrapText="1"/>
    </xf>
    <xf numFmtId="0" fontId="6" fillId="0" borderId="0" xfId="0" applyFont="1" applyFill="1" applyBorder="1" applyAlignment="1">
      <alignment horizontal="left" vertical="center" wrapText="1"/>
    </xf>
    <xf numFmtId="13" fontId="5" fillId="0" borderId="14" xfId="0"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6" fillId="0" borderId="0" xfId="0" applyFont="1" applyBorder="1" applyAlignment="1">
      <alignment horizontal="left" vertical="center" wrapText="1"/>
    </xf>
    <xf numFmtId="0" fontId="5" fillId="5" borderId="9" xfId="0" applyFont="1" applyFill="1" applyBorder="1" applyAlignment="1">
      <alignment horizontal="justify" vertical="center" wrapText="1"/>
    </xf>
    <xf numFmtId="3" fontId="5" fillId="5" borderId="3" xfId="0" applyNumberFormat="1" applyFont="1" applyFill="1" applyBorder="1" applyAlignment="1">
      <alignment horizontal="center" vertical="center"/>
    </xf>
    <xf numFmtId="170" fontId="5" fillId="0" borderId="3" xfId="2" applyNumberFormat="1" applyFont="1" applyFill="1" applyBorder="1" applyAlignment="1">
      <alignment vertical="center" wrapText="1"/>
    </xf>
    <xf numFmtId="0" fontId="5" fillId="7" borderId="3" xfId="0" applyFont="1" applyFill="1" applyBorder="1" applyAlignment="1">
      <alignment horizontal="right" vertical="center" wrapText="1"/>
    </xf>
    <xf numFmtId="3" fontId="5" fillId="2" borderId="3" xfId="0" applyNumberFormat="1" applyFont="1" applyFill="1" applyBorder="1" applyAlignment="1">
      <alignment horizontal="center" vertical="center"/>
    </xf>
    <xf numFmtId="170" fontId="5" fillId="2" borderId="3" xfId="2" applyNumberFormat="1" applyFont="1" applyFill="1" applyBorder="1" applyAlignment="1">
      <alignment horizontal="justify" vertical="center" wrapText="1"/>
    </xf>
    <xf numFmtId="172" fontId="5" fillId="0" borderId="3" xfId="1" applyNumberFormat="1" applyFont="1" applyBorder="1" applyAlignment="1">
      <alignment horizontal="center" vertical="center" wrapText="1"/>
    </xf>
    <xf numFmtId="0" fontId="5" fillId="0" borderId="7" xfId="0" applyFont="1" applyBorder="1" applyAlignment="1">
      <alignment horizontal="justify" vertical="center" wrapText="1"/>
    </xf>
    <xf numFmtId="9" fontId="5" fillId="0" borderId="3" xfId="3" applyFont="1" applyFill="1" applyBorder="1" applyAlignment="1">
      <alignment horizontal="center" vertical="center" wrapText="1"/>
    </xf>
    <xf numFmtId="171" fontId="6" fillId="2" borderId="3" xfId="0" applyNumberFormat="1" applyFont="1" applyFill="1" applyBorder="1" applyAlignment="1">
      <alignment horizontal="right" vertical="center"/>
    </xf>
    <xf numFmtId="171" fontId="6" fillId="0" borderId="3" xfId="0" applyNumberFormat="1" applyFont="1" applyFill="1" applyBorder="1" applyAlignment="1">
      <alignment horizontal="right" vertical="center"/>
    </xf>
    <xf numFmtId="9" fontId="5" fillId="7" borderId="3" xfId="3" applyFont="1" applyFill="1" applyBorder="1" applyAlignment="1">
      <alignment horizontal="center" vertical="center" wrapText="1"/>
    </xf>
    <xf numFmtId="3" fontId="5" fillId="7" borderId="3" xfId="0" applyNumberFormat="1" applyFont="1" applyFill="1" applyBorder="1" applyAlignment="1">
      <alignment horizontal="right" vertical="center" wrapText="1"/>
    </xf>
    <xf numFmtId="3" fontId="5" fillId="0" borderId="3" xfId="0" applyNumberFormat="1" applyFont="1" applyBorder="1" applyAlignment="1">
      <alignment horizontal="center" vertical="center" wrapText="1"/>
    </xf>
    <xf numFmtId="3" fontId="6" fillId="0" borderId="6" xfId="0" applyNumberFormat="1" applyFont="1" applyFill="1" applyBorder="1" applyAlignment="1">
      <alignment horizontal="center" vertical="center"/>
    </xf>
    <xf numFmtId="170" fontId="6" fillId="2" borderId="3" xfId="0" applyNumberFormat="1" applyFont="1" applyFill="1" applyBorder="1" applyAlignment="1">
      <alignment horizontal="left" vertical="center"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3" fontId="5" fillId="7" borderId="3"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5" borderId="2" xfId="0" applyFont="1" applyFill="1" applyBorder="1" applyAlignment="1">
      <alignment horizontal="right" vertical="center" wrapText="1"/>
    </xf>
    <xf numFmtId="0" fontId="5" fillId="5" borderId="3"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xf>
    <xf numFmtId="0" fontId="6" fillId="0" borderId="0" xfId="0" applyFont="1" applyBorder="1" applyAlignment="1">
      <alignment horizontal="right"/>
    </xf>
    <xf numFmtId="49" fontId="5" fillId="10" borderId="2" xfId="0"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49" fontId="5" fillId="5" borderId="2" xfId="0" applyNumberFormat="1" applyFont="1" applyFill="1" applyBorder="1" applyAlignment="1">
      <alignment horizontal="justify"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justify" vertical="center" wrapText="1"/>
    </xf>
    <xf numFmtId="0" fontId="6" fillId="2" borderId="0" xfId="0" applyFont="1" applyFill="1" applyBorder="1"/>
    <xf numFmtId="49" fontId="5" fillId="4" borderId="3" xfId="0" applyNumberFormat="1" applyFont="1" applyFill="1" applyBorder="1" applyAlignment="1">
      <alignment horizontal="justify" vertical="center" wrapText="1"/>
    </xf>
    <xf numFmtId="49" fontId="5" fillId="4" borderId="3" xfId="0" applyNumberFormat="1" applyFont="1" applyFill="1" applyBorder="1" applyAlignment="1">
      <alignment horizontal="center" vertical="center" wrapText="1"/>
    </xf>
    <xf numFmtId="10"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49" fontId="5" fillId="0" borderId="11" xfId="0" applyNumberFormat="1" applyFont="1" applyFill="1" applyBorder="1" applyAlignment="1">
      <alignment horizontal="justify" vertical="center" wrapText="1"/>
    </xf>
    <xf numFmtId="49" fontId="5" fillId="0" borderId="11" xfId="0" applyNumberFormat="1" applyFont="1" applyFill="1" applyBorder="1" applyAlignment="1">
      <alignment horizontal="center" vertical="center" wrapText="1"/>
    </xf>
    <xf numFmtId="49" fontId="5" fillId="10" borderId="6" xfId="0" applyNumberFormat="1" applyFont="1" applyFill="1" applyBorder="1" applyAlignment="1">
      <alignment vertical="center" wrapText="1"/>
    </xf>
    <xf numFmtId="49" fontId="5" fillId="10" borderId="14" xfId="0" applyNumberFormat="1" applyFont="1" applyFill="1" applyBorder="1" applyAlignment="1">
      <alignment vertical="center" wrapText="1"/>
    </xf>
    <xf numFmtId="0" fontId="5" fillId="2" borderId="2" xfId="0" applyFont="1" applyFill="1" applyBorder="1" applyAlignment="1">
      <alignment horizontal="center" vertical="center" wrapText="1"/>
    </xf>
    <xf numFmtId="170" fontId="5" fillId="2" borderId="7" xfId="2" applyNumberFormat="1" applyFont="1" applyFill="1" applyBorder="1" applyAlignment="1">
      <alignment horizontal="justify"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2" xfId="0" applyFont="1" applyBorder="1" applyAlignment="1">
      <alignment horizontal="center" vertical="center" wrapText="1"/>
    </xf>
    <xf numFmtId="49" fontId="5" fillId="0" borderId="14" xfId="0" applyNumberFormat="1" applyFont="1" applyFill="1" applyBorder="1" applyAlignment="1">
      <alignment vertical="center" wrapText="1"/>
    </xf>
    <xf numFmtId="0" fontId="8" fillId="2" borderId="3" xfId="0" applyFont="1" applyFill="1" applyBorder="1" applyAlignment="1">
      <alignment horizontal="justify" vertical="center" wrapText="1"/>
    </xf>
    <xf numFmtId="10" fontId="8" fillId="2" borderId="3"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8" fillId="0" borderId="3" xfId="0" applyFont="1" applyFill="1" applyBorder="1" applyAlignment="1">
      <alignment horizontal="center" vertical="center" wrapText="1"/>
    </xf>
    <xf numFmtId="49" fontId="5" fillId="10" borderId="10" xfId="0" applyNumberFormat="1" applyFont="1" applyFill="1" applyBorder="1" applyAlignment="1">
      <alignment vertical="center" wrapText="1"/>
    </xf>
    <xf numFmtId="0" fontId="5" fillId="10" borderId="3" xfId="0" applyFont="1" applyFill="1" applyBorder="1" applyAlignment="1">
      <alignment horizontal="justify"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49" fontId="5" fillId="10"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0" fontId="5" fillId="5" borderId="3" xfId="0" applyFont="1" applyFill="1" applyBorder="1" applyAlignment="1">
      <alignment vertical="center" wrapText="1"/>
    </xf>
    <xf numFmtId="0" fontId="5" fillId="4" borderId="3" xfId="0" applyFont="1" applyFill="1" applyBorder="1" applyAlignment="1">
      <alignment vertical="center" wrapText="1"/>
    </xf>
    <xf numFmtId="0" fontId="5" fillId="8" borderId="3" xfId="0" applyFont="1" applyFill="1" applyBorder="1" applyAlignment="1">
      <alignment horizontal="justify" vertical="center"/>
    </xf>
    <xf numFmtId="9" fontId="8"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10" fillId="0" borderId="0" xfId="0" applyFont="1" applyBorder="1"/>
    <xf numFmtId="0" fontId="5" fillId="7" borderId="10" xfId="0" applyFont="1" applyFill="1" applyBorder="1" applyAlignment="1">
      <alignment horizontal="justify" vertical="center" wrapText="1"/>
    </xf>
    <xf numFmtId="0" fontId="5" fillId="7" borderId="10" xfId="0" applyFont="1" applyFill="1" applyBorder="1" applyAlignment="1">
      <alignment horizontal="center" vertical="center" wrapText="1"/>
    </xf>
    <xf numFmtId="0" fontId="6" fillId="0" borderId="6" xfId="0" applyFont="1" applyBorder="1" applyAlignment="1">
      <alignment horizontal="center"/>
    </xf>
    <xf numFmtId="0" fontId="6" fillId="0" borderId="6" xfId="0" applyFont="1" applyBorder="1"/>
    <xf numFmtId="172" fontId="5" fillId="0" borderId="3" xfId="1" applyNumberFormat="1" applyFont="1" applyBorder="1" applyAlignment="1">
      <alignment horizontal="center" vertical="center"/>
    </xf>
    <xf numFmtId="170" fontId="5" fillId="0" borderId="3" xfId="2" applyNumberFormat="1" applyFont="1" applyBorder="1" applyAlignment="1">
      <alignment vertical="center"/>
    </xf>
    <xf numFmtId="0" fontId="3" fillId="5" borderId="12" xfId="0" applyFont="1" applyFill="1" applyBorder="1" applyAlignment="1">
      <alignment horizontal="justify" vertical="center" wrapText="1"/>
    </xf>
    <xf numFmtId="3" fontId="5" fillId="2" borderId="3"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175" fontId="5" fillId="0" borderId="3" xfId="0" applyNumberFormat="1" applyFont="1" applyFill="1" applyBorder="1" applyAlignment="1">
      <alignment horizontal="center" vertical="center" wrapText="1"/>
    </xf>
    <xf numFmtId="37" fontId="5" fillId="0" borderId="3" xfId="1" applyNumberFormat="1" applyFont="1" applyFill="1" applyBorder="1" applyAlignment="1">
      <alignment horizontal="center" vertical="center"/>
    </xf>
    <xf numFmtId="0" fontId="16" fillId="2" borderId="3" xfId="0" applyFont="1" applyFill="1" applyBorder="1" applyAlignment="1">
      <alignment horizontal="justify" vertical="center" wrapText="1"/>
    </xf>
    <xf numFmtId="9" fontId="8" fillId="2" borderId="3" xfId="0" applyNumberFormat="1"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5" fillId="7" borderId="3" xfId="2" applyNumberFormat="1" applyFont="1" applyFill="1" applyBorder="1" applyAlignment="1">
      <alignment horizontal="center" vertical="center" wrapText="1"/>
    </xf>
    <xf numFmtId="0" fontId="5" fillId="0" borderId="6" xfId="0" applyFont="1" applyFill="1" applyBorder="1" applyAlignment="1">
      <alignment vertical="center"/>
    </xf>
    <xf numFmtId="1" fontId="5" fillId="0" borderId="3" xfId="3" applyNumberFormat="1" applyFont="1" applyFill="1" applyBorder="1" applyAlignment="1">
      <alignment horizontal="center" vertical="center" wrapText="1"/>
    </xf>
    <xf numFmtId="0" fontId="8" fillId="0" borderId="6" xfId="0" applyFont="1" applyFill="1" applyBorder="1" applyAlignment="1">
      <alignment vertical="center" wrapText="1"/>
    </xf>
    <xf numFmtId="9" fontId="8" fillId="0"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0" fontId="5" fillId="2" borderId="11" xfId="0" applyFont="1" applyFill="1" applyBorder="1" applyAlignment="1">
      <alignment horizontal="center" vertical="center" wrapText="1"/>
    </xf>
    <xf numFmtId="0" fontId="8" fillId="2" borderId="3" xfId="0" applyFont="1" applyFill="1" applyBorder="1" applyAlignment="1">
      <alignment vertical="center" wrapText="1"/>
    </xf>
    <xf numFmtId="1" fontId="5"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6" fillId="0" borderId="3" xfId="0" applyFont="1" applyBorder="1"/>
    <xf numFmtId="9" fontId="5"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3" fillId="5" borderId="12" xfId="0" applyNumberFormat="1" applyFont="1" applyFill="1" applyBorder="1" applyAlignment="1">
      <alignment horizontal="justify" vertical="center" wrapText="1"/>
    </xf>
    <xf numFmtId="0" fontId="3" fillId="7" borderId="3" xfId="0" applyFont="1" applyFill="1" applyBorder="1" applyAlignment="1">
      <alignment vertical="center"/>
    </xf>
    <xf numFmtId="175" fontId="5" fillId="0" borderId="3" xfId="3" applyNumberFormat="1" applyFont="1" applyFill="1" applyBorder="1" applyAlignment="1">
      <alignment horizontal="center" vertical="center" wrapText="1"/>
    </xf>
    <xf numFmtId="3" fontId="5" fillId="2" borderId="3" xfId="0" applyNumberFormat="1" applyFont="1" applyFill="1" applyBorder="1" applyAlignment="1">
      <alignment horizontal="right" vertical="center" wrapText="1"/>
    </xf>
    <xf numFmtId="170" fontId="5" fillId="0" borderId="3" xfId="2" applyNumberFormat="1" applyFont="1" applyFill="1" applyBorder="1" applyAlignment="1">
      <alignment horizontal="right" vertical="center"/>
    </xf>
    <xf numFmtId="0" fontId="3" fillId="5" borderId="3" xfId="0" applyFont="1" applyFill="1" applyBorder="1" applyAlignment="1">
      <alignment vertical="center"/>
    </xf>
    <xf numFmtId="1" fontId="8" fillId="2" borderId="3" xfId="0"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0" fontId="5" fillId="13" borderId="3" xfId="0" applyFont="1" applyFill="1" applyBorder="1" applyAlignment="1">
      <alignment horizontal="center" vertical="center" wrapText="1"/>
    </xf>
    <xf numFmtId="170" fontId="3" fillId="13" borderId="3" xfId="2" applyNumberFormat="1" applyFont="1" applyFill="1" applyBorder="1" applyAlignment="1">
      <alignment horizontal="justify" vertical="center"/>
    </xf>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70" fontId="3" fillId="2" borderId="0" xfId="2" applyNumberFormat="1" applyFont="1" applyFill="1" applyBorder="1" applyAlignment="1">
      <alignment horizontal="justify" vertical="center"/>
    </xf>
    <xf numFmtId="0" fontId="17" fillId="3" borderId="7"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11" xfId="0" applyFont="1" applyFill="1" applyBorder="1" applyAlignment="1">
      <alignment horizontal="center" vertical="center"/>
    </xf>
    <xf numFmtId="172" fontId="17" fillId="3" borderId="11" xfId="1" applyNumberFormat="1" applyFont="1" applyFill="1" applyBorder="1" applyAlignment="1">
      <alignment horizontal="center" vertical="center"/>
    </xf>
    <xf numFmtId="0" fontId="17" fillId="3" borderId="11" xfId="0" applyFont="1" applyFill="1" applyBorder="1" applyAlignment="1">
      <alignment vertical="center"/>
    </xf>
    <xf numFmtId="0" fontId="3" fillId="4" borderId="3" xfId="0" applyFont="1" applyFill="1" applyBorder="1" applyAlignment="1">
      <alignment vertical="center"/>
    </xf>
    <xf numFmtId="172" fontId="8" fillId="0" borderId="3" xfId="1" applyNumberFormat="1" applyFont="1" applyFill="1" applyBorder="1" applyAlignment="1">
      <alignment horizontal="center" vertical="center"/>
    </xf>
    <xf numFmtId="170" fontId="6" fillId="0" borderId="3" xfId="2" applyNumberFormat="1" applyFont="1" applyFill="1" applyBorder="1" applyAlignment="1">
      <alignment horizontal="justify" vertical="center"/>
    </xf>
    <xf numFmtId="0" fontId="6" fillId="0" borderId="3" xfId="0" applyFont="1" applyFill="1" applyBorder="1" applyAlignment="1">
      <alignment horizontal="justify" vertical="center"/>
    </xf>
    <xf numFmtId="0" fontId="5" fillId="0" borderId="5" xfId="0" applyFont="1" applyBorder="1" applyAlignment="1">
      <alignment horizontal="center" vertical="center" wrapText="1"/>
    </xf>
    <xf numFmtId="0" fontId="7" fillId="5" borderId="3" xfId="0" applyFont="1" applyFill="1" applyBorder="1" applyAlignment="1">
      <alignment horizontal="right" vertical="center"/>
    </xf>
    <xf numFmtId="0" fontId="5" fillId="5" borderId="3" xfId="0" applyFont="1" applyFill="1" applyBorder="1" applyAlignment="1">
      <alignment horizontal="justify" vertical="center"/>
    </xf>
    <xf numFmtId="0" fontId="3" fillId="5" borderId="11" xfId="0" applyNumberFormat="1" applyFont="1" applyFill="1" applyBorder="1" applyAlignment="1">
      <alignment horizontal="justify" vertical="center" wrapText="1"/>
    </xf>
    <xf numFmtId="3" fontId="5" fillId="0" borderId="3" xfId="2" applyNumberFormat="1" applyFont="1" applyFill="1" applyBorder="1" applyAlignment="1">
      <alignment horizontal="right" vertical="center"/>
    </xf>
    <xf numFmtId="0" fontId="5" fillId="7" borderId="6" xfId="0" applyFont="1" applyFill="1" applyBorder="1" applyAlignment="1">
      <alignment horizontal="center" vertical="center"/>
    </xf>
    <xf numFmtId="0" fontId="7" fillId="7" borderId="6" xfId="0" applyFont="1" applyFill="1" applyBorder="1" applyAlignment="1">
      <alignment horizontal="right" vertical="center"/>
    </xf>
    <xf numFmtId="0" fontId="5" fillId="7" borderId="6" xfId="0" applyFont="1" applyFill="1" applyBorder="1" applyAlignment="1">
      <alignment horizontal="justify" vertical="center"/>
    </xf>
    <xf numFmtId="170" fontId="5" fillId="2" borderId="6" xfId="2" applyNumberFormat="1" applyFont="1" applyFill="1" applyBorder="1" applyAlignment="1">
      <alignment horizontal="justify" vertical="center"/>
    </xf>
    <xf numFmtId="3" fontId="5" fillId="0" borderId="6" xfId="0" applyNumberFormat="1" applyFont="1" applyFill="1" applyBorder="1" applyAlignment="1">
      <alignment horizontal="right" vertical="center"/>
    </xf>
    <xf numFmtId="0" fontId="5" fillId="5" borderId="6" xfId="0" applyFont="1" applyFill="1" applyBorder="1" applyAlignment="1">
      <alignment horizontal="center" vertical="center"/>
    </xf>
    <xf numFmtId="0" fontId="7" fillId="5" borderId="6" xfId="0" applyFont="1" applyFill="1" applyBorder="1" applyAlignment="1">
      <alignment horizontal="right" vertical="center"/>
    </xf>
    <xf numFmtId="0" fontId="5" fillId="5" borderId="6" xfId="0" applyFont="1" applyFill="1" applyBorder="1" applyAlignment="1">
      <alignment horizontal="justify" vertical="center"/>
    </xf>
    <xf numFmtId="1" fontId="3" fillId="5" borderId="11" xfId="0" applyNumberFormat="1" applyFont="1" applyFill="1" applyBorder="1" applyAlignment="1">
      <alignment horizontal="justify" vertical="center" wrapText="1"/>
    </xf>
    <xf numFmtId="0" fontId="6" fillId="2" borderId="3" xfId="0" applyFont="1" applyFill="1" applyBorder="1" applyAlignment="1">
      <alignment horizontal="justify" vertical="center" wrapText="1"/>
    </xf>
    <xf numFmtId="0" fontId="7" fillId="4" borderId="3" xfId="0" applyFont="1" applyFill="1" applyBorder="1" applyAlignment="1">
      <alignment horizontal="right" vertical="center"/>
    </xf>
    <xf numFmtId="0" fontId="5" fillId="4" borderId="3" xfId="0" applyFont="1" applyFill="1" applyBorder="1" applyAlignment="1">
      <alignment horizontal="justify" vertical="center"/>
    </xf>
    <xf numFmtId="0" fontId="7" fillId="8" borderId="3" xfId="0" applyFont="1" applyFill="1" applyBorder="1" applyAlignment="1">
      <alignment horizontal="right" vertical="center"/>
    </xf>
    <xf numFmtId="0" fontId="5" fillId="2" borderId="0" xfId="0" applyFont="1" applyFill="1" applyBorder="1" applyAlignment="1">
      <alignment vertical="center" wrapText="1"/>
    </xf>
    <xf numFmtId="172" fontId="5" fillId="2" borderId="0" xfId="1" applyNumberFormat="1"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170" fontId="9" fillId="3" borderId="3" xfId="0" applyNumberFormat="1" applyFont="1" applyFill="1" applyBorder="1" applyAlignment="1">
      <alignment horizontal="left" vertical="center"/>
    </xf>
    <xf numFmtId="0" fontId="3" fillId="4" borderId="11" xfId="0" applyFont="1" applyFill="1" applyBorder="1" applyAlignment="1">
      <alignment vertical="center" wrapText="1"/>
    </xf>
    <xf numFmtId="0" fontId="3" fillId="4" borderId="11" xfId="0" applyFont="1" applyFill="1" applyBorder="1" applyAlignment="1">
      <alignment horizontal="center" vertical="center" wrapText="1"/>
    </xf>
    <xf numFmtId="172" fontId="3" fillId="4" borderId="11"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5" borderId="11" xfId="0" applyFont="1" applyFill="1" applyBorder="1" applyAlignment="1">
      <alignment vertical="center" wrapText="1"/>
    </xf>
    <xf numFmtId="0" fontId="3" fillId="5" borderId="11" xfId="0" applyFont="1" applyFill="1" applyBorder="1" applyAlignment="1">
      <alignment horizontal="center" vertical="center" wrapText="1"/>
    </xf>
    <xf numFmtId="172" fontId="3" fillId="5" borderId="11" xfId="1" applyNumberFormat="1" applyFont="1" applyFill="1" applyBorder="1" applyAlignment="1">
      <alignment horizontal="center" vertical="center" wrapText="1"/>
    </xf>
    <xf numFmtId="0" fontId="3" fillId="5" borderId="3" xfId="0" applyFont="1" applyFill="1" applyBorder="1" applyAlignment="1">
      <alignment vertical="center" wrapText="1"/>
    </xf>
    <xf numFmtId="43" fontId="6" fillId="2" borderId="7" xfId="2" applyFont="1" applyFill="1" applyBorder="1"/>
    <xf numFmtId="172" fontId="19" fillId="0" borderId="18" xfId="1" applyNumberFormat="1" applyFont="1" applyFill="1" applyBorder="1" applyAlignment="1">
      <alignment horizontal="center" vertical="center" wrapText="1"/>
    </xf>
    <xf numFmtId="173" fontId="19" fillId="0" borderId="6"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5" fillId="2" borderId="0" xfId="0" applyNumberFormat="1" applyFont="1" applyFill="1" applyBorder="1" applyAlignment="1">
      <alignment horizontal="center" vertical="center" wrapText="1"/>
    </xf>
    <xf numFmtId="172" fontId="5" fillId="2" borderId="0" xfId="1" applyNumberFormat="1" applyFont="1" applyFill="1" applyBorder="1" applyAlignment="1">
      <alignment horizontal="center" vertical="center"/>
    </xf>
    <xf numFmtId="0" fontId="5"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5" fillId="14" borderId="3" xfId="0" applyFont="1" applyFill="1" applyBorder="1" applyAlignment="1">
      <alignment horizontal="justify" vertical="center" wrapText="1"/>
    </xf>
    <xf numFmtId="0" fontId="5" fillId="14" borderId="3" xfId="0"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3" xfId="0" applyNumberFormat="1" applyFont="1" applyFill="1" applyBorder="1" applyAlignment="1">
      <alignment horizontal="center" vertical="center"/>
    </xf>
    <xf numFmtId="0" fontId="7" fillId="14" borderId="3" xfId="0" applyFont="1" applyFill="1" applyBorder="1" applyAlignment="1">
      <alignment horizontal="right" vertical="center" wrapText="1"/>
    </xf>
    <xf numFmtId="170" fontId="5" fillId="14" borderId="3" xfId="2" applyNumberFormat="1" applyFont="1" applyFill="1" applyBorder="1" applyAlignment="1">
      <alignment horizontal="justify" vertical="center"/>
    </xf>
    <xf numFmtId="172" fontId="5" fillId="14" borderId="3" xfId="1" applyNumberFormat="1" applyFont="1" applyFill="1" applyBorder="1" applyAlignment="1">
      <alignment horizontal="center" vertical="center"/>
    </xf>
    <xf numFmtId="0" fontId="6" fillId="0" borderId="0" xfId="0" applyFont="1" applyBorder="1" applyAlignment="1">
      <alignment horizontal="justify" wrapText="1"/>
    </xf>
    <xf numFmtId="0" fontId="6"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xf>
    <xf numFmtId="0" fontId="6" fillId="0" borderId="0" xfId="0" applyNumberFormat="1" applyFont="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70" fontId="6" fillId="0" borderId="0" xfId="2" applyNumberFormat="1" applyFont="1" applyBorder="1"/>
    <xf numFmtId="170" fontId="6" fillId="2" borderId="0" xfId="2" applyNumberFormat="1" applyFont="1" applyFill="1" applyBorder="1"/>
    <xf numFmtId="172" fontId="6" fillId="0" borderId="0" xfId="1" applyNumberFormat="1" applyFont="1" applyBorder="1" applyAlignment="1">
      <alignment horizontal="center"/>
    </xf>
    <xf numFmtId="170" fontId="6" fillId="0" borderId="0" xfId="2" applyNumberFormat="1" applyFont="1" applyBorder="1" applyAlignment="1"/>
    <xf numFmtId="0" fontId="7" fillId="0" borderId="0" xfId="0" applyFont="1" applyAlignment="1">
      <alignment horizontal="right"/>
    </xf>
    <xf numFmtId="0" fontId="6" fillId="2" borderId="0" xfId="0" applyFont="1" applyFill="1"/>
    <xf numFmtId="172" fontId="6" fillId="0" borderId="0" xfId="1" applyNumberFormat="1" applyFont="1" applyAlignment="1">
      <alignment horizontal="center"/>
    </xf>
    <xf numFmtId="170" fontId="6" fillId="0" borderId="0" xfId="0" applyNumberFormat="1" applyFont="1"/>
    <xf numFmtId="170" fontId="21" fillId="15" borderId="0" xfId="2" applyNumberFormat="1" applyFont="1" applyFill="1" applyBorder="1"/>
    <xf numFmtId="170" fontId="5" fillId="0" borderId="6" xfId="1" applyNumberFormat="1" applyFont="1" applyFill="1" applyBorder="1" applyAlignment="1">
      <alignment horizontal="center" vertical="center"/>
    </xf>
    <xf numFmtId="3" fontId="5" fillId="7" borderId="10" xfId="0" applyNumberFormat="1" applyFont="1" applyFill="1" applyBorder="1" applyAlignment="1">
      <alignment horizontal="center" vertical="center" wrapText="1"/>
    </xf>
    <xf numFmtId="3" fontId="5" fillId="7" borderId="10" xfId="0" applyNumberFormat="1" applyFont="1" applyFill="1" applyBorder="1" applyAlignment="1">
      <alignment horizontal="center" vertical="center"/>
    </xf>
    <xf numFmtId="0" fontId="7" fillId="7" borderId="10" xfId="0" applyFont="1" applyFill="1" applyBorder="1" applyAlignment="1">
      <alignment horizontal="right" vertical="center" wrapText="1"/>
    </xf>
    <xf numFmtId="170" fontId="5" fillId="7" borderId="10" xfId="2" applyNumberFormat="1" applyFont="1" applyFill="1" applyBorder="1" applyAlignment="1">
      <alignment horizontal="justify"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0" borderId="10" xfId="0" applyFont="1" applyFill="1" applyBorder="1" applyAlignment="1">
      <alignment vertical="center"/>
    </xf>
    <xf numFmtId="0" fontId="3" fillId="7" borderId="4" xfId="0" applyFont="1" applyFill="1" applyBorder="1" applyAlignment="1">
      <alignment vertical="center"/>
    </xf>
    <xf numFmtId="0" fontId="3" fillId="6" borderId="3" xfId="0" applyFont="1" applyFill="1" applyBorder="1" applyAlignment="1">
      <alignment vertical="center" wrapText="1"/>
    </xf>
    <xf numFmtId="10" fontId="5" fillId="6" borderId="3"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0" fontId="5" fillId="6" borderId="7" xfId="1" applyNumberFormat="1" applyFont="1" applyFill="1" applyBorder="1" applyAlignment="1">
      <alignment horizontal="center" vertical="center" wrapText="1"/>
    </xf>
    <xf numFmtId="0" fontId="5" fillId="6" borderId="11" xfId="0" applyFont="1" applyFill="1" applyBorder="1" applyAlignment="1">
      <alignment horizontal="justify" vertical="center" wrapText="1"/>
    </xf>
    <xf numFmtId="0" fontId="5" fillId="6" borderId="11" xfId="0" applyNumberFormat="1" applyFont="1" applyFill="1" applyBorder="1" applyAlignment="1">
      <alignment horizontal="center" vertical="center" wrapText="1"/>
    </xf>
    <xf numFmtId="170" fontId="5" fillId="6" borderId="11" xfId="0" applyNumberFormat="1" applyFont="1" applyFill="1" applyBorder="1" applyAlignment="1">
      <alignment horizontal="justify" vertical="center" wrapText="1"/>
    </xf>
    <xf numFmtId="0" fontId="5" fillId="6" borderId="11" xfId="0" applyFont="1" applyFill="1" applyBorder="1" applyAlignment="1">
      <alignment horizontal="center" vertical="center" wrapText="1"/>
    </xf>
    <xf numFmtId="0" fontId="3" fillId="0" borderId="226" xfId="0" applyFont="1" applyFill="1" applyBorder="1" applyAlignment="1">
      <alignment vertical="center" wrapText="1"/>
    </xf>
    <xf numFmtId="10" fontId="5" fillId="0" borderId="226" xfId="0" applyNumberFormat="1" applyFont="1" applyFill="1" applyBorder="1" applyAlignment="1">
      <alignment horizontal="center" vertical="center" wrapText="1"/>
    </xf>
    <xf numFmtId="9" fontId="5" fillId="0" borderId="226" xfId="0" applyNumberFormat="1" applyFont="1" applyFill="1" applyBorder="1" applyAlignment="1">
      <alignment horizontal="center" vertical="center" wrapText="1"/>
    </xf>
    <xf numFmtId="0" fontId="5" fillId="0" borderId="226" xfId="1" applyNumberFormat="1" applyFont="1" applyFill="1" applyBorder="1" applyAlignment="1">
      <alignment horizontal="center" vertical="center" wrapText="1"/>
    </xf>
    <xf numFmtId="0" fontId="5" fillId="0" borderId="226" xfId="0" applyNumberFormat="1" applyFont="1" applyFill="1" applyBorder="1" applyAlignment="1">
      <alignment horizontal="center" vertical="center" wrapText="1"/>
    </xf>
    <xf numFmtId="170" fontId="5" fillId="0" borderId="226" xfId="0" applyNumberFormat="1" applyFont="1" applyFill="1" applyBorder="1" applyAlignment="1">
      <alignment horizontal="justify" vertical="center" wrapText="1"/>
    </xf>
    <xf numFmtId="170" fontId="5" fillId="0" borderId="226" xfId="2" applyNumberFormat="1" applyFont="1" applyFill="1" applyBorder="1" applyAlignment="1">
      <alignment horizontal="justify" vertical="center"/>
    </xf>
    <xf numFmtId="170" fontId="5" fillId="0" borderId="227" xfId="2" applyNumberFormat="1" applyFont="1" applyFill="1" applyBorder="1" applyAlignment="1">
      <alignment horizontal="justify" vertical="center"/>
    </xf>
    <xf numFmtId="170" fontId="5" fillId="0" borderId="227" xfId="1" applyNumberFormat="1" applyFont="1" applyFill="1" applyBorder="1" applyAlignment="1">
      <alignment horizontal="center" vertical="center"/>
    </xf>
    <xf numFmtId="172" fontId="5" fillId="0" borderId="226" xfId="1" applyNumberFormat="1" applyFont="1" applyFill="1" applyBorder="1" applyAlignment="1">
      <alignment horizontal="center" vertical="center"/>
    </xf>
    <xf numFmtId="170" fontId="5" fillId="0" borderId="226" xfId="2" applyNumberFormat="1" applyFont="1" applyFill="1" applyBorder="1" applyAlignment="1">
      <alignment vertical="center"/>
    </xf>
    <xf numFmtId="0" fontId="5" fillId="0" borderId="8"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pplyAlignment="1">
      <alignment horizontal="right" vertical="center"/>
    </xf>
    <xf numFmtId="170" fontId="5" fillId="0" borderId="1" xfId="0" applyNumberFormat="1" applyFont="1" applyFill="1" applyBorder="1" applyAlignment="1">
      <alignment horizontal="justify" vertical="center" wrapText="1"/>
    </xf>
    <xf numFmtId="170" fontId="5" fillId="0" borderId="1" xfId="1" applyNumberFormat="1" applyFont="1" applyFill="1" applyBorder="1" applyAlignment="1">
      <alignment horizontal="center" vertical="center"/>
    </xf>
    <xf numFmtId="0" fontId="5" fillId="6" borderId="2" xfId="0" applyFont="1" applyFill="1" applyBorder="1" applyAlignment="1">
      <alignment vertical="center" wrapText="1"/>
    </xf>
    <xf numFmtId="0" fontId="7" fillId="6" borderId="11" xfId="0" applyFont="1" applyFill="1" applyBorder="1" applyAlignment="1">
      <alignment horizontal="right" vertical="center"/>
    </xf>
    <xf numFmtId="3" fontId="5" fillId="0" borderId="3" xfId="0" applyNumberFormat="1" applyFont="1" applyFill="1" applyBorder="1" applyAlignment="1">
      <alignment vertical="center"/>
    </xf>
    <xf numFmtId="1" fontId="7" fillId="0" borderId="3" xfId="0"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0" fontId="8" fillId="0" borderId="149" xfId="0" applyFont="1" applyFill="1" applyBorder="1" applyAlignment="1" applyProtection="1">
      <alignment horizontal="center" vertical="center" wrapText="1"/>
      <protection locked="0"/>
    </xf>
    <xf numFmtId="0" fontId="5" fillId="0" borderId="155" xfId="0" applyNumberFormat="1" applyFont="1" applyFill="1" applyBorder="1" applyAlignment="1" applyProtection="1">
      <alignment horizontal="center" vertical="center" wrapText="1"/>
      <protection locked="0"/>
    </xf>
    <xf numFmtId="0" fontId="5" fillId="0" borderId="161" xfId="0" applyNumberFormat="1" applyFont="1" applyFill="1" applyBorder="1" applyAlignment="1" applyProtection="1">
      <alignment horizontal="center" vertical="center" wrapText="1"/>
      <protection locked="0"/>
    </xf>
    <xf numFmtId="0" fontId="5" fillId="0" borderId="167" xfId="0" applyNumberFormat="1" applyFont="1" applyFill="1" applyBorder="1" applyAlignment="1" applyProtection="1">
      <alignment horizontal="center" vertical="center" wrapText="1"/>
      <protection locked="0"/>
    </xf>
    <xf numFmtId="0" fontId="5" fillId="0" borderId="173" xfId="0" applyNumberFormat="1" applyFont="1" applyFill="1" applyBorder="1" applyAlignment="1" applyProtection="1">
      <alignment horizontal="center" vertical="center" wrapText="1"/>
      <protection locked="0"/>
    </xf>
    <xf numFmtId="0" fontId="5" fillId="0" borderId="179" xfId="0" applyNumberFormat="1" applyFont="1" applyFill="1" applyBorder="1" applyAlignment="1" applyProtection="1">
      <alignment horizontal="center" vertical="center" wrapText="1"/>
      <protection locked="0"/>
    </xf>
    <xf numFmtId="0" fontId="5" fillId="0" borderId="185" xfId="0" applyNumberFormat="1" applyFont="1" applyFill="1" applyBorder="1" applyAlignment="1" applyProtection="1">
      <alignment horizontal="center" vertical="center" wrapText="1"/>
      <protection locked="0"/>
    </xf>
    <xf numFmtId="0" fontId="5" fillId="0" borderId="196" xfId="0" applyNumberFormat="1" applyFont="1" applyFill="1" applyBorder="1" applyAlignment="1" applyProtection="1">
      <alignment horizontal="center" vertical="center" wrapText="1"/>
      <protection locked="0"/>
    </xf>
    <xf numFmtId="0" fontId="5" fillId="0" borderId="202" xfId="0" applyNumberFormat="1" applyFont="1" applyFill="1" applyBorder="1" applyAlignment="1" applyProtection="1">
      <alignment horizontal="center" vertical="center" wrapText="1"/>
      <protection locked="0"/>
    </xf>
    <xf numFmtId="0" fontId="5" fillId="0" borderId="208" xfId="0" applyNumberFormat="1" applyFont="1" applyFill="1" applyBorder="1" applyAlignment="1" applyProtection="1">
      <alignment horizontal="center" vertical="center" wrapText="1"/>
      <protection locked="0"/>
    </xf>
    <xf numFmtId="0" fontId="5" fillId="0" borderId="214" xfId="0" applyNumberFormat="1" applyFont="1" applyFill="1" applyBorder="1" applyAlignment="1" applyProtection="1">
      <alignment horizontal="center" vertical="center" wrapText="1"/>
      <protection locked="0"/>
    </xf>
    <xf numFmtId="0" fontId="5" fillId="0" borderId="220" xfId="0" applyNumberFormat="1" applyFont="1" applyFill="1" applyBorder="1" applyAlignment="1" applyProtection="1">
      <alignment horizontal="center" vertical="center" wrapText="1"/>
      <protection locked="0"/>
    </xf>
    <xf numFmtId="0" fontId="5" fillId="0" borderId="226" xfId="0" applyNumberFormat="1" applyFont="1" applyFill="1" applyBorder="1" applyAlignment="1" applyProtection="1">
      <alignment horizontal="center" vertical="center" wrapText="1"/>
      <protection locked="0"/>
    </xf>
    <xf numFmtId="0" fontId="11" fillId="0" borderId="227" xfId="0" applyNumberFormat="1" applyFont="1" applyFill="1" applyBorder="1" applyAlignment="1" applyProtection="1">
      <alignment horizontal="center" vertical="center" wrapText="1"/>
      <protection locked="0"/>
    </xf>
    <xf numFmtId="176" fontId="8" fillId="0" borderId="3" xfId="17" applyNumberFormat="1" applyFont="1" applyFill="1" applyBorder="1" applyAlignment="1" applyProtection="1">
      <alignment horizontal="center" vertical="center" wrapText="1"/>
      <protection locked="0"/>
    </xf>
    <xf numFmtId="1" fontId="5" fillId="0" borderId="10" xfId="2" applyNumberFormat="1" applyFont="1" applyFill="1" applyBorder="1" applyAlignment="1">
      <alignment horizontal="center" vertical="center" wrapText="1"/>
    </xf>
    <xf numFmtId="0" fontId="49" fillId="0" borderId="0" xfId="0" applyFont="1" applyBorder="1" applyAlignment="1">
      <alignment horizontal="center" vertical="center"/>
    </xf>
    <xf numFmtId="43" fontId="13" fillId="3" borderId="3" xfId="0" applyNumberFormat="1" applyFont="1" applyFill="1" applyBorder="1" applyAlignment="1">
      <alignment horizontal="left" vertical="center"/>
    </xf>
    <xf numFmtId="0" fontId="22" fillId="0" borderId="3" xfId="0" applyFont="1" applyFill="1" applyBorder="1" applyAlignment="1">
      <alignment vertical="center" wrapText="1"/>
    </xf>
    <xf numFmtId="0" fontId="22" fillId="0" borderId="3" xfId="0" applyFont="1" applyFill="1" applyBorder="1" applyAlignment="1">
      <alignment horizontal="center" vertical="center" wrapText="1"/>
    </xf>
    <xf numFmtId="164" fontId="6" fillId="0" borderId="3" xfId="1361" applyFont="1" applyFill="1" applyBorder="1"/>
    <xf numFmtId="43" fontId="3" fillId="7" borderId="3" xfId="0" applyNumberFormat="1" applyFont="1" applyFill="1" applyBorder="1" applyAlignment="1">
      <alignment vertical="center"/>
    </xf>
    <xf numFmtId="43" fontId="3" fillId="5" borderId="3" xfId="0" applyNumberFormat="1" applyFont="1" applyFill="1" applyBorder="1" applyAlignment="1">
      <alignment vertical="center"/>
    </xf>
    <xf numFmtId="0" fontId="7" fillId="3" borderId="11" xfId="0" applyFont="1" applyFill="1" applyBorder="1" applyAlignment="1">
      <alignment horizontal="right" vertical="center"/>
    </xf>
    <xf numFmtId="0" fontId="7" fillId="4" borderId="11" xfId="0" applyFont="1" applyFill="1" applyBorder="1" applyAlignment="1">
      <alignment horizontal="right" vertical="center"/>
    </xf>
    <xf numFmtId="0" fontId="7" fillId="5" borderId="11" xfId="0" applyFont="1" applyFill="1" applyBorder="1" applyAlignment="1">
      <alignment horizontal="right" vertical="center"/>
    </xf>
    <xf numFmtId="0" fontId="7" fillId="7" borderId="11" xfId="0" applyFont="1" applyFill="1" applyBorder="1" applyAlignment="1">
      <alignment horizontal="right" vertical="center"/>
    </xf>
    <xf numFmtId="0" fontId="7" fillId="9" borderId="11" xfId="0" applyFont="1" applyFill="1" applyBorder="1" applyAlignment="1">
      <alignment horizontal="right" vertical="center"/>
    </xf>
    <xf numFmtId="0" fontId="7" fillId="11" borderId="11" xfId="0" applyFont="1" applyFill="1" applyBorder="1" applyAlignment="1">
      <alignment horizontal="right" vertical="center"/>
    </xf>
    <xf numFmtId="0" fontId="7" fillId="3" borderId="12" xfId="0" applyFont="1" applyFill="1" applyBorder="1" applyAlignment="1">
      <alignment horizontal="right" vertical="center"/>
    </xf>
    <xf numFmtId="0" fontId="5" fillId="7" borderId="12" xfId="0" applyFont="1" applyFill="1" applyBorder="1" applyAlignment="1">
      <alignment vertical="center"/>
    </xf>
    <xf numFmtId="0" fontId="5" fillId="11" borderId="11" xfId="0" applyFont="1" applyFill="1" applyBorder="1" applyAlignment="1">
      <alignment vertical="center"/>
    </xf>
    <xf numFmtId="0" fontId="5" fillId="7" borderId="11" xfId="0" applyFont="1" applyFill="1" applyBorder="1" applyAlignment="1">
      <alignment vertical="center"/>
    </xf>
    <xf numFmtId="0" fontId="7" fillId="5" borderId="12" xfId="0" applyFont="1" applyFill="1" applyBorder="1" applyAlignment="1">
      <alignment horizontal="right" vertical="center"/>
    </xf>
    <xf numFmtId="0" fontId="5" fillId="6" borderId="11" xfId="0" applyFont="1" applyFill="1" applyBorder="1" applyAlignment="1">
      <alignment vertical="center"/>
    </xf>
    <xf numFmtId="0" fontId="7" fillId="3" borderId="11" xfId="0" applyFont="1" applyFill="1" applyBorder="1" applyAlignment="1">
      <alignment horizontal="right" vertical="center" wrapText="1"/>
    </xf>
    <xf numFmtId="0" fontId="7" fillId="4" borderId="11" xfId="0" applyFont="1" applyFill="1" applyBorder="1" applyAlignment="1">
      <alignment horizontal="right" vertical="center" wrapText="1"/>
    </xf>
    <xf numFmtId="170" fontId="6" fillId="15" borderId="0" xfId="2" applyNumberFormat="1" applyFont="1" applyFill="1" applyBorder="1"/>
    <xf numFmtId="170" fontId="5" fillId="0" borderId="3" xfId="1361" applyNumberFormat="1" applyFont="1" applyFill="1" applyBorder="1" applyAlignment="1" applyProtection="1">
      <alignment horizontal="right" vertical="center"/>
      <protection locked="0"/>
    </xf>
    <xf numFmtId="3" fontId="51" fillId="0" borderId="3" xfId="0" applyNumberFormat="1" applyFont="1" applyFill="1" applyBorder="1" applyAlignment="1">
      <alignment vertical="center"/>
    </xf>
    <xf numFmtId="172" fontId="5" fillId="0" borderId="3" xfId="142" applyNumberFormat="1" applyFont="1" applyFill="1" applyBorder="1" applyAlignment="1">
      <alignment horizontal="center" vertical="center"/>
    </xf>
    <xf numFmtId="0" fontId="3" fillId="7" borderId="11" xfId="0" applyFont="1" applyFill="1" applyBorder="1" applyAlignment="1">
      <alignment horizontal="center" vertical="center"/>
    </xf>
    <xf numFmtId="0" fontId="3" fillId="7" borderId="7" xfId="0" applyFont="1" applyFill="1" applyBorder="1" applyAlignment="1">
      <alignment horizontal="left" vertical="center"/>
    </xf>
    <xf numFmtId="0" fontId="5" fillId="0" borderId="226" xfId="0" applyFont="1" applyFill="1" applyBorder="1" applyAlignment="1">
      <alignment horizontal="center" vertical="center" wrapText="1"/>
    </xf>
    <xf numFmtId="0" fontId="5" fillId="0" borderId="226" xfId="0" applyFont="1" applyFill="1" applyBorder="1" applyAlignment="1">
      <alignment horizontal="justify" vertical="center" wrapText="1"/>
    </xf>
    <xf numFmtId="0" fontId="50" fillId="0" borderId="3" xfId="0" applyNumberFormat="1" applyFont="1" applyFill="1" applyBorder="1" applyAlignment="1">
      <alignment horizontal="center" vertical="center" wrapText="1"/>
    </xf>
    <xf numFmtId="43" fontId="6" fillId="0" borderId="3" xfId="0" applyNumberFormat="1" applyFont="1" applyFill="1" applyBorder="1" applyAlignment="1">
      <alignment horizontal="center" vertical="center"/>
    </xf>
    <xf numFmtId="184" fontId="6" fillId="0" borderId="7"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xf>
    <xf numFmtId="3" fontId="8" fillId="0" borderId="3" xfId="0" applyNumberFormat="1" applyFont="1" applyFill="1" applyBorder="1" applyAlignment="1">
      <alignment vertical="center"/>
    </xf>
    <xf numFmtId="172" fontId="6" fillId="0" borderId="3" xfId="142" applyNumberFormat="1" applyFont="1" applyFill="1" applyBorder="1" applyAlignment="1">
      <alignment vertical="center"/>
    </xf>
    <xf numFmtId="170" fontId="5" fillId="0" borderId="234" xfId="2" applyNumberFormat="1" applyFont="1" applyFill="1" applyBorder="1" applyAlignment="1">
      <alignment horizontal="justify" vertical="center"/>
    </xf>
    <xf numFmtId="0" fontId="9" fillId="3" borderId="234" xfId="0" applyFont="1" applyFill="1" applyBorder="1" applyAlignment="1">
      <alignment horizontal="left" vertical="center"/>
    </xf>
    <xf numFmtId="0" fontId="3" fillId="7" borderId="234" xfId="0" applyFont="1" applyFill="1" applyBorder="1" applyAlignment="1">
      <alignment vertical="center"/>
    </xf>
    <xf numFmtId="0" fontId="3" fillId="5" borderId="234" xfId="0" applyFont="1" applyFill="1" applyBorder="1" applyAlignment="1">
      <alignment vertical="center"/>
    </xf>
    <xf numFmtId="3" fontId="8" fillId="0" borderId="10" xfId="0" applyNumberFormat="1" applyFont="1" applyFill="1" applyBorder="1" applyAlignment="1">
      <alignment horizontal="center" vertical="center"/>
    </xf>
    <xf numFmtId="37" fontId="7" fillId="0" borderId="10" xfId="2" applyNumberFormat="1" applyFont="1" applyFill="1" applyBorder="1" applyAlignment="1">
      <alignment horizontal="right" vertical="center"/>
    </xf>
    <xf numFmtId="0" fontId="9" fillId="0" borderId="7" xfId="0" applyFont="1" applyFill="1" applyBorder="1" applyAlignment="1">
      <alignment horizontal="left" vertical="center"/>
    </xf>
    <xf numFmtId="3" fontId="6" fillId="0" borderId="10" xfId="0" applyNumberFormat="1" applyFont="1" applyFill="1" applyBorder="1" applyAlignment="1">
      <alignment vertical="center"/>
    </xf>
    <xf numFmtId="170" fontId="5" fillId="0" borderId="149" xfId="2" applyNumberFormat="1" applyFont="1" applyFill="1" applyBorder="1" applyAlignment="1">
      <alignment horizontal="justify" vertical="center"/>
    </xf>
    <xf numFmtId="170" fontId="5" fillId="0" borderId="149" xfId="1" applyNumberFormat="1" applyFont="1" applyFill="1" applyBorder="1" applyAlignment="1">
      <alignment horizontal="center" vertical="center"/>
    </xf>
    <xf numFmtId="170" fontId="5" fillId="2" borderId="234" xfId="2" applyNumberFormat="1" applyFont="1" applyFill="1" applyBorder="1" applyAlignment="1">
      <alignment horizontal="justify" vertical="center"/>
    </xf>
    <xf numFmtId="172" fontId="5" fillId="0" borderId="234" xfId="1" applyNumberFormat="1" applyFont="1" applyFill="1" applyBorder="1" applyAlignment="1">
      <alignment horizontal="center" vertical="center"/>
    </xf>
    <xf numFmtId="172" fontId="9" fillId="3" borderId="234" xfId="1" applyNumberFormat="1" applyFont="1" applyFill="1" applyBorder="1" applyAlignment="1">
      <alignment horizontal="center" vertical="center"/>
    </xf>
    <xf numFmtId="172" fontId="3" fillId="7" borderId="234" xfId="1" applyNumberFormat="1" applyFont="1" applyFill="1" applyBorder="1" applyAlignment="1">
      <alignment horizontal="center" vertical="center"/>
    </xf>
    <xf numFmtId="172" fontId="3" fillId="5" borderId="234" xfId="1" applyNumberFormat="1" applyFont="1" applyFill="1" applyBorder="1" applyAlignment="1">
      <alignment horizontal="center" vertical="center"/>
    </xf>
    <xf numFmtId="172" fontId="3" fillId="7" borderId="0" xfId="1" applyNumberFormat="1" applyFont="1" applyFill="1" applyBorder="1" applyAlignment="1">
      <alignment horizontal="center" vertical="center"/>
    </xf>
    <xf numFmtId="172" fontId="5" fillId="0" borderId="149" xfId="1" applyNumberFormat="1" applyFont="1" applyFill="1" applyBorder="1" applyAlignment="1">
      <alignment horizontal="center" vertical="center"/>
    </xf>
    <xf numFmtId="172" fontId="5" fillId="0" borderId="7" xfId="142" applyNumberFormat="1" applyFont="1" applyFill="1" applyBorder="1" applyAlignment="1">
      <alignment horizontal="center" vertical="center"/>
    </xf>
    <xf numFmtId="172" fontId="19" fillId="0" borderId="6" xfId="1" applyNumberFormat="1" applyFont="1" applyFill="1" applyBorder="1" applyAlignment="1">
      <alignment horizontal="center" vertical="center" wrapText="1"/>
    </xf>
    <xf numFmtId="0" fontId="9" fillId="3" borderId="234" xfId="0" applyFont="1" applyFill="1" applyBorder="1" applyAlignment="1">
      <alignment vertical="center"/>
    </xf>
    <xf numFmtId="170" fontId="5" fillId="0" borderId="234" xfId="2" applyNumberFormat="1" applyFont="1" applyFill="1" applyBorder="1" applyAlignment="1">
      <alignment vertical="center"/>
    </xf>
    <xf numFmtId="170" fontId="5" fillId="0" borderId="0" xfId="2" applyNumberFormat="1" applyFont="1" applyBorder="1" applyAlignment="1">
      <alignment horizontal="justify" vertical="center"/>
    </xf>
    <xf numFmtId="172" fontId="8" fillId="0" borderId="7" xfId="1" applyNumberFormat="1" applyFont="1" applyFill="1" applyBorder="1" applyAlignment="1">
      <alignment horizontal="center" vertical="center"/>
    </xf>
    <xf numFmtId="170" fontId="6" fillId="0" borderId="7" xfId="2" applyNumberFormat="1" applyFont="1" applyFill="1" applyBorder="1" applyAlignment="1">
      <alignment horizontal="justify" vertical="center"/>
    </xf>
    <xf numFmtId="170" fontId="48" fillId="43" borderId="3" xfId="2" applyNumberFormat="1" applyFont="1" applyFill="1" applyBorder="1" applyAlignment="1">
      <alignment horizontal="center" vertical="center" wrapText="1"/>
    </xf>
    <xf numFmtId="43" fontId="48" fillId="43" borderId="3" xfId="142" applyFont="1" applyFill="1" applyBorder="1" applyAlignment="1">
      <alignment horizontal="center" vertical="center" wrapText="1"/>
    </xf>
    <xf numFmtId="172" fontId="48" fillId="43" borderId="3" xfId="142" applyNumberFormat="1" applyFont="1" applyFill="1" applyBorder="1" applyAlignment="1">
      <alignment horizontal="center" vertical="center" wrapText="1"/>
    </xf>
    <xf numFmtId="0" fontId="4" fillId="0" borderId="3" xfId="0" applyFont="1" applyBorder="1" applyAlignment="1">
      <alignment vertical="center"/>
    </xf>
    <xf numFmtId="0" fontId="4" fillId="0" borderId="3" xfId="0" applyFont="1" applyBorder="1" applyAlignment="1">
      <alignment horizontal="left" vertical="center"/>
    </xf>
    <xf numFmtId="185" fontId="4" fillId="0" borderId="3" xfId="0" applyNumberFormat="1" applyFont="1" applyBorder="1" applyAlignment="1">
      <alignment horizontal="left" vertical="center"/>
    </xf>
    <xf numFmtId="17" fontId="4" fillId="0" borderId="3" xfId="0" applyNumberFormat="1" applyFont="1" applyBorder="1" applyAlignment="1">
      <alignment horizontal="left" vertical="center"/>
    </xf>
    <xf numFmtId="3" fontId="4" fillId="10" borderId="3" xfId="0" applyNumberFormat="1" applyFont="1" applyFill="1" applyBorder="1" applyAlignment="1">
      <alignment horizontal="left" vertical="center" wrapText="1"/>
    </xf>
    <xf numFmtId="0" fontId="3" fillId="9" borderId="3" xfId="0" applyFont="1" applyFill="1" applyBorder="1" applyAlignment="1">
      <alignment vertical="center"/>
    </xf>
    <xf numFmtId="0" fontId="3" fillId="11" borderId="3" xfId="0" applyFont="1" applyFill="1" applyBorder="1" applyAlignment="1">
      <alignment vertical="center"/>
    </xf>
    <xf numFmtId="172" fontId="5" fillId="0" borderId="3" xfId="142" applyNumberFormat="1" applyFont="1" applyFill="1" applyBorder="1" applyAlignment="1">
      <alignment horizontal="justify" vertical="center"/>
    </xf>
    <xf numFmtId="172" fontId="5" fillId="0" borderId="3" xfId="142" applyNumberFormat="1" applyFont="1" applyFill="1" applyBorder="1" applyAlignment="1">
      <alignment vertical="center"/>
    </xf>
    <xf numFmtId="43" fontId="6" fillId="0" borderId="3" xfId="0" applyNumberFormat="1" applyFont="1" applyFill="1" applyBorder="1"/>
    <xf numFmtId="43" fontId="5" fillId="4" borderId="3" xfId="2" applyNumberFormat="1" applyFont="1" applyFill="1" applyBorder="1" applyAlignment="1">
      <alignment horizontal="justify" vertical="center"/>
    </xf>
    <xf numFmtId="43" fontId="3" fillId="4" borderId="3" xfId="0" applyNumberFormat="1" applyFont="1" applyFill="1" applyBorder="1" applyAlignment="1">
      <alignment vertical="center"/>
    </xf>
    <xf numFmtId="170" fontId="6" fillId="0" borderId="3" xfId="142" applyNumberFormat="1" applyFont="1" applyFill="1" applyBorder="1"/>
    <xf numFmtId="0" fontId="9" fillId="0" borderId="3" xfId="0" applyFont="1" applyFill="1" applyBorder="1" applyAlignment="1">
      <alignment vertical="center"/>
    </xf>
    <xf numFmtId="186" fontId="13" fillId="2" borderId="3" xfId="0" applyNumberFormat="1" applyFont="1" applyFill="1" applyBorder="1" applyAlignment="1">
      <alignment horizontal="right" vertical="center"/>
    </xf>
    <xf numFmtId="0" fontId="9" fillId="0" borderId="3" xfId="0" applyFont="1" applyFill="1" applyBorder="1" applyAlignment="1">
      <alignment vertical="center" wrapText="1"/>
    </xf>
    <xf numFmtId="170" fontId="3" fillId="0" borderId="3" xfId="2" applyNumberFormat="1" applyFont="1" applyFill="1" applyBorder="1" applyAlignment="1">
      <alignment vertical="center"/>
    </xf>
    <xf numFmtId="172" fontId="21" fillId="0" borderId="3" xfId="142" applyNumberFormat="1" applyFont="1" applyFill="1" applyBorder="1"/>
    <xf numFmtId="170" fontId="9" fillId="3" borderId="3" xfId="0" applyNumberFormat="1" applyFont="1" applyFill="1" applyBorder="1" applyAlignment="1">
      <alignment horizontal="left" vertical="center" wrapText="1"/>
    </xf>
    <xf numFmtId="170" fontId="5" fillId="0" borderId="3" xfId="0" applyNumberFormat="1" applyFont="1" applyFill="1" applyBorder="1" applyAlignment="1">
      <alignment horizontal="justify" vertical="center" wrapText="1"/>
    </xf>
    <xf numFmtId="3" fontId="5" fillId="4" borderId="3" xfId="0" applyNumberFormat="1" applyFont="1" applyFill="1" applyBorder="1" applyAlignment="1">
      <alignment vertical="center" wrapText="1"/>
    </xf>
    <xf numFmtId="170" fontId="5" fillId="6" borderId="3" xfId="142" applyNumberFormat="1" applyFont="1" applyFill="1" applyBorder="1" applyAlignment="1">
      <alignment horizontal="center" vertical="center"/>
    </xf>
    <xf numFmtId="170" fontId="5" fillId="0" borderId="3" xfId="0" applyNumberFormat="1" applyFont="1" applyFill="1" applyBorder="1" applyAlignment="1">
      <alignment horizontal="justify" vertical="center"/>
    </xf>
    <xf numFmtId="170" fontId="5" fillId="7" borderId="3" xfId="142" applyNumberFormat="1" applyFont="1" applyFill="1" applyBorder="1" applyAlignment="1">
      <alignment horizontal="center" vertical="center"/>
    </xf>
    <xf numFmtId="170" fontId="5" fillId="5" borderId="3" xfId="142" applyNumberFormat="1" applyFont="1" applyFill="1" applyBorder="1" applyAlignment="1">
      <alignment horizontal="center" vertical="center"/>
    </xf>
    <xf numFmtId="170" fontId="5" fillId="4" borderId="3" xfId="142" applyNumberFormat="1" applyFont="1" applyFill="1" applyBorder="1" applyAlignment="1">
      <alignment horizontal="center" vertical="center"/>
    </xf>
    <xf numFmtId="170" fontId="5" fillId="8" borderId="3" xfId="142" applyNumberFormat="1" applyFont="1" applyFill="1" applyBorder="1" applyAlignment="1">
      <alignment horizontal="center" vertical="center"/>
    </xf>
    <xf numFmtId="172" fontId="6" fillId="0" borderId="3" xfId="142" applyNumberFormat="1" applyFont="1" applyFill="1" applyBorder="1"/>
    <xf numFmtId="43" fontId="3" fillId="7" borderId="3" xfId="142" applyFont="1" applyFill="1" applyBorder="1" applyAlignment="1">
      <alignment vertical="center"/>
    </xf>
    <xf numFmtId="0" fontId="6" fillId="0" borderId="3" xfId="0" applyFont="1" applyFill="1" applyBorder="1" applyAlignment="1">
      <alignment horizontal="left" vertical="center" wrapText="1"/>
    </xf>
    <xf numFmtId="170" fontId="5" fillId="7" borderId="3" xfId="142" applyNumberFormat="1" applyFont="1" applyFill="1" applyBorder="1" applyAlignment="1">
      <alignment horizontal="right" vertical="center" wrapText="1"/>
    </xf>
    <xf numFmtId="0" fontId="6" fillId="0" borderId="3" xfId="0" applyFont="1" applyBorder="1" applyAlignment="1">
      <alignment horizontal="left" vertical="center" wrapText="1"/>
    </xf>
    <xf numFmtId="172" fontId="5" fillId="7" borderId="3" xfId="142" applyNumberFormat="1" applyFont="1" applyFill="1" applyBorder="1" applyAlignment="1">
      <alignment horizontal="right" vertical="center" wrapText="1"/>
    </xf>
    <xf numFmtId="170" fontId="13" fillId="2" borderId="3" xfId="1361" applyNumberFormat="1" applyFont="1" applyFill="1" applyBorder="1" applyAlignment="1">
      <alignment horizontal="right" vertical="center"/>
    </xf>
    <xf numFmtId="170" fontId="12" fillId="0" borderId="3" xfId="2" applyNumberFormat="1" applyFont="1" applyFill="1" applyBorder="1" applyAlignment="1">
      <alignment horizontal="justify" vertical="center"/>
    </xf>
    <xf numFmtId="172" fontId="6" fillId="0" borderId="3" xfId="142" applyNumberFormat="1" applyFont="1" applyBorder="1"/>
    <xf numFmtId="172" fontId="5" fillId="7" borderId="3" xfId="142" applyNumberFormat="1" applyFont="1" applyFill="1" applyBorder="1" applyAlignment="1">
      <alignment horizontal="justify" vertical="center"/>
    </xf>
    <xf numFmtId="172" fontId="5" fillId="5" borderId="3" xfId="142" applyNumberFormat="1" applyFont="1" applyFill="1" applyBorder="1" applyAlignment="1">
      <alignment horizontal="justify" vertical="center"/>
    </xf>
    <xf numFmtId="172" fontId="5" fillId="4" borderId="3" xfId="142" applyNumberFormat="1" applyFont="1" applyFill="1" applyBorder="1" applyAlignment="1">
      <alignment horizontal="justify" vertical="center"/>
    </xf>
    <xf numFmtId="172" fontId="5" fillId="8" borderId="3" xfId="142" applyNumberFormat="1" applyFont="1" applyFill="1" applyBorder="1" applyAlignment="1">
      <alignment horizontal="justify" vertical="center"/>
    </xf>
    <xf numFmtId="172" fontId="7" fillId="2" borderId="3" xfId="142" applyNumberFormat="1" applyFont="1" applyFill="1" applyBorder="1" applyAlignment="1">
      <alignment vertical="center" wrapText="1"/>
    </xf>
    <xf numFmtId="172" fontId="7" fillId="2" borderId="3" xfId="142" applyNumberFormat="1" applyFont="1" applyFill="1" applyBorder="1" applyAlignment="1">
      <alignment vertical="center"/>
    </xf>
    <xf numFmtId="170" fontId="3" fillId="7" borderId="3" xfId="0" applyNumberFormat="1" applyFont="1" applyFill="1" applyBorder="1" applyAlignment="1">
      <alignment vertical="center"/>
    </xf>
    <xf numFmtId="170" fontId="3" fillId="2" borderId="3" xfId="2" applyNumberFormat="1" applyFont="1" applyFill="1" applyBorder="1" applyAlignment="1">
      <alignment horizontal="justify" vertical="center"/>
    </xf>
    <xf numFmtId="170" fontId="21" fillId="2" borderId="3" xfId="0" applyNumberFormat="1" applyFont="1" applyFill="1" applyBorder="1"/>
    <xf numFmtId="170" fontId="14" fillId="0" borderId="3" xfId="2" applyNumberFormat="1" applyFont="1" applyBorder="1"/>
    <xf numFmtId="172" fontId="21" fillId="0" borderId="3" xfId="142" applyNumberFormat="1" applyFont="1" applyBorder="1"/>
    <xf numFmtId="170" fontId="21" fillId="15" borderId="3" xfId="2" applyNumberFormat="1" applyFont="1" applyFill="1" applyBorder="1" applyAlignment="1">
      <alignment vertical="center"/>
    </xf>
    <xf numFmtId="170" fontId="6" fillId="0" borderId="0" xfId="0" applyNumberFormat="1" applyFont="1" applyBorder="1"/>
    <xf numFmtId="0" fontId="6" fillId="0" borderId="0" xfId="0" applyFont="1" applyFill="1"/>
    <xf numFmtId="0" fontId="48" fillId="43" borderId="3" xfId="0" applyNumberFormat="1" applyFont="1" applyFill="1" applyBorder="1" applyAlignment="1">
      <alignment horizontal="center" vertical="center" wrapText="1"/>
    </xf>
    <xf numFmtId="0" fontId="22" fillId="0" borderId="0" xfId="0" applyFont="1"/>
    <xf numFmtId="170" fontId="52" fillId="44" borderId="3" xfId="142" applyNumberFormat="1" applyFont="1" applyFill="1" applyBorder="1" applyAlignment="1">
      <alignment horizontal="center" vertical="center" wrapText="1"/>
    </xf>
    <xf numFmtId="0" fontId="53" fillId="44" borderId="3" xfId="0" applyFont="1" applyFill="1" applyBorder="1" applyAlignment="1">
      <alignment horizontal="center" vertical="center" wrapText="1"/>
    </xf>
    <xf numFmtId="0" fontId="22" fillId="0" borderId="3" xfId="0" applyFont="1" applyBorder="1" applyAlignment="1">
      <alignment horizontal="center"/>
    </xf>
    <xf numFmtId="170" fontId="8" fillId="0" borderId="3" xfId="142" applyNumberFormat="1" applyFont="1" applyFill="1" applyBorder="1" applyAlignment="1">
      <alignment horizontal="left" vertical="center"/>
    </xf>
    <xf numFmtId="170" fontId="8" fillId="0" borderId="3" xfId="142" applyNumberFormat="1" applyFont="1" applyFill="1" applyBorder="1" applyAlignment="1">
      <alignment horizontal="right" vertical="center"/>
    </xf>
    <xf numFmtId="9" fontId="8" fillId="0" borderId="3" xfId="1362" applyFont="1" applyFill="1" applyBorder="1" applyAlignment="1">
      <alignment horizontal="center" vertical="center"/>
    </xf>
    <xf numFmtId="170" fontId="22" fillId="0" borderId="3" xfId="142" applyNumberFormat="1" applyFont="1" applyFill="1" applyBorder="1"/>
    <xf numFmtId="9" fontId="22" fillId="0" borderId="3" xfId="1362" applyFont="1" applyBorder="1" applyAlignment="1">
      <alignment horizontal="center"/>
    </xf>
    <xf numFmtId="0" fontId="22" fillId="0" borderId="3" xfId="0" applyFont="1" applyFill="1" applyBorder="1" applyAlignment="1">
      <alignment horizontal="center"/>
    </xf>
    <xf numFmtId="0" fontId="22" fillId="0" borderId="3" xfId="0" applyFont="1" applyFill="1" applyBorder="1"/>
    <xf numFmtId="9" fontId="22" fillId="0" borderId="3" xfId="1362" applyFont="1" applyFill="1" applyBorder="1" applyAlignment="1">
      <alignment horizontal="center"/>
    </xf>
    <xf numFmtId="0" fontId="22" fillId="0" borderId="0" xfId="0" applyFont="1" applyFill="1"/>
    <xf numFmtId="0" fontId="22" fillId="0" borderId="3" xfId="0" applyFont="1" applyFill="1" applyBorder="1" applyAlignment="1">
      <alignment horizontal="left"/>
    </xf>
    <xf numFmtId="0" fontId="8" fillId="0" borderId="3" xfId="0" applyFont="1" applyFill="1" applyBorder="1" applyAlignment="1">
      <alignment horizontal="center"/>
    </xf>
    <xf numFmtId="0" fontId="8" fillId="0" borderId="3" xfId="0" applyFont="1" applyFill="1" applyBorder="1" applyAlignment="1">
      <alignment horizontal="left"/>
    </xf>
    <xf numFmtId="3" fontId="8" fillId="0" borderId="3" xfId="0" applyNumberFormat="1" applyFont="1" applyFill="1" applyBorder="1" applyAlignment="1" applyProtection="1">
      <alignment horizontal="right" vertical="center"/>
    </xf>
    <xf numFmtId="37" fontId="8" fillId="0" borderId="3" xfId="142" applyNumberFormat="1" applyFont="1" applyFill="1" applyBorder="1"/>
    <xf numFmtId="0" fontId="8" fillId="0" borderId="0" xfId="0" applyFont="1" applyFill="1"/>
    <xf numFmtId="170" fontId="8" fillId="0" borderId="3" xfId="142" applyNumberFormat="1" applyFont="1" applyFill="1" applyBorder="1"/>
    <xf numFmtId="3" fontId="8" fillId="0" borderId="3" xfId="0" applyNumberFormat="1" applyFont="1" applyFill="1" applyBorder="1" applyAlignment="1">
      <alignment horizontal="right" vertical="center"/>
    </xf>
    <xf numFmtId="170" fontId="52" fillId="44" borderId="11" xfId="142" applyNumberFormat="1" applyFont="1" applyFill="1" applyBorder="1" applyAlignment="1">
      <alignment vertical="center"/>
    </xf>
    <xf numFmtId="170" fontId="52" fillId="44" borderId="2" xfId="142" applyNumberFormat="1" applyFont="1" applyFill="1" applyBorder="1" applyAlignment="1">
      <alignment vertical="center"/>
    </xf>
    <xf numFmtId="170" fontId="52" fillId="44" borderId="3" xfId="142" applyNumberFormat="1" applyFont="1" applyFill="1" applyBorder="1" applyAlignment="1">
      <alignment horizontal="right" vertical="center"/>
    </xf>
    <xf numFmtId="9" fontId="52" fillId="44" borderId="3" xfId="1362" applyFont="1" applyFill="1" applyBorder="1" applyAlignment="1">
      <alignment horizontal="center" vertical="center"/>
    </xf>
    <xf numFmtId="170" fontId="8" fillId="0" borderId="0" xfId="142" applyNumberFormat="1" applyFont="1" applyFill="1" applyBorder="1" applyAlignment="1">
      <alignment horizontal="left" vertical="center"/>
    </xf>
    <xf numFmtId="170" fontId="8" fillId="0" borderId="0" xfId="142" applyNumberFormat="1" applyFont="1" applyFill="1" applyBorder="1" applyAlignment="1">
      <alignment horizontal="right" vertical="center"/>
    </xf>
    <xf numFmtId="0" fontId="52" fillId="44" borderId="234" xfId="0" applyFont="1" applyFill="1" applyBorder="1" applyAlignment="1">
      <alignment horizontal="left"/>
    </xf>
    <xf numFmtId="0" fontId="52" fillId="44" borderId="233" xfId="0" applyFont="1" applyFill="1" applyBorder="1" applyAlignment="1">
      <alignment horizontal="left"/>
    </xf>
    <xf numFmtId="170" fontId="52" fillId="44" borderId="3" xfId="0" applyNumberFormat="1" applyFont="1" applyFill="1" applyBorder="1"/>
    <xf numFmtId="0" fontId="22" fillId="0" borderId="0" xfId="0" applyFont="1" applyAlignment="1">
      <alignment horizontal="left"/>
    </xf>
    <xf numFmtId="170" fontId="22" fillId="0" borderId="0" xfId="142" applyNumberFormat="1" applyFont="1"/>
    <xf numFmtId="170" fontId="22" fillId="0" borderId="0" xfId="142" applyNumberFormat="1" applyFont="1" applyAlignment="1">
      <alignment horizontal="center"/>
    </xf>
    <xf numFmtId="0" fontId="52" fillId="44" borderId="0" xfId="0" applyFont="1" applyFill="1" applyBorder="1" applyAlignment="1">
      <alignment horizontal="left"/>
    </xf>
    <xf numFmtId="0" fontId="52" fillId="44" borderId="15" xfId="0" applyFont="1" applyFill="1" applyBorder="1" applyAlignment="1">
      <alignment horizontal="left"/>
    </xf>
    <xf numFmtId="170" fontId="52" fillId="44" borderId="3" xfId="142" applyNumberFormat="1" applyFont="1" applyFill="1" applyBorder="1"/>
    <xf numFmtId="170" fontId="0" fillId="0" borderId="0" xfId="0" applyNumberFormat="1"/>
    <xf numFmtId="0" fontId="8" fillId="0" borderId="3" xfId="0" applyFont="1" applyFill="1" applyBorder="1"/>
    <xf numFmtId="170" fontId="54" fillId="44" borderId="3" xfId="142" applyNumberFormat="1" applyFont="1" applyFill="1" applyBorder="1" applyAlignment="1">
      <alignment horizontal="center" wrapText="1"/>
    </xf>
    <xf numFmtId="170" fontId="54" fillId="44" borderId="3" xfId="142" applyNumberFormat="1" applyFont="1" applyFill="1" applyBorder="1" applyAlignment="1">
      <alignment horizontal="center" vertical="center" wrapText="1"/>
    </xf>
    <xf numFmtId="0" fontId="55" fillId="0" borderId="0" xfId="0" applyFont="1"/>
    <xf numFmtId="9" fontId="52" fillId="44" borderId="3" xfId="1362" applyFont="1" applyFill="1" applyBorder="1" applyAlignment="1">
      <alignment horizontal="center"/>
    </xf>
    <xf numFmtId="0" fontId="13" fillId="0" borderId="3" xfId="0" applyFont="1" applyBorder="1" applyAlignment="1">
      <alignment horizontal="center" vertical="center" wrapText="1"/>
    </xf>
    <xf numFmtId="0" fontId="13" fillId="0" borderId="3" xfId="0" applyNumberFormat="1" applyFont="1" applyFill="1" applyBorder="1" applyAlignment="1">
      <alignment horizontal="center" vertical="center" wrapText="1"/>
    </xf>
    <xf numFmtId="0" fontId="8" fillId="0" borderId="3" xfId="0" applyFont="1" applyBorder="1" applyAlignment="1">
      <alignment horizontal="justify" vertical="center" wrapText="1"/>
    </xf>
    <xf numFmtId="0" fontId="22" fillId="46" borderId="0" xfId="0" applyFont="1" applyFill="1" applyAlignment="1" applyProtection="1">
      <alignment horizontal="center" vertical="center"/>
      <protection locked="0"/>
    </xf>
    <xf numFmtId="9" fontId="8" fillId="0" borderId="3" xfId="1362" applyFont="1" applyFill="1" applyBorder="1" applyAlignment="1" applyProtection="1">
      <alignment horizontal="center" vertical="center" wrapText="1"/>
      <protection locked="0"/>
    </xf>
    <xf numFmtId="0" fontId="22" fillId="42" borderId="3" xfId="0" applyNumberFormat="1" applyFont="1" applyFill="1" applyBorder="1" applyAlignment="1" applyProtection="1">
      <alignment horizontal="center" vertical="center" wrapText="1"/>
      <protection locked="0"/>
    </xf>
    <xf numFmtId="0" fontId="22" fillId="45" borderId="3" xfId="0" applyNumberFormat="1" applyFont="1" applyFill="1" applyBorder="1" applyAlignment="1" applyProtection="1">
      <alignment horizontal="center" vertical="center" wrapText="1"/>
      <protection locked="0"/>
    </xf>
    <xf numFmtId="0" fontId="22" fillId="41" borderId="3" xfId="0" applyNumberFormat="1" applyFont="1" applyFill="1" applyBorder="1" applyAlignment="1" applyProtection="1">
      <alignment horizontal="center" vertical="center" wrapText="1"/>
      <protection locked="0"/>
    </xf>
    <xf numFmtId="0" fontId="50" fillId="0" borderId="3" xfId="0" applyFont="1" applyBorder="1" applyAlignment="1">
      <alignment horizontal="left"/>
    </xf>
    <xf numFmtId="9" fontId="13" fillId="0" borderId="3" xfId="1362" applyFont="1" applyFill="1" applyBorder="1" applyAlignment="1">
      <alignment horizontal="center" vertical="center" wrapText="1"/>
    </xf>
    <xf numFmtId="170" fontId="52" fillId="44" borderId="7" xfId="142" applyNumberFormat="1" applyFont="1" applyFill="1" applyBorder="1" applyAlignment="1">
      <alignment vertical="center" wrapText="1"/>
    </xf>
    <xf numFmtId="170" fontId="52" fillId="44" borderId="2" xfId="142" applyNumberFormat="1" applyFont="1" applyFill="1" applyBorder="1" applyAlignment="1">
      <alignment vertical="center" wrapText="1"/>
    </xf>
    <xf numFmtId="170" fontId="52" fillId="44" borderId="3" xfId="142" applyNumberFormat="1" applyFont="1" applyFill="1" applyBorder="1" applyAlignment="1">
      <alignment horizontal="center" wrapText="1"/>
    </xf>
    <xf numFmtId="9" fontId="8" fillId="0" borderId="3" xfId="1362" applyNumberFormat="1" applyFont="1" applyFill="1" applyBorder="1" applyAlignment="1">
      <alignment horizontal="center" vertical="center"/>
    </xf>
    <xf numFmtId="2" fontId="5" fillId="7" borderId="3" xfId="0" applyNumberFormat="1" applyFont="1" applyFill="1" applyBorder="1" applyAlignment="1">
      <alignment horizontal="center" vertical="center"/>
    </xf>
    <xf numFmtId="2" fontId="5" fillId="0" borderId="12" xfId="0" applyNumberFormat="1" applyFont="1" applyFill="1" applyBorder="1" applyAlignment="1">
      <alignment horizontal="center" vertical="center"/>
    </xf>
    <xf numFmtId="2" fontId="3" fillId="7" borderId="12" xfId="0" applyNumberFormat="1" applyFont="1" applyFill="1" applyBorder="1" applyAlignment="1">
      <alignment vertical="center"/>
    </xf>
    <xf numFmtId="2" fontId="3" fillId="7" borderId="11" xfId="0" applyNumberFormat="1" applyFont="1" applyFill="1" applyBorder="1" applyAlignment="1">
      <alignment vertical="center"/>
    </xf>
    <xf numFmtId="2" fontId="5" fillId="5" borderId="3" xfId="0" applyNumberFormat="1" applyFont="1" applyFill="1" applyBorder="1" applyAlignment="1">
      <alignment horizontal="center" vertical="center"/>
    </xf>
    <xf numFmtId="2" fontId="3" fillId="5" borderId="11" xfId="0" applyNumberFormat="1" applyFont="1" applyFill="1" applyBorder="1" applyAlignment="1">
      <alignment vertical="center"/>
    </xf>
    <xf numFmtId="2" fontId="3" fillId="11" borderId="11" xfId="0" applyNumberFormat="1" applyFont="1" applyFill="1" applyBorder="1" applyAlignment="1">
      <alignment vertical="center"/>
    </xf>
    <xf numFmtId="2" fontId="5" fillId="7" borderId="3" xfId="2" applyNumberFormat="1" applyFont="1" applyFill="1" applyBorder="1" applyAlignment="1">
      <alignment horizontal="center" vertical="center"/>
    </xf>
    <xf numFmtId="2" fontId="5" fillId="0" borderId="12" xfId="2" applyNumberFormat="1" applyFont="1" applyFill="1" applyBorder="1" applyAlignment="1">
      <alignment horizontal="center" vertical="center"/>
    </xf>
    <xf numFmtId="2" fontId="3" fillId="5" borderId="12" xfId="0" applyNumberFormat="1" applyFont="1" applyFill="1" applyBorder="1" applyAlignment="1">
      <alignment vertical="center"/>
    </xf>
    <xf numFmtId="2" fontId="5" fillId="4" borderId="3" xfId="0" applyNumberFormat="1" applyFont="1" applyFill="1" applyBorder="1" applyAlignment="1">
      <alignment horizontal="center" vertical="center"/>
    </xf>
    <xf numFmtId="2" fontId="3" fillId="4" borderId="11" xfId="0" applyNumberFormat="1" applyFont="1" applyFill="1" applyBorder="1" applyAlignment="1">
      <alignment vertical="center"/>
    </xf>
    <xf numFmtId="2" fontId="5" fillId="7" borderId="6"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2" fontId="3" fillId="6" borderId="11" xfId="0" applyNumberFormat="1" applyFont="1" applyFill="1" applyBorder="1" applyAlignment="1">
      <alignment vertical="center"/>
    </xf>
    <xf numFmtId="165" fontId="3" fillId="4" borderId="3" xfId="1363" applyFont="1" applyFill="1" applyBorder="1" applyAlignment="1">
      <alignment vertical="center"/>
    </xf>
    <xf numFmtId="187" fontId="5" fillId="7" borderId="3" xfId="2" applyNumberFormat="1" applyFont="1" applyFill="1" applyBorder="1" applyAlignment="1">
      <alignment horizontal="justify" vertical="center"/>
    </xf>
    <xf numFmtId="188" fontId="5" fillId="0" borderId="3" xfId="1" applyNumberFormat="1" applyFont="1" applyFill="1" applyBorder="1" applyAlignment="1">
      <alignment horizontal="center" vertical="center"/>
    </xf>
    <xf numFmtId="187" fontId="5" fillId="8" borderId="3" xfId="2" applyNumberFormat="1" applyFont="1" applyFill="1" applyBorder="1" applyAlignment="1">
      <alignment horizontal="justify" vertical="center"/>
    </xf>
    <xf numFmtId="43" fontId="5" fillId="8" borderId="3" xfId="2" applyNumberFormat="1" applyFont="1" applyFill="1" applyBorder="1" applyAlignment="1">
      <alignment horizontal="justify" vertical="center"/>
    </xf>
    <xf numFmtId="167" fontId="3" fillId="7" borderId="11" xfId="1" applyNumberFormat="1" applyFont="1" applyFill="1" applyBorder="1" applyAlignment="1">
      <alignment horizontal="center" vertical="center"/>
    </xf>
    <xf numFmtId="167" fontId="5" fillId="0" borderId="7" xfId="1" applyNumberFormat="1" applyFont="1" applyFill="1" applyBorder="1" applyAlignment="1">
      <alignment horizontal="center" vertical="center" wrapText="1"/>
    </xf>
    <xf numFmtId="167" fontId="5" fillId="7" borderId="3" xfId="2" applyNumberFormat="1" applyFont="1" applyFill="1" applyBorder="1" applyAlignment="1">
      <alignment horizontal="justify" vertical="center"/>
    </xf>
    <xf numFmtId="167" fontId="5" fillId="0" borderId="11" xfId="1" applyNumberFormat="1" applyFont="1" applyFill="1" applyBorder="1" applyAlignment="1">
      <alignment horizontal="center" vertical="center"/>
    </xf>
    <xf numFmtId="167" fontId="5" fillId="7" borderId="3" xfId="0" applyNumberFormat="1" applyFont="1" applyFill="1" applyBorder="1" applyAlignment="1">
      <alignment horizontal="justify" vertical="center" wrapText="1"/>
    </xf>
    <xf numFmtId="167" fontId="5" fillId="0" borderId="11" xfId="1" applyNumberFormat="1" applyFont="1" applyFill="1" applyBorder="1" applyAlignment="1">
      <alignment horizontal="center" vertical="center" wrapText="1"/>
    </xf>
    <xf numFmtId="167" fontId="5" fillId="0" borderId="3" xfId="1" applyNumberFormat="1" applyFont="1" applyFill="1" applyBorder="1" applyAlignment="1">
      <alignment horizontal="center" vertical="center" wrapText="1"/>
    </xf>
    <xf numFmtId="167" fontId="5" fillId="0" borderId="7" xfId="1" applyNumberFormat="1" applyFont="1" applyFill="1" applyBorder="1" applyAlignment="1">
      <alignment horizontal="center" vertical="center"/>
    </xf>
    <xf numFmtId="167" fontId="5" fillId="5" borderId="3" xfId="0" applyNumberFormat="1" applyFont="1" applyFill="1" applyBorder="1" applyAlignment="1">
      <alignment horizontal="justify" vertical="center" wrapText="1"/>
    </xf>
    <xf numFmtId="167" fontId="3" fillId="4" borderId="3" xfId="0" applyNumberFormat="1" applyFont="1" applyFill="1" applyBorder="1" applyAlignment="1">
      <alignment vertical="center" wrapText="1"/>
    </xf>
    <xf numFmtId="167" fontId="3" fillId="4" borderId="11" xfId="1" applyNumberFormat="1" applyFont="1" applyFill="1" applyBorder="1" applyAlignment="1">
      <alignment horizontal="center" vertical="center"/>
    </xf>
    <xf numFmtId="167" fontId="3" fillId="5" borderId="11" xfId="1" applyNumberFormat="1" applyFont="1" applyFill="1" applyBorder="1" applyAlignment="1">
      <alignment horizontal="center" vertical="center"/>
    </xf>
    <xf numFmtId="167" fontId="5" fillId="6" borderId="3" xfId="2" applyNumberFormat="1" applyFont="1" applyFill="1" applyBorder="1" applyAlignment="1">
      <alignment horizontal="justify" vertical="center"/>
    </xf>
    <xf numFmtId="167" fontId="5" fillId="6" borderId="3" xfId="1" applyNumberFormat="1" applyFont="1" applyFill="1" applyBorder="1" applyAlignment="1">
      <alignment horizontal="center" vertical="center"/>
    </xf>
    <xf numFmtId="167" fontId="5" fillId="7" borderId="11" xfId="2" applyNumberFormat="1" applyFont="1" applyFill="1" applyBorder="1" applyAlignment="1">
      <alignment horizontal="justify" vertical="center"/>
    </xf>
    <xf numFmtId="167" fontId="5" fillId="2" borderId="3" xfId="1" applyNumberFormat="1" applyFont="1" applyFill="1" applyBorder="1" applyAlignment="1">
      <alignment horizontal="center" vertical="center"/>
    </xf>
    <xf numFmtId="167" fontId="5" fillId="7" borderId="3" xfId="0" applyNumberFormat="1" applyFont="1" applyFill="1" applyBorder="1" applyAlignment="1">
      <alignment horizontal="justify" vertical="center"/>
    </xf>
    <xf numFmtId="167" fontId="5" fillId="0" borderId="3" xfId="2" applyNumberFormat="1" applyFont="1" applyFill="1" applyBorder="1" applyAlignment="1">
      <alignment horizontal="justify" vertical="center"/>
    </xf>
    <xf numFmtId="167" fontId="5" fillId="5" borderId="3" xfId="2" applyNumberFormat="1" applyFont="1" applyFill="1" applyBorder="1" applyAlignment="1">
      <alignment horizontal="justify" vertical="center"/>
    </xf>
    <xf numFmtId="167" fontId="5" fillId="4" borderId="3" xfId="2" applyNumberFormat="1" applyFont="1" applyFill="1" applyBorder="1" applyAlignment="1">
      <alignment horizontal="justify" vertical="center"/>
    </xf>
    <xf numFmtId="167" fontId="5" fillId="0" borderId="6" xfId="1" applyNumberFormat="1" applyFont="1" applyFill="1" applyBorder="1" applyAlignment="1">
      <alignment horizontal="center" vertical="center"/>
    </xf>
    <xf numFmtId="187" fontId="5" fillId="8" borderId="3" xfId="142" applyNumberFormat="1" applyFont="1" applyFill="1" applyBorder="1" applyAlignment="1">
      <alignment horizontal="center" vertical="center"/>
    </xf>
    <xf numFmtId="43" fontId="5" fillId="8" borderId="3" xfId="0" applyNumberFormat="1" applyFont="1" applyFill="1" applyBorder="1" applyAlignment="1">
      <alignment horizontal="justify" vertical="center" wrapText="1"/>
    </xf>
    <xf numFmtId="43" fontId="5" fillId="8" borderId="3" xfId="0" applyNumberFormat="1" applyFont="1" applyFill="1" applyBorder="1" applyAlignment="1">
      <alignment horizontal="center" vertical="center" wrapText="1"/>
    </xf>
    <xf numFmtId="43" fontId="5" fillId="8" borderId="3" xfId="0" applyNumberFormat="1" applyFont="1" applyFill="1" applyBorder="1" applyAlignment="1">
      <alignment horizontal="justify" vertical="center"/>
    </xf>
    <xf numFmtId="43" fontId="5" fillId="8" borderId="3" xfId="0" applyNumberFormat="1" applyFont="1" applyFill="1" applyBorder="1" applyAlignment="1">
      <alignment horizontal="center" vertical="center"/>
    </xf>
    <xf numFmtId="43" fontId="7" fillId="8" borderId="3" xfId="0" applyNumberFormat="1" applyFont="1" applyFill="1" applyBorder="1" applyAlignment="1">
      <alignment horizontal="right" vertical="center" wrapText="1"/>
    </xf>
    <xf numFmtId="43" fontId="5" fillId="0" borderId="11" xfId="2" applyNumberFormat="1" applyFont="1" applyFill="1" applyBorder="1" applyAlignment="1">
      <alignment horizontal="justify" vertical="center"/>
    </xf>
    <xf numFmtId="43" fontId="7" fillId="8" borderId="3" xfId="2" applyNumberFormat="1" applyFont="1" applyFill="1" applyBorder="1" applyAlignment="1">
      <alignment horizontal="justify" vertical="center"/>
    </xf>
    <xf numFmtId="43" fontId="5" fillId="0" borderId="3" xfId="2" applyNumberFormat="1" applyFont="1" applyFill="1" applyBorder="1" applyAlignment="1">
      <alignment horizontal="justify" vertical="center"/>
    </xf>
    <xf numFmtId="189" fontId="7" fillId="7" borderId="3" xfId="0" applyNumberFormat="1" applyFont="1" applyFill="1" applyBorder="1" applyAlignment="1">
      <alignment horizontal="right" vertical="center" wrapText="1"/>
    </xf>
    <xf numFmtId="189" fontId="5" fillId="7" borderId="3" xfId="0" applyNumberFormat="1" applyFont="1" applyFill="1" applyBorder="1" applyAlignment="1">
      <alignment horizontal="justify" vertical="center" wrapText="1"/>
    </xf>
    <xf numFmtId="189" fontId="5" fillId="7" borderId="3" xfId="0" applyNumberFormat="1" applyFont="1" applyFill="1" applyBorder="1" applyAlignment="1">
      <alignment horizontal="center" vertical="center" wrapText="1"/>
    </xf>
    <xf numFmtId="189" fontId="5" fillId="7" borderId="3" xfId="2" applyNumberFormat="1" applyFont="1" applyFill="1" applyBorder="1" applyAlignment="1">
      <alignment horizontal="justify" vertical="center"/>
    </xf>
    <xf numFmtId="189" fontId="7" fillId="5" borderId="3" xfId="0" applyNumberFormat="1" applyFont="1" applyFill="1" applyBorder="1" applyAlignment="1">
      <alignment horizontal="right" vertical="center" wrapText="1"/>
    </xf>
    <xf numFmtId="189" fontId="5" fillId="5" borderId="3" xfId="0" applyNumberFormat="1" applyFont="1" applyFill="1" applyBorder="1" applyAlignment="1">
      <alignment horizontal="justify" vertical="center" wrapText="1"/>
    </xf>
    <xf numFmtId="189" fontId="5" fillId="5" borderId="3" xfId="0" applyNumberFormat="1" applyFont="1" applyFill="1" applyBorder="1" applyAlignment="1">
      <alignment horizontal="center" vertical="center" wrapText="1"/>
    </xf>
    <xf numFmtId="189" fontId="5" fillId="5" borderId="3" xfId="2" applyNumberFormat="1" applyFont="1" applyFill="1" applyBorder="1" applyAlignment="1">
      <alignment horizontal="justify" vertical="center"/>
    </xf>
    <xf numFmtId="189" fontId="7" fillId="4" borderId="3" xfId="0" applyNumberFormat="1" applyFont="1" applyFill="1" applyBorder="1" applyAlignment="1">
      <alignment horizontal="right" vertical="center" wrapText="1"/>
    </xf>
    <xf numFmtId="189" fontId="5" fillId="4" borderId="3" xfId="0" applyNumberFormat="1" applyFont="1" applyFill="1" applyBorder="1" applyAlignment="1">
      <alignment horizontal="justify" vertical="center" wrapText="1"/>
    </xf>
    <xf numFmtId="189" fontId="5" fillId="4" borderId="3" xfId="0" applyNumberFormat="1" applyFont="1" applyFill="1" applyBorder="1" applyAlignment="1">
      <alignment horizontal="center" vertical="center" wrapText="1"/>
    </xf>
    <xf numFmtId="189" fontId="5" fillId="4" borderId="3" xfId="2" applyNumberFormat="1" applyFont="1" applyFill="1" applyBorder="1" applyAlignment="1">
      <alignment horizontal="justify" vertical="center"/>
    </xf>
    <xf numFmtId="189" fontId="7" fillId="8" borderId="3" xfId="0" applyNumberFormat="1" applyFont="1" applyFill="1" applyBorder="1" applyAlignment="1">
      <alignment horizontal="right" vertical="center" wrapText="1"/>
    </xf>
    <xf numFmtId="189" fontId="5" fillId="8" borderId="3" xfId="0" applyNumberFormat="1" applyFont="1" applyFill="1" applyBorder="1" applyAlignment="1">
      <alignment horizontal="justify" vertical="center" wrapText="1"/>
    </xf>
    <xf numFmtId="189" fontId="5" fillId="8" borderId="3" xfId="2" applyNumberFormat="1" applyFont="1" applyFill="1" applyBorder="1" applyAlignment="1">
      <alignment horizontal="justify" vertical="center"/>
    </xf>
    <xf numFmtId="43" fontId="5" fillId="0" borderId="3" xfId="142" applyNumberFormat="1" applyFont="1" applyFill="1" applyBorder="1" applyAlignment="1">
      <alignment horizontal="justify" vertical="center"/>
    </xf>
    <xf numFmtId="0" fontId="5" fillId="0" borderId="10" xfId="0" applyFont="1" applyFill="1" applyBorder="1" applyAlignment="1" applyProtection="1">
      <alignment horizontal="center" vertical="center" wrapText="1"/>
      <protection locked="0"/>
    </xf>
    <xf numFmtId="1" fontId="5" fillId="0" borderId="3" xfId="0" applyNumberFormat="1" applyFont="1" applyFill="1" applyBorder="1" applyAlignment="1">
      <alignment horizontal="center" vertical="center"/>
    </xf>
    <xf numFmtId="1" fontId="8" fillId="0" borderId="3" xfId="0" applyNumberFormat="1" applyFont="1" applyFill="1" applyBorder="1" applyAlignment="1">
      <alignment horizontal="center" vertical="center"/>
    </xf>
    <xf numFmtId="175" fontId="6" fillId="0" borderId="3"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3" xfId="3" applyNumberFormat="1" applyFont="1" applyFill="1" applyBorder="1" applyAlignment="1">
      <alignment horizontal="center" vertical="center" wrapText="1"/>
    </xf>
    <xf numFmtId="3" fontId="5" fillId="0" borderId="3" xfId="0" applyNumberFormat="1"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7" borderId="11" xfId="0" applyFont="1" applyFill="1" applyBorder="1" applyAlignment="1">
      <alignment horizontal="left" vertical="center"/>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justify"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justify" vertical="center"/>
    </xf>
    <xf numFmtId="16" fontId="5" fillId="2" borderId="10"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Fill="1" applyBorder="1" applyAlignment="1">
      <alignment horizontal="justify" vertical="center"/>
    </xf>
    <xf numFmtId="16" fontId="5" fillId="0" borderId="10"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6" xfId="0" applyFont="1" applyFill="1" applyBorder="1" applyAlignment="1">
      <alignment horizontal="right" vertical="center" wrapText="1"/>
    </xf>
    <xf numFmtId="0" fontId="7" fillId="0" borderId="10" xfId="0" applyFont="1" applyFill="1" applyBorder="1" applyAlignment="1">
      <alignment horizontal="right" vertical="center" wrapText="1"/>
    </xf>
    <xf numFmtId="3" fontId="5" fillId="0" borderId="6" xfId="0" applyNumberFormat="1" applyFont="1" applyFill="1" applyBorder="1" applyAlignment="1">
      <alignment horizontal="center" vertical="center"/>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0" fontId="8" fillId="2" borderId="1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8" fillId="2" borderId="6" xfId="0" applyFont="1" applyFill="1" applyBorder="1" applyAlignment="1">
      <alignment horizontal="justify" vertical="center" wrapText="1"/>
    </xf>
    <xf numFmtId="0" fontId="8" fillId="2" borderId="10" xfId="0" applyFont="1" applyFill="1" applyBorder="1" applyAlignment="1">
      <alignment horizontal="justify" vertical="center" wrapText="1"/>
    </xf>
    <xf numFmtId="9" fontId="5" fillId="2" borderId="10"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170" fontId="20" fillId="0" borderId="0" xfId="2" applyNumberFormat="1" applyFont="1" applyBorder="1" applyAlignment="1">
      <alignment horizontal="center" wrapText="1"/>
    </xf>
    <xf numFmtId="0" fontId="3" fillId="0" borderId="3"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26" xfId="0" applyFont="1" applyFill="1" applyBorder="1" applyAlignment="1">
      <alignment horizontal="right" vertical="center"/>
    </xf>
    <xf numFmtId="186" fontId="12" fillId="0" borderId="3" xfId="0" applyNumberFormat="1" applyFont="1" applyFill="1" applyBorder="1" applyAlignment="1">
      <alignment horizontal="right" vertical="center"/>
    </xf>
    <xf numFmtId="172" fontId="6" fillId="0" borderId="0" xfId="1" applyNumberFormat="1" applyFont="1" applyFill="1" applyBorder="1" applyAlignment="1">
      <alignment horizontal="center"/>
    </xf>
    <xf numFmtId="0" fontId="6" fillId="0" borderId="0" xfId="0" applyFont="1" applyFill="1" applyBorder="1" applyAlignment="1"/>
    <xf numFmtId="171" fontId="12" fillId="0" borderId="3" xfId="0" applyNumberFormat="1" applyFont="1" applyFill="1" applyBorder="1" applyAlignment="1">
      <alignment horizontal="right" vertical="center"/>
    </xf>
    <xf numFmtId="173" fontId="18" fillId="0" borderId="226" xfId="0" applyNumberFormat="1" applyFont="1" applyFill="1" applyBorder="1" applyAlignment="1">
      <alignment horizontal="center" vertical="center" wrapText="1"/>
    </xf>
    <xf numFmtId="173" fontId="18" fillId="0" borderId="149" xfId="0" applyNumberFormat="1" applyFont="1" applyFill="1" applyBorder="1" applyAlignment="1">
      <alignment horizontal="center" vertical="center" wrapText="1"/>
    </xf>
    <xf numFmtId="173" fontId="18" fillId="0" borderId="0" xfId="0" applyNumberFormat="1" applyFont="1" applyFill="1" applyBorder="1" applyAlignment="1">
      <alignment horizontal="center" vertical="center" wrapText="1"/>
    </xf>
    <xf numFmtId="173" fontId="18" fillId="0" borderId="3" xfId="0" applyNumberFormat="1" applyFont="1" applyFill="1" applyBorder="1" applyAlignment="1">
      <alignment horizontal="center" vertical="center" wrapText="1"/>
    </xf>
    <xf numFmtId="173" fontId="18" fillId="0" borderId="7" xfId="0" applyNumberFormat="1" applyFont="1" applyFill="1" applyBorder="1" applyAlignment="1">
      <alignment horizontal="center" vertical="center" wrapText="1"/>
    </xf>
    <xf numFmtId="2" fontId="5" fillId="0" borderId="3" xfId="3"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5" fillId="0" borderId="10"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1" fontId="7" fillId="0" borderId="10" xfId="0" applyNumberFormat="1" applyFont="1" applyFill="1" applyBorder="1" applyAlignment="1">
      <alignment horizontal="right" vertical="center" wrapText="1"/>
    </xf>
    <xf numFmtId="1" fontId="7" fillId="0" borderId="11" xfId="0" applyNumberFormat="1" applyFont="1" applyFill="1" applyBorder="1" applyAlignment="1">
      <alignment horizontal="right" vertical="center"/>
    </xf>
    <xf numFmtId="0" fontId="5" fillId="0" borderId="10"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4" fontId="8" fillId="0" borderId="3" xfId="0" applyNumberFormat="1" applyFont="1" applyFill="1" applyBorder="1" applyAlignment="1" applyProtection="1">
      <alignment vertical="center"/>
    </xf>
    <xf numFmtId="9" fontId="22" fillId="0" borderId="235" xfId="5" applyNumberFormat="1"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protection locked="0"/>
    </xf>
    <xf numFmtId="0" fontId="3" fillId="5" borderId="7" xfId="0" applyFont="1" applyFill="1" applyBorder="1" applyAlignment="1">
      <alignment vertical="center"/>
    </xf>
    <xf numFmtId="0" fontId="3" fillId="11" borderId="3" xfId="0" applyFont="1" applyFill="1" applyBorder="1" applyAlignment="1">
      <alignment horizontal="justify" vertical="center" wrapText="1"/>
    </xf>
    <xf numFmtId="3" fontId="6" fillId="0" borderId="3" xfId="1" applyNumberFormat="1" applyFont="1" applyFill="1" applyBorder="1" applyAlignment="1">
      <alignment horizontal="right" vertical="center"/>
    </xf>
    <xf numFmtId="170" fontId="6" fillId="0" borderId="0" xfId="0" applyNumberFormat="1" applyFont="1" applyFill="1"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43" fontId="3" fillId="2" borderId="0" xfId="2" applyNumberFormat="1" applyFont="1" applyFill="1" applyBorder="1" applyAlignment="1">
      <alignment horizontal="justify" vertical="center"/>
    </xf>
    <xf numFmtId="167" fontId="5" fillId="8" borderId="3" xfId="2" applyNumberFormat="1" applyFont="1" applyFill="1" applyBorder="1" applyAlignment="1">
      <alignment horizontal="justify" vertical="center"/>
    </xf>
    <xf numFmtId="167" fontId="5" fillId="8" borderId="3" xfId="142" applyNumberFormat="1" applyFont="1" applyFill="1" applyBorder="1" applyAlignment="1">
      <alignment horizontal="justify" vertical="center"/>
    </xf>
    <xf numFmtId="167" fontId="56" fillId="0" borderId="0" xfId="0" applyNumberFormat="1" applyFont="1"/>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0" fontId="13" fillId="43" borderId="3" xfId="2" applyNumberFormat="1" applyFont="1" applyFill="1" applyBorder="1" applyAlignment="1">
      <alignment horizontal="center" vertical="center" wrapText="1"/>
    </xf>
    <xf numFmtId="172" fontId="13" fillId="43" borderId="3" xfId="142" applyNumberFormat="1" applyFont="1" applyFill="1" applyBorder="1" applyAlignment="1">
      <alignment horizontal="center" vertical="center" wrapText="1"/>
    </xf>
    <xf numFmtId="170" fontId="4" fillId="43" borderId="3" xfId="2" applyNumberFormat="1" applyFont="1" applyFill="1" applyBorder="1" applyAlignment="1">
      <alignment horizontal="center" vertical="center" wrapText="1"/>
    </xf>
    <xf numFmtId="0" fontId="13" fillId="43" borderId="3" xfId="0" applyNumberFormat="1" applyFont="1" applyFill="1" applyBorder="1" applyAlignment="1">
      <alignment horizontal="center" vertical="center" wrapText="1"/>
    </xf>
    <xf numFmtId="0" fontId="13" fillId="43" borderId="3" xfId="0" applyFont="1" applyFill="1" applyBorder="1" applyAlignment="1">
      <alignment horizontal="center" vertical="center" wrapText="1"/>
    </xf>
    <xf numFmtId="0" fontId="12" fillId="43" borderId="3"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6"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5" fillId="0" borderId="1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170" fontId="20" fillId="0" borderId="0" xfId="2" applyNumberFormat="1" applyFont="1" applyBorder="1" applyAlignment="1">
      <alignment horizont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9" fontId="5" fillId="0" borderId="6"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10" xfId="0" applyFont="1" applyFill="1" applyBorder="1" applyAlignment="1">
      <alignment horizontal="justify" vertical="center" wrapText="1"/>
    </xf>
    <xf numFmtId="9" fontId="8" fillId="0" borderId="6"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xf>
    <xf numFmtId="9" fontId="8" fillId="0" borderId="10" xfId="0" applyNumberFormat="1" applyFont="1" applyFill="1" applyBorder="1" applyAlignment="1">
      <alignment horizontal="center" vertical="center"/>
    </xf>
    <xf numFmtId="9" fontId="8" fillId="0" borderId="6"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170" fontId="5" fillId="0" borderId="6" xfId="0" applyNumberFormat="1" applyFont="1" applyFill="1" applyBorder="1" applyAlignment="1">
      <alignment horizontal="justify" vertical="center" wrapText="1"/>
    </xf>
    <xf numFmtId="170" fontId="5" fillId="0" borderId="14" xfId="0" applyNumberFormat="1" applyFont="1" applyFill="1" applyBorder="1" applyAlignment="1">
      <alignment horizontal="justify" vertical="center" wrapText="1"/>
    </xf>
    <xf numFmtId="170" fontId="5" fillId="0" borderId="10" xfId="0" applyNumberFormat="1" applyFont="1" applyFill="1" applyBorder="1" applyAlignment="1">
      <alignment horizontal="justify" vertical="center" wrapText="1"/>
    </xf>
    <xf numFmtId="0" fontId="3" fillId="13" borderId="7"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3" fillId="13" borderId="2" xfId="0" applyFont="1" applyFill="1" applyBorder="1" applyAlignment="1">
      <alignment horizontal="left" vertical="center" wrapText="1"/>
    </xf>
    <xf numFmtId="3" fontId="5" fillId="0" borderId="6" xfId="0" applyNumberFormat="1" applyFont="1" applyFill="1" applyBorder="1" applyAlignment="1">
      <alignment horizontal="justify" vertical="center"/>
    </xf>
    <xf numFmtId="3" fontId="5" fillId="0" borderId="10" xfId="0" applyNumberFormat="1" applyFont="1" applyFill="1" applyBorder="1" applyAlignment="1">
      <alignment horizontal="justify" vertical="center"/>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7" borderId="11" xfId="0" applyFont="1" applyFill="1" applyBorder="1" applyAlignment="1">
      <alignment horizontal="left" vertical="center"/>
    </xf>
    <xf numFmtId="1" fontId="5" fillId="0" borderId="6" xfId="3" applyNumberFormat="1" applyFont="1" applyFill="1" applyBorder="1" applyAlignment="1">
      <alignment horizontal="center" vertical="center" wrapText="1"/>
    </xf>
    <xf numFmtId="1" fontId="5" fillId="0" borderId="10" xfId="3"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10" xfId="0" applyFont="1" applyFill="1" applyBorder="1" applyAlignment="1">
      <alignment horizontal="justify" vertical="center" wrapText="1"/>
    </xf>
    <xf numFmtId="10" fontId="8" fillId="2" borderId="6" xfId="0" applyNumberFormat="1" applyFont="1" applyFill="1" applyBorder="1" applyAlignment="1">
      <alignment horizontal="center" vertical="center" wrapText="1"/>
    </xf>
    <xf numFmtId="10" fontId="8" fillId="2" borderId="14" xfId="0" applyNumberFormat="1" applyFont="1" applyFill="1" applyBorder="1" applyAlignment="1">
      <alignment horizontal="center" vertical="center" wrapText="1"/>
    </xf>
    <xf numFmtId="10" fontId="8" fillId="2" borderId="10"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235" xfId="0" applyFont="1" applyFill="1" applyBorder="1" applyAlignment="1">
      <alignment horizontal="justify"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6" fillId="2" borderId="6" xfId="0" applyFont="1" applyFill="1" applyBorder="1" applyAlignment="1">
      <alignment horizontal="justify" vertical="center" wrapText="1"/>
    </xf>
    <xf numFmtId="0" fontId="16" fillId="2" borderId="10" xfId="0" applyFont="1" applyFill="1" applyBorder="1" applyAlignment="1">
      <alignment horizontal="justify" vertical="center" wrapText="1"/>
    </xf>
    <xf numFmtId="9" fontId="8" fillId="2" borderId="6"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8"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1" fontId="5" fillId="0" borderId="14" xfId="3" applyNumberFormat="1" applyFont="1" applyFill="1" applyBorder="1" applyAlignment="1">
      <alignment horizontal="center" vertical="center" wrapText="1"/>
    </xf>
    <xf numFmtId="170" fontId="8" fillId="0" borderId="6" xfId="1" applyNumberFormat="1" applyFont="1" applyFill="1" applyBorder="1" applyAlignment="1">
      <alignment vertical="center" wrapText="1"/>
    </xf>
    <xf numFmtId="170" fontId="8" fillId="0" borderId="10" xfId="1" applyNumberFormat="1" applyFont="1" applyFill="1" applyBorder="1" applyAlignment="1">
      <alignment vertical="center" wrapText="1"/>
    </xf>
    <xf numFmtId="170" fontId="5" fillId="0" borderId="6" xfId="1" applyNumberFormat="1" applyFont="1" applyFill="1" applyBorder="1" applyAlignment="1">
      <alignment vertical="center" wrapText="1"/>
    </xf>
    <xf numFmtId="170" fontId="5" fillId="0" borderId="10" xfId="1" applyNumberFormat="1" applyFont="1" applyFill="1" applyBorder="1" applyAlignment="1">
      <alignment vertical="center" wrapText="1"/>
    </xf>
    <xf numFmtId="0" fontId="5" fillId="0" borderId="10" xfId="0" applyFont="1" applyBorder="1" applyAlignment="1">
      <alignment horizontal="center" vertical="center" wrapText="1"/>
    </xf>
    <xf numFmtId="0" fontId="5" fillId="0" borderId="6" xfId="0" applyFont="1" applyFill="1" applyBorder="1" applyAlignment="1">
      <alignment horizontal="justify" vertical="center"/>
    </xf>
    <xf numFmtId="0" fontId="5" fillId="0" borderId="14" xfId="0" applyFont="1" applyFill="1" applyBorder="1" applyAlignment="1">
      <alignment horizontal="justify" vertical="center"/>
    </xf>
    <xf numFmtId="0" fontId="5" fillId="0" borderId="10" xfId="0" applyFont="1" applyFill="1" applyBorder="1" applyAlignment="1">
      <alignment horizontal="justify" vertical="center"/>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10" fontId="5" fillId="0" borderId="6"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0" fontId="5" fillId="0" borderId="14" xfId="0" applyFont="1" applyBorder="1" applyAlignment="1">
      <alignment horizontal="justify" vertical="center" wrapText="1"/>
    </xf>
    <xf numFmtId="3" fontId="5" fillId="2" borderId="6"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7" fillId="0" borderId="6" xfId="3" applyNumberFormat="1" applyFont="1" applyFill="1" applyBorder="1" applyAlignment="1">
      <alignment horizontal="right" vertical="center" wrapText="1"/>
    </xf>
    <xf numFmtId="3" fontId="7" fillId="0" borderId="10" xfId="3" applyNumberFormat="1" applyFont="1" applyFill="1" applyBorder="1" applyAlignment="1">
      <alignment horizontal="right" vertical="center" wrapText="1"/>
    </xf>
    <xf numFmtId="3" fontId="5" fillId="0" borderId="6"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5" fillId="0" borderId="6"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14" xfId="0" applyNumberFormat="1" applyFont="1" applyFill="1" applyBorder="1" applyAlignment="1">
      <alignment horizontal="left" vertical="center"/>
    </xf>
    <xf numFmtId="3" fontId="6" fillId="0" borderId="6" xfId="0" applyNumberFormat="1" applyFont="1" applyFill="1" applyBorder="1" applyAlignment="1">
      <alignment horizontal="left" vertical="center"/>
    </xf>
    <xf numFmtId="3" fontId="6" fillId="0" borderId="14" xfId="0" applyNumberFormat="1" applyFont="1" applyFill="1" applyBorder="1" applyAlignment="1">
      <alignment horizontal="left" vertical="center"/>
    </xf>
    <xf numFmtId="3" fontId="6" fillId="0" borderId="10" xfId="0" applyNumberFormat="1" applyFont="1" applyFill="1" applyBorder="1" applyAlignment="1">
      <alignment horizontal="left" vertical="center"/>
    </xf>
    <xf numFmtId="3" fontId="5" fillId="0" borderId="6" xfId="0" applyNumberFormat="1" applyFont="1" applyFill="1" applyBorder="1" applyAlignment="1">
      <alignment horizontal="justify" vertical="center" wrapText="1"/>
    </xf>
    <xf numFmtId="3" fontId="5" fillId="0" borderId="14"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5" fillId="0" borderId="10"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2" borderId="6" xfId="0" applyNumberFormat="1" applyFont="1" applyFill="1" applyBorder="1" applyAlignment="1">
      <alignment horizontal="justify" vertical="center" wrapText="1"/>
    </xf>
    <xf numFmtId="0" fontId="5" fillId="2" borderId="14" xfId="0" applyNumberFormat="1" applyFont="1" applyFill="1" applyBorder="1" applyAlignment="1">
      <alignment horizontal="justify" vertical="center" wrapText="1"/>
    </xf>
    <xf numFmtId="0" fontId="5" fillId="2" borderId="10" xfId="0" applyNumberFormat="1"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wrapText="1"/>
    </xf>
    <xf numFmtId="0" fontId="5" fillId="0" borderId="10"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2" borderId="10" xfId="0" applyFont="1" applyFill="1" applyBorder="1" applyAlignment="1">
      <alignment horizontal="justify" vertical="center"/>
    </xf>
    <xf numFmtId="16" fontId="5" fillId="2" borderId="6"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16" fontId="5" fillId="0" borderId="14"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xf>
    <xf numFmtId="0" fontId="5" fillId="0" borderId="14" xfId="0" applyNumberFormat="1" applyFont="1" applyFill="1" applyBorder="1" applyAlignment="1">
      <alignment horizontal="justify" vertical="center"/>
    </xf>
    <xf numFmtId="0" fontId="5" fillId="0" borderId="10" xfId="0" applyNumberFormat="1" applyFont="1" applyFill="1" applyBorder="1" applyAlignment="1">
      <alignment horizontal="justify" vertical="center"/>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wrapText="1"/>
    </xf>
    <xf numFmtId="170" fontId="5" fillId="0" borderId="14" xfId="2" applyNumberFormat="1" applyFont="1" applyFill="1" applyBorder="1" applyAlignment="1">
      <alignment horizontal="justify" vertical="center" wrapText="1"/>
    </xf>
    <xf numFmtId="170" fontId="5" fillId="0" borderId="10" xfId="2" applyNumberFormat="1" applyFont="1" applyFill="1" applyBorder="1" applyAlignment="1">
      <alignment horizontal="justify" vertical="center" wrapText="1"/>
    </xf>
    <xf numFmtId="0" fontId="5" fillId="0" borderId="14" xfId="0" applyNumberFormat="1" applyFont="1" applyFill="1" applyBorder="1" applyAlignment="1">
      <alignment horizontal="justify" vertical="center" wrapText="1"/>
    </xf>
    <xf numFmtId="0" fontId="13" fillId="43" borderId="3" xfId="0" applyFont="1" applyFill="1" applyBorder="1" applyAlignment="1">
      <alignment horizontal="center" vertical="center"/>
    </xf>
    <xf numFmtId="170" fontId="8" fillId="0" borderId="3" xfId="142" applyNumberFormat="1" applyFont="1" applyFill="1" applyBorder="1" applyAlignment="1">
      <alignment horizontal="left" vertical="center"/>
    </xf>
    <xf numFmtId="170" fontId="54" fillId="44" borderId="7" xfId="142" applyNumberFormat="1" applyFont="1" applyFill="1" applyBorder="1" applyAlignment="1">
      <alignment horizontal="center" vertical="center" wrapText="1"/>
    </xf>
    <xf numFmtId="170" fontId="54" fillId="44" borderId="2" xfId="142" applyNumberFormat="1" applyFont="1" applyFill="1" applyBorder="1" applyAlignment="1">
      <alignment horizontal="center" vertical="center" wrapText="1"/>
    </xf>
    <xf numFmtId="0" fontId="8" fillId="0" borderId="3" xfId="0" applyFont="1" applyFill="1" applyBorder="1" applyAlignment="1">
      <alignment horizontal="left"/>
    </xf>
    <xf numFmtId="0" fontId="22" fillId="0" borderId="3" xfId="0" applyFont="1" applyFill="1" applyBorder="1" applyAlignment="1">
      <alignment horizontal="left"/>
    </xf>
    <xf numFmtId="0" fontId="50" fillId="0" borderId="8" xfId="0" applyFont="1" applyBorder="1" applyAlignment="1">
      <alignment horizontal="center" vertical="center" wrapText="1"/>
    </xf>
    <xf numFmtId="0" fontId="50" fillId="0" borderId="1" xfId="0" applyFont="1" applyBorder="1" applyAlignment="1">
      <alignment horizontal="center" vertical="center" wrapText="1"/>
    </xf>
    <xf numFmtId="170" fontId="52" fillId="44" borderId="7" xfId="142" applyNumberFormat="1" applyFont="1" applyFill="1" applyBorder="1" applyAlignment="1">
      <alignment horizontal="center" vertical="center" wrapText="1"/>
    </xf>
    <xf numFmtId="170" fontId="52" fillId="44" borderId="2" xfId="142" applyNumberFormat="1" applyFont="1" applyFill="1" applyBorder="1" applyAlignment="1">
      <alignment horizontal="center" vertical="center" wrapText="1"/>
    </xf>
    <xf numFmtId="0" fontId="22" fillId="0" borderId="3" xfId="0" applyFont="1" applyBorder="1" applyAlignment="1">
      <alignment horizontal="center"/>
    </xf>
  </cellXfs>
  <cellStyles count="1364">
    <cellStyle name="‡" xfId="24"/>
    <cellStyle name="20% - Accent1" xfId="25"/>
    <cellStyle name="20% - Accent1 2" xfId="26"/>
    <cellStyle name="20% - Accent2" xfId="27"/>
    <cellStyle name="20% - Accent2 2" xfId="28"/>
    <cellStyle name="20% - Accent3" xfId="29"/>
    <cellStyle name="20% - Accent3 2" xfId="30"/>
    <cellStyle name="20% - Accent4" xfId="31"/>
    <cellStyle name="20% - Accent4 2" xfId="32"/>
    <cellStyle name="20% - Accent5" xfId="33"/>
    <cellStyle name="20% - Accent5 2" xfId="34"/>
    <cellStyle name="20% - Accent6" xfId="35"/>
    <cellStyle name="20% - Accent6 2" xfId="36"/>
    <cellStyle name="20% - Énfasis1 2" xfId="37"/>
    <cellStyle name="20% - Énfasis1 3" xfId="38"/>
    <cellStyle name="20% - Énfasis2 2" xfId="39"/>
    <cellStyle name="20% - Énfasis2 3" xfId="40"/>
    <cellStyle name="20% - Énfasis3 2" xfId="41"/>
    <cellStyle name="20% - Énfasis3 3" xfId="42"/>
    <cellStyle name="20% - Énfasis4 2" xfId="43"/>
    <cellStyle name="20% - Énfasis4 3" xfId="44"/>
    <cellStyle name="20% - Énfasis5 2" xfId="45"/>
    <cellStyle name="20% - Énfasis5 3" xfId="46"/>
    <cellStyle name="20% - Énfasis6 2" xfId="47"/>
    <cellStyle name="20% - Énfasis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2" xfId="61"/>
    <cellStyle name="40% - Énfasis1 3" xfId="62"/>
    <cellStyle name="40% - Énfasis2 2" xfId="63"/>
    <cellStyle name="40% - Énfasis2 3" xfId="64"/>
    <cellStyle name="40% - Énfasis3 2" xfId="65"/>
    <cellStyle name="40% - Énfasis3 3" xfId="66"/>
    <cellStyle name="40% - Énfasis4 2" xfId="67"/>
    <cellStyle name="40% - Énfasis4 3" xfId="68"/>
    <cellStyle name="40% - Énfasis5 2" xfId="69"/>
    <cellStyle name="40% - Énfasis5 3" xfId="70"/>
    <cellStyle name="40% - Énfasis6 2" xfId="71"/>
    <cellStyle name="40% - Énfasis6 3" xfId="72"/>
    <cellStyle name="60% - Accent1" xfId="73"/>
    <cellStyle name="60% - Accent2" xfId="74"/>
    <cellStyle name="60% - Accent3" xfId="75"/>
    <cellStyle name="60% - Accent4" xfId="76"/>
    <cellStyle name="60% - Accent5" xfId="77"/>
    <cellStyle name="60% - Accent6" xfId="78"/>
    <cellStyle name="60% - Énfasis1 2" xfId="79"/>
    <cellStyle name="60% - Énfasis1 3" xfId="80"/>
    <cellStyle name="60% - Énfasis2 2" xfId="81"/>
    <cellStyle name="60% - Énfasis2 3" xfId="82"/>
    <cellStyle name="60% - Énfasis3 2" xfId="83"/>
    <cellStyle name="60% - Énfasis3 3" xfId="84"/>
    <cellStyle name="60% - Énfasis4 2" xfId="85"/>
    <cellStyle name="60% - Énfasis4 3" xfId="86"/>
    <cellStyle name="60% - Énfasis5 2" xfId="87"/>
    <cellStyle name="60% - Énfasis5 3" xfId="88"/>
    <cellStyle name="60% - Énfasis6 2" xfId="89"/>
    <cellStyle name="60% - Énfasis6 3" xfId="90"/>
    <cellStyle name="Accent1" xfId="91"/>
    <cellStyle name="Accent2" xfId="92"/>
    <cellStyle name="Accent3" xfId="93"/>
    <cellStyle name="Accent4" xfId="94"/>
    <cellStyle name="Accent5" xfId="95"/>
    <cellStyle name="Accent6" xfId="96"/>
    <cellStyle name="Bad" xfId="97"/>
    <cellStyle name="Buena 2" xfId="98"/>
    <cellStyle name="Buena 3" xfId="99"/>
    <cellStyle name="Calculation" xfId="100"/>
    <cellStyle name="Calculation 10" xfId="486"/>
    <cellStyle name="Calculation 10 2" xfId="1066"/>
    <cellStyle name="Calculation 11" xfId="604"/>
    <cellStyle name="Calculation 11 2" xfId="1166"/>
    <cellStyle name="Calculation 12" xfId="616"/>
    <cellStyle name="Calculation 12 2" xfId="1177"/>
    <cellStyle name="Calculation 13" xfId="548"/>
    <cellStyle name="Calculation 13 2" xfId="1121"/>
    <cellStyle name="Calculation 14" xfId="648"/>
    <cellStyle name="Calculation 14 2" xfId="1205"/>
    <cellStyle name="Calculation 15" xfId="659"/>
    <cellStyle name="Calculation 15 2" xfId="1214"/>
    <cellStyle name="Calculation 16" xfId="670"/>
    <cellStyle name="Calculation 16 2" xfId="1222"/>
    <cellStyle name="Calculation 17" xfId="681"/>
    <cellStyle name="Calculation 17 2" xfId="1231"/>
    <cellStyle name="Calculation 18" xfId="617"/>
    <cellStyle name="Calculation 18 2" xfId="1178"/>
    <cellStyle name="Calculation 19" xfId="710"/>
    <cellStyle name="Calculation 19 2" xfId="1255"/>
    <cellStyle name="Calculation 2" xfId="345"/>
    <cellStyle name="Calculation 2 2" xfId="935"/>
    <cellStyle name="Calculation 20" xfId="720"/>
    <cellStyle name="Calculation 20 2" xfId="1264"/>
    <cellStyle name="Calculation 21" xfId="730"/>
    <cellStyle name="Calculation 21 2" xfId="1272"/>
    <cellStyle name="Calculation 22" xfId="695"/>
    <cellStyle name="Calculation 22 2" xfId="1242"/>
    <cellStyle name="Calculation 23" xfId="754"/>
    <cellStyle name="Calculation 23 2" xfId="1291"/>
    <cellStyle name="Calculation 24" xfId="711"/>
    <cellStyle name="Calculation 24 2" xfId="1256"/>
    <cellStyle name="Calculation 25" xfId="782"/>
    <cellStyle name="Calculation 25 2" xfId="1315"/>
    <cellStyle name="Calculation 26" xfId="791"/>
    <cellStyle name="Calculation 26 2" xfId="1322"/>
    <cellStyle name="Calculation 27" xfId="800"/>
    <cellStyle name="Calculation 27 2" xfId="1327"/>
    <cellStyle name="Calculation 28" xfId="807"/>
    <cellStyle name="Calculation 28 2" xfId="1332"/>
    <cellStyle name="Calculation 29" xfId="814"/>
    <cellStyle name="Calculation 29 2" xfId="1337"/>
    <cellStyle name="Calculation 3" xfId="483"/>
    <cellStyle name="Calculation 3 2" xfId="1063"/>
    <cellStyle name="Calculation 30" xfId="820"/>
    <cellStyle name="Calculation 30 2" xfId="1342"/>
    <cellStyle name="Calculation 31" xfId="826"/>
    <cellStyle name="Calculation 31 2" xfId="1346"/>
    <cellStyle name="Calculation 32" xfId="831"/>
    <cellStyle name="Calculation 32 2" xfId="1350"/>
    <cellStyle name="Calculation 33" xfId="836"/>
    <cellStyle name="Calculation 33 2" xfId="1353"/>
    <cellStyle name="Calculation 34" xfId="840"/>
    <cellStyle name="Calculation 34 2" xfId="1355"/>
    <cellStyle name="Calculation 35" xfId="843"/>
    <cellStyle name="Calculation 35 2" xfId="1357"/>
    <cellStyle name="Calculation 36" xfId="846"/>
    <cellStyle name="Calculation 36 2" xfId="1358"/>
    <cellStyle name="Calculation 37" xfId="860"/>
    <cellStyle name="Calculation 38" xfId="848"/>
    <cellStyle name="Calculation 4" xfId="499"/>
    <cellStyle name="Calculation 4 2" xfId="1078"/>
    <cellStyle name="Calculation 5" xfId="512"/>
    <cellStyle name="Calculation 5 2" xfId="1089"/>
    <cellStyle name="Calculation 6" xfId="428"/>
    <cellStyle name="Calculation 6 2" xfId="1012"/>
    <cellStyle name="Calculation 7" xfId="405"/>
    <cellStyle name="Calculation 7 2" xfId="990"/>
    <cellStyle name="Calculation 8" xfId="314"/>
    <cellStyle name="Calculation 8 2" xfId="906"/>
    <cellStyle name="Calculation 9" xfId="575"/>
    <cellStyle name="Calculation 9 2" xfId="1143"/>
    <cellStyle name="Cálculo 2" xfId="101"/>
    <cellStyle name="Cálculo 2 10" xfId="288"/>
    <cellStyle name="Cálculo 2 10 2" xfId="881"/>
    <cellStyle name="Cálculo 2 11" xfId="393"/>
    <cellStyle name="Cálculo 2 11 2" xfId="979"/>
    <cellStyle name="Cálculo 2 12" xfId="380"/>
    <cellStyle name="Cálculo 2 12 2" xfId="968"/>
    <cellStyle name="Cálculo 2 13" xfId="367"/>
    <cellStyle name="Cálculo 2 13 2" xfId="956"/>
    <cellStyle name="Cálculo 2 14" xfId="456"/>
    <cellStyle name="Cálculo 2 14 2" xfId="1036"/>
    <cellStyle name="Cálculo 2 15" xfId="414"/>
    <cellStyle name="Cálculo 2 15 2" xfId="999"/>
    <cellStyle name="Cálculo 2 16" xfId="627"/>
    <cellStyle name="Cálculo 2 16 2" xfId="1185"/>
    <cellStyle name="Cálculo 2 17" xfId="530"/>
    <cellStyle name="Cálculo 2 17 2" xfId="1105"/>
    <cellStyle name="Cálculo 2 18" xfId="633"/>
    <cellStyle name="Cálculo 2 18 2" xfId="1191"/>
    <cellStyle name="Cálculo 2 19" xfId="494"/>
    <cellStyle name="Cálculo 2 19 2" xfId="1073"/>
    <cellStyle name="Cálculo 2 2" xfId="346"/>
    <cellStyle name="Cálculo 2 2 2" xfId="936"/>
    <cellStyle name="Cálculo 2 20" xfId="310"/>
    <cellStyle name="Cálculo 2 20 2" xfId="903"/>
    <cellStyle name="Cálculo 2 21" xfId="690"/>
    <cellStyle name="Cálculo 2 21 2" xfId="1237"/>
    <cellStyle name="Cálculo 2 22" xfId="22"/>
    <cellStyle name="Cálculo 2 22 2" xfId="858"/>
    <cellStyle name="Cálculo 2 23" xfId="620"/>
    <cellStyle name="Cálculo 2 23 2" xfId="1181"/>
    <cellStyle name="Cálculo 2 24" xfId="552"/>
    <cellStyle name="Cálculo 2 24 2" xfId="1125"/>
    <cellStyle name="Cálculo 2 25" xfId="677"/>
    <cellStyle name="Cálculo 2 25 2" xfId="1228"/>
    <cellStyle name="Cálculo 2 26" xfId="460"/>
    <cellStyle name="Cálculo 2 26 2" xfId="1040"/>
    <cellStyle name="Cálculo 2 27" xfId="420"/>
    <cellStyle name="Cálculo 2 27 2" xfId="1005"/>
    <cellStyle name="Cálculo 2 28" xfId="708"/>
    <cellStyle name="Cálculo 2 28 2" xfId="1253"/>
    <cellStyle name="Cálculo 2 29" xfId="376"/>
    <cellStyle name="Cálculo 2 29 2" xfId="964"/>
    <cellStyle name="Cálculo 2 3" xfId="412"/>
    <cellStyle name="Cálculo 2 3 2" xfId="997"/>
    <cellStyle name="Cálculo 2 30" xfId="700"/>
    <cellStyle name="Cálculo 2 30 2" xfId="1245"/>
    <cellStyle name="Cálculo 2 31" xfId="701"/>
    <cellStyle name="Cálculo 2 31 2" xfId="1246"/>
    <cellStyle name="Cálculo 2 32" xfId="783"/>
    <cellStyle name="Cálculo 2 32 2" xfId="1316"/>
    <cellStyle name="Cálculo 2 33" xfId="792"/>
    <cellStyle name="Cálculo 2 33 2" xfId="1323"/>
    <cellStyle name="Cálculo 2 34" xfId="801"/>
    <cellStyle name="Cálculo 2 34 2" xfId="1328"/>
    <cellStyle name="Cálculo 2 35" xfId="808"/>
    <cellStyle name="Cálculo 2 35 2" xfId="1333"/>
    <cellStyle name="Cálculo 2 36" xfId="815"/>
    <cellStyle name="Cálculo 2 36 2" xfId="1338"/>
    <cellStyle name="Cálculo 2 37" xfId="861"/>
    <cellStyle name="Cálculo 2 38" xfId="821"/>
    <cellStyle name="Cálculo 2 4" xfId="355"/>
    <cellStyle name="Cálculo 2 4 2" xfId="944"/>
    <cellStyle name="Cálculo 2 5" xfId="286"/>
    <cellStyle name="Cálculo 2 5 2" xfId="880"/>
    <cellStyle name="Cálculo 2 6" xfId="369"/>
    <cellStyle name="Cálculo 2 6 2" xfId="958"/>
    <cellStyle name="Cálculo 2 7" xfId="520"/>
    <cellStyle name="Cálculo 2 7 2" xfId="1095"/>
    <cellStyle name="Cálculo 2 8" xfId="472"/>
    <cellStyle name="Cálculo 2 8 2" xfId="1052"/>
    <cellStyle name="Cálculo 2 9" xfId="503"/>
    <cellStyle name="Cálculo 2 9 2" xfId="1081"/>
    <cellStyle name="Cálculo 3" xfId="102"/>
    <cellStyle name="Cálculo 3 10" xfId="461"/>
    <cellStyle name="Cálculo 3 10 2" xfId="1041"/>
    <cellStyle name="Cálculo 3 11" xfId="392"/>
    <cellStyle name="Cálculo 3 11 2" xfId="978"/>
    <cellStyle name="Cálculo 3 12" xfId="565"/>
    <cellStyle name="Cálculo 3 12 2" xfId="1134"/>
    <cellStyle name="Cálculo 3 13" xfId="511"/>
    <cellStyle name="Cálculo 3 13 2" xfId="1088"/>
    <cellStyle name="Cálculo 3 14" xfId="324"/>
    <cellStyle name="Cálculo 3 14 2" xfId="914"/>
    <cellStyle name="Cálculo 3 15" xfId="434"/>
    <cellStyle name="Cálculo 3 15 2" xfId="1017"/>
    <cellStyle name="Cálculo 3 16" xfId="555"/>
    <cellStyle name="Cálculo 3 16 2" xfId="1126"/>
    <cellStyle name="Cálculo 3 17" xfId="536"/>
    <cellStyle name="Cálculo 3 17 2" xfId="1110"/>
    <cellStyle name="Cálculo 3 18" xfId="301"/>
    <cellStyle name="Cálculo 3 18 2" xfId="894"/>
    <cellStyle name="Cálculo 3 19" xfId="477"/>
    <cellStyle name="Cálculo 3 19 2" xfId="1057"/>
    <cellStyle name="Cálculo 3 2" xfId="347"/>
    <cellStyle name="Cálculo 3 2 2" xfId="937"/>
    <cellStyle name="Cálculo 3 20" xfId="557"/>
    <cellStyle name="Cálculo 3 20 2" xfId="1128"/>
    <cellStyle name="Cálculo 3 21" xfId="619"/>
    <cellStyle name="Cálculo 3 21 2" xfId="1180"/>
    <cellStyle name="Cálculo 3 22" xfId="518"/>
    <cellStyle name="Cálculo 3 22 2" xfId="1094"/>
    <cellStyle name="Cálculo 3 23" xfId="600"/>
    <cellStyle name="Cálculo 3 23 2" xfId="1162"/>
    <cellStyle name="Cálculo 3 24" xfId="507"/>
    <cellStyle name="Cálculo 3 24 2" xfId="1084"/>
    <cellStyle name="Cálculo 3 25" xfId="717"/>
    <cellStyle name="Cálculo 3 25 2" xfId="1261"/>
    <cellStyle name="Cálculo 3 26" xfId="666"/>
    <cellStyle name="Cálculo 3 26 2" xfId="1218"/>
    <cellStyle name="Cálculo 3 27" xfId="675"/>
    <cellStyle name="Cálculo 3 27 2" xfId="1227"/>
    <cellStyle name="Cálculo 3 28" xfId="757"/>
    <cellStyle name="Cálculo 3 28 2" xfId="1294"/>
    <cellStyle name="Cálculo 3 29" xfId="682"/>
    <cellStyle name="Cálculo 3 29 2" xfId="1232"/>
    <cellStyle name="Cálculo 3 3" xfId="411"/>
    <cellStyle name="Cálculo 3 3 2" xfId="996"/>
    <cellStyle name="Cálculo 3 30" xfId="759"/>
    <cellStyle name="Cálculo 3 30 2" xfId="1295"/>
    <cellStyle name="Cálculo 3 31" xfId="767"/>
    <cellStyle name="Cálculo 3 31 2" xfId="1302"/>
    <cellStyle name="Cálculo 3 32" xfId="728"/>
    <cellStyle name="Cálculo 3 32 2" xfId="1270"/>
    <cellStyle name="Cálculo 3 33" xfId="702"/>
    <cellStyle name="Cálculo 3 33 2" xfId="1247"/>
    <cellStyle name="Cálculo 3 34" xfId="752"/>
    <cellStyle name="Cálculo 3 34 2" xfId="1289"/>
    <cellStyle name="Cálculo 3 35" xfId="770"/>
    <cellStyle name="Cálculo 3 35 2" xfId="1305"/>
    <cellStyle name="Cálculo 3 36" xfId="495"/>
    <cellStyle name="Cálculo 3 36 2" xfId="1074"/>
    <cellStyle name="Cálculo 3 37" xfId="862"/>
    <cellStyle name="Cálculo 3 38" xfId="745"/>
    <cellStyle name="Cálculo 3 4" xfId="356"/>
    <cellStyle name="Cálculo 3 4 2" xfId="945"/>
    <cellStyle name="Cálculo 3 5" xfId="404"/>
    <cellStyle name="Cálculo 3 5 2" xfId="989"/>
    <cellStyle name="Cálculo 3 6" xfId="21"/>
    <cellStyle name="Cálculo 3 6 2" xfId="857"/>
    <cellStyle name="Cálculo 3 7" xfId="403"/>
    <cellStyle name="Cálculo 3 7 2" xfId="988"/>
    <cellStyle name="Cálculo 3 8" xfId="478"/>
    <cellStyle name="Cálculo 3 8 2" xfId="1058"/>
    <cellStyle name="Cálculo 3 9" xfId="399"/>
    <cellStyle name="Cálculo 3 9 2" xfId="984"/>
    <cellStyle name="Celda de comprobación 2" xfId="103"/>
    <cellStyle name="Celda de comprobación 3" xfId="104"/>
    <cellStyle name="Celda vinculada 2" xfId="105"/>
    <cellStyle name="Celda vinculada 3" xfId="106"/>
    <cellStyle name="Check Cell" xfId="107"/>
    <cellStyle name="Encabezado 4 2" xfId="108"/>
    <cellStyle name="Encabezado 4 3" xfId="109"/>
    <cellStyle name="Énfasis1 2" xfId="110"/>
    <cellStyle name="Énfasis1 3" xfId="111"/>
    <cellStyle name="Énfasis2 2" xfId="112"/>
    <cellStyle name="Énfasis2 3" xfId="113"/>
    <cellStyle name="Énfasis3 2" xfId="114"/>
    <cellStyle name="Énfasis3 3" xfId="115"/>
    <cellStyle name="Énfasis4 2" xfId="116"/>
    <cellStyle name="Énfasis4 3" xfId="117"/>
    <cellStyle name="Énfasis5 2" xfId="118"/>
    <cellStyle name="Énfasis5 3" xfId="119"/>
    <cellStyle name="Énfasis6 2" xfId="120"/>
    <cellStyle name="Énfasis6 3" xfId="121"/>
    <cellStyle name="Entrada 2" xfId="122"/>
    <cellStyle name="Entrada 2 10" xfId="523"/>
    <cellStyle name="Entrada 2 10 2" xfId="1098"/>
    <cellStyle name="Entrada 2 11" xfId="438"/>
    <cellStyle name="Entrada 2 11 2" xfId="1021"/>
    <cellStyle name="Entrada 2 12" xfId="570"/>
    <cellStyle name="Entrada 2 12 2" xfId="1138"/>
    <cellStyle name="Entrada 2 13" xfId="533"/>
    <cellStyle name="Entrada 2 13 2" xfId="1107"/>
    <cellStyle name="Entrada 2 14" xfId="579"/>
    <cellStyle name="Entrada 2 14 2" xfId="1145"/>
    <cellStyle name="Entrada 2 15" xfId="567"/>
    <cellStyle name="Entrada 2 15 2" xfId="1136"/>
    <cellStyle name="Entrada 2 16" xfId="497"/>
    <cellStyle name="Entrada 2 16 2" xfId="1076"/>
    <cellStyle name="Entrada 2 17" xfId="641"/>
    <cellStyle name="Entrada 2 17 2" xfId="1198"/>
    <cellStyle name="Entrada 2 18" xfId="306"/>
    <cellStyle name="Entrada 2 18 2" xfId="899"/>
    <cellStyle name="Entrada 2 19" xfId="586"/>
    <cellStyle name="Entrada 2 19 2" xfId="1149"/>
    <cellStyle name="Entrada 2 2" xfId="361"/>
    <cellStyle name="Entrada 2 2 2" xfId="950"/>
    <cellStyle name="Entrada 2 20" xfId="654"/>
    <cellStyle name="Entrada 2 20 2" xfId="1210"/>
    <cellStyle name="Entrada 2 21" xfId="378"/>
    <cellStyle name="Entrada 2 21 2" xfId="966"/>
    <cellStyle name="Entrada 2 22" xfId="740"/>
    <cellStyle name="Entrada 2 22 2" xfId="1281"/>
    <cellStyle name="Entrada 2 23" xfId="729"/>
    <cellStyle name="Entrada 2 23 2" xfId="1271"/>
    <cellStyle name="Entrada 2 24" xfId="337"/>
    <cellStyle name="Entrada 2 24 2" xfId="927"/>
    <cellStyle name="Entrada 2 25" xfId="638"/>
    <cellStyle name="Entrada 2 25 2" xfId="1196"/>
    <cellStyle name="Entrada 2 26" xfId="713"/>
    <cellStyle name="Entrada 2 26 2" xfId="1258"/>
    <cellStyle name="Entrada 2 27" xfId="334"/>
    <cellStyle name="Entrada 2 27 2" xfId="924"/>
    <cellStyle name="Entrada 2 28" xfId="776"/>
    <cellStyle name="Entrada 2 28 2" xfId="1310"/>
    <cellStyle name="Entrada 2 29" xfId="724"/>
    <cellStyle name="Entrada 2 29 2" xfId="1268"/>
    <cellStyle name="Entrada 2 3" xfId="395"/>
    <cellStyle name="Entrada 2 3 2" xfId="981"/>
    <cellStyle name="Entrada 2 30" xfId="747"/>
    <cellStyle name="Entrada 2 30 2" xfId="1285"/>
    <cellStyle name="Entrada 2 31" xfId="715"/>
    <cellStyle name="Entrada 2 31 2" xfId="1259"/>
    <cellStyle name="Entrada 2 32" xfId="390"/>
    <cellStyle name="Entrada 2 32 2" xfId="977"/>
    <cellStyle name="Entrada 2 33" xfId="537"/>
    <cellStyle name="Entrada 2 33 2" xfId="1111"/>
    <cellStyle name="Entrada 2 34" xfId="416"/>
    <cellStyle name="Entrada 2 34 2" xfId="1001"/>
    <cellStyle name="Entrada 2 35" xfId="734"/>
    <cellStyle name="Entrada 2 35 2" xfId="1276"/>
    <cellStyle name="Entrada 2 36" xfId="474"/>
    <cellStyle name="Entrada 2 36 2" xfId="1054"/>
    <cellStyle name="Entrada 2 37" xfId="863"/>
    <cellStyle name="Entrada 2 38" xfId="578"/>
    <cellStyle name="Entrada 2 4" xfId="467"/>
    <cellStyle name="Entrada 2 4 2" xfId="1047"/>
    <cellStyle name="Entrada 2 5" xfId="304"/>
    <cellStyle name="Entrada 2 5 2" xfId="897"/>
    <cellStyle name="Entrada 2 6" xfId="292"/>
    <cellStyle name="Entrada 2 6 2" xfId="885"/>
    <cellStyle name="Entrada 2 7" xfId="388"/>
    <cellStyle name="Entrada 2 7 2" xfId="975"/>
    <cellStyle name="Entrada 2 8" xfId="312"/>
    <cellStyle name="Entrada 2 8 2" xfId="904"/>
    <cellStyle name="Entrada 2 9" xfId="513"/>
    <cellStyle name="Entrada 2 9 2" xfId="1090"/>
    <cellStyle name="Entrada 3" xfId="123"/>
    <cellStyle name="Entrada 3 10" xfId="588"/>
    <cellStyle name="Entrada 3 10 2" xfId="1151"/>
    <cellStyle name="Entrada 3 11" xfId="23"/>
    <cellStyle name="Entrada 3 11 2" xfId="859"/>
    <cellStyle name="Entrada 3 12" xfId="550"/>
    <cellStyle name="Entrada 3 12 2" xfId="1123"/>
    <cellStyle name="Entrada 3 13" xfId="630"/>
    <cellStyle name="Entrada 3 13 2" xfId="1188"/>
    <cellStyle name="Entrada 3 14" xfId="471"/>
    <cellStyle name="Entrada 3 14 2" xfId="1051"/>
    <cellStyle name="Entrada 3 15" xfId="305"/>
    <cellStyle name="Entrada 3 15 2" xfId="898"/>
    <cellStyle name="Entrada 3 16" xfId="353"/>
    <cellStyle name="Entrada 3 16 2" xfId="942"/>
    <cellStyle name="Entrada 3 17" xfId="613"/>
    <cellStyle name="Entrada 3 17 2" xfId="1174"/>
    <cellStyle name="Entrada 3 18" xfId="693"/>
    <cellStyle name="Entrada 3 18 2" xfId="1240"/>
    <cellStyle name="Entrada 3 19" xfId="396"/>
    <cellStyle name="Entrada 3 19 2" xfId="982"/>
    <cellStyle name="Entrada 3 2" xfId="362"/>
    <cellStyle name="Entrada 3 2 2" xfId="951"/>
    <cellStyle name="Entrada 3 20" xfId="662"/>
    <cellStyle name="Entrada 3 20 2" xfId="1217"/>
    <cellStyle name="Entrada 3 21" xfId="608"/>
    <cellStyle name="Entrada 3 21 2" xfId="1170"/>
    <cellStyle name="Entrada 3 22" xfId="629"/>
    <cellStyle name="Entrada 3 22 2" xfId="1187"/>
    <cellStyle name="Entrada 3 23" xfId="357"/>
    <cellStyle name="Entrada 3 23 2" xfId="946"/>
    <cellStyle name="Entrada 3 24" xfId="697"/>
    <cellStyle name="Entrada 3 24 2" xfId="1243"/>
    <cellStyle name="Entrada 3 25" xfId="524"/>
    <cellStyle name="Entrada 3 25 2" xfId="1099"/>
    <cellStyle name="Entrada 3 26" xfId="763"/>
    <cellStyle name="Entrada 3 26 2" xfId="1299"/>
    <cellStyle name="Entrada 3 27" xfId="481"/>
    <cellStyle name="Entrada 3 27 2" xfId="1061"/>
    <cellStyle name="Entrada 3 28" xfId="348"/>
    <cellStyle name="Entrada 3 28 2" xfId="938"/>
    <cellStyle name="Entrada 3 29" xfId="731"/>
    <cellStyle name="Entrada 3 29 2" xfId="1273"/>
    <cellStyle name="Entrada 3 3" xfId="394"/>
    <cellStyle name="Entrada 3 3 2" xfId="980"/>
    <cellStyle name="Entrada 3 30" xfId="560"/>
    <cellStyle name="Entrada 3 30 2" xfId="1130"/>
    <cellStyle name="Entrada 3 31" xfId="529"/>
    <cellStyle name="Entrada 3 31 2" xfId="1104"/>
    <cellStyle name="Entrada 3 32" xfId="631"/>
    <cellStyle name="Entrada 3 32 2" xfId="1189"/>
    <cellStyle name="Entrada 3 33" xfId="726"/>
    <cellStyle name="Entrada 3 33 2" xfId="1269"/>
    <cellStyle name="Entrada 3 34" xfId="721"/>
    <cellStyle name="Entrada 3 34 2" xfId="1265"/>
    <cellStyle name="Entrada 3 35" xfId="768"/>
    <cellStyle name="Entrada 3 35 2" xfId="1303"/>
    <cellStyle name="Entrada 3 36" xfId="291"/>
    <cellStyle name="Entrada 3 36 2" xfId="884"/>
    <cellStyle name="Entrada 3 37" xfId="864"/>
    <cellStyle name="Entrada 3 38" xfId="727"/>
    <cellStyle name="Entrada 3 4" xfId="370"/>
    <cellStyle name="Entrada 3 4 2" xfId="959"/>
    <cellStyle name="Entrada 3 5" xfId="389"/>
    <cellStyle name="Entrada 3 5 2" xfId="976"/>
    <cellStyle name="Entrada 3 6" xfId="487"/>
    <cellStyle name="Entrada 3 6 2" xfId="1067"/>
    <cellStyle name="Entrada 3 7" xfId="546"/>
    <cellStyle name="Entrada 3 7 2" xfId="1119"/>
    <cellStyle name="Entrada 3 8" xfId="563"/>
    <cellStyle name="Entrada 3 8 2" xfId="1132"/>
    <cellStyle name="Entrada 3 9" xfId="488"/>
    <cellStyle name="Entrada 3 9 2" xfId="1068"/>
    <cellStyle name="Estilo 1" xfId="124"/>
    <cellStyle name="Estilo 1 2" xfId="125"/>
    <cellStyle name="Euro" xfId="126"/>
    <cellStyle name="Euro 2" xfId="127"/>
    <cellStyle name="Euro 2 2" xfId="128"/>
    <cellStyle name="Euro 2 3" xfId="129"/>
    <cellStyle name="Euro 3" xfId="130"/>
    <cellStyle name="Excel Built-in Normal" xfId="14"/>
    <cellStyle name="Excel Built-in Normal 2" xfId="245"/>
    <cellStyle name="Explanatory Text" xfId="131"/>
    <cellStyle name="Good" xfId="132"/>
    <cellStyle name="Heading 1" xfId="133"/>
    <cellStyle name="Heading 2" xfId="134"/>
    <cellStyle name="Heading 3" xfId="135"/>
    <cellStyle name="Heading 4" xfId="136"/>
    <cellStyle name="Incorrecto 2" xfId="137"/>
    <cellStyle name="Incorrecto 3" xfId="138"/>
    <cellStyle name="Input" xfId="139"/>
    <cellStyle name="Input 10" xfId="502"/>
    <cellStyle name="Input 10 2" xfId="1080"/>
    <cellStyle name="Input 11" xfId="415"/>
    <cellStyle name="Input 11 2" xfId="1000"/>
    <cellStyle name="Input 12" xfId="602"/>
    <cellStyle name="Input 12 2" xfId="1164"/>
    <cellStyle name="Input 13" xfId="592"/>
    <cellStyle name="Input 13 2" xfId="1155"/>
    <cellStyle name="Input 14" xfId="450"/>
    <cellStyle name="Input 14 2" xfId="1031"/>
    <cellStyle name="Input 15" xfId="646"/>
    <cellStyle name="Input 15 2" xfId="1203"/>
    <cellStyle name="Input 16" xfId="657"/>
    <cellStyle name="Input 16 2" xfId="1212"/>
    <cellStyle name="Input 17" xfId="667"/>
    <cellStyle name="Input 17 2" xfId="1219"/>
    <cellStyle name="Input 18" xfId="635"/>
    <cellStyle name="Input 18 2" xfId="1193"/>
    <cellStyle name="Input 19" xfId="637"/>
    <cellStyle name="Input 19 2" xfId="1195"/>
    <cellStyle name="Input 2" xfId="377"/>
    <cellStyle name="Input 2 2" xfId="965"/>
    <cellStyle name="Input 20" xfId="707"/>
    <cellStyle name="Input 20 2" xfId="1252"/>
    <cellStyle name="Input 21" xfId="719"/>
    <cellStyle name="Input 21 2" xfId="1263"/>
    <cellStyle name="Input 22" xfId="692"/>
    <cellStyle name="Input 22 2" xfId="1239"/>
    <cellStyle name="Input 23" xfId="722"/>
    <cellStyle name="Input 23 2" xfId="1266"/>
    <cellStyle name="Input 24" xfId="672"/>
    <cellStyle name="Input 24 2" xfId="1224"/>
    <cellStyle name="Input 25" xfId="387"/>
    <cellStyle name="Input 25 2" xfId="974"/>
    <cellStyle name="Input 26" xfId="780"/>
    <cellStyle name="Input 26 2" xfId="1313"/>
    <cellStyle name="Input 27" xfId="789"/>
    <cellStyle name="Input 27 2" xfId="1320"/>
    <cellStyle name="Input 28" xfId="798"/>
    <cellStyle name="Input 28 2" xfId="1325"/>
    <cellStyle name="Input 29" xfId="805"/>
    <cellStyle name="Input 29 2" xfId="1330"/>
    <cellStyle name="Input 3" xfId="384"/>
    <cellStyle name="Input 3 2" xfId="971"/>
    <cellStyle name="Input 30" xfId="812"/>
    <cellStyle name="Input 30 2" xfId="1335"/>
    <cellStyle name="Input 31" xfId="818"/>
    <cellStyle name="Input 31 2" xfId="1340"/>
    <cellStyle name="Input 32" xfId="824"/>
    <cellStyle name="Input 32 2" xfId="1344"/>
    <cellStyle name="Input 33" xfId="829"/>
    <cellStyle name="Input 33 2" xfId="1348"/>
    <cellStyle name="Input 34" xfId="834"/>
    <cellStyle name="Input 34 2" xfId="1351"/>
    <cellStyle name="Input 35" xfId="838"/>
    <cellStyle name="Input 35 2" xfId="1354"/>
    <cellStyle name="Input 36" xfId="842"/>
    <cellStyle name="Input 36 2" xfId="1356"/>
    <cellStyle name="Input 37" xfId="865"/>
    <cellStyle name="Input 38" xfId="845"/>
    <cellStyle name="Input 4" xfId="482"/>
    <cellStyle name="Input 4 2" xfId="1062"/>
    <cellStyle name="Input 5" xfId="496"/>
    <cellStyle name="Input 5 2" xfId="1075"/>
    <cellStyle name="Input 6" xfId="527"/>
    <cellStyle name="Input 6 2" xfId="1102"/>
    <cellStyle name="Input 7" xfId="385"/>
    <cellStyle name="Input 7 2" xfId="972"/>
    <cellStyle name="Input 8" xfId="551"/>
    <cellStyle name="Input 8 2" xfId="1124"/>
    <cellStyle name="Input 9" xfId="479"/>
    <cellStyle name="Input 9 2" xfId="1059"/>
    <cellStyle name="Linked Cell" xfId="140"/>
    <cellStyle name="Millares" xfId="1" builtinId="3"/>
    <cellStyle name="Millares [0]" xfId="1363" builtinId="6"/>
    <cellStyle name="Millares [0] 2" xfId="13"/>
    <cellStyle name="Millares [0] 2 2" xfId="275"/>
    <cellStyle name="Millares [0] 3" xfId="276"/>
    <cellStyle name="Millares [0] 4" xfId="269"/>
    <cellStyle name="Millares 10" xfId="141"/>
    <cellStyle name="Millares 11" xfId="142"/>
    <cellStyle name="Millares 12" xfId="143"/>
    <cellStyle name="Millares 13" xfId="287"/>
    <cellStyle name="Millares 14" xfId="453"/>
    <cellStyle name="Millares 15" xfId="318"/>
    <cellStyle name="Millares 16" xfId="144"/>
    <cellStyle name="Millares 17" xfId="145"/>
    <cellStyle name="Millares 18" xfId="146"/>
    <cellStyle name="Millares 19" xfId="147"/>
    <cellStyle name="Millares 2" xfId="2"/>
    <cellStyle name="Millares 2 10" xfId="148"/>
    <cellStyle name="Millares 2 11" xfId="149"/>
    <cellStyle name="Millares 2 12" xfId="150"/>
    <cellStyle name="Millares 2 13" xfId="151"/>
    <cellStyle name="Millares 2 2" xfId="152"/>
    <cellStyle name="Millares 2 2 2" xfId="153"/>
    <cellStyle name="Millares 2 2 3" xfId="246"/>
    <cellStyle name="Millares 2 3" xfId="154"/>
    <cellStyle name="Millares 2 3 2" xfId="155"/>
    <cellStyle name="Millares 2 3 3" xfId="247"/>
    <cellStyle name="Millares 2 4" xfId="156"/>
    <cellStyle name="Millares 2 4 2" xfId="273"/>
    <cellStyle name="Millares 2 5" xfId="157"/>
    <cellStyle name="Millares 2 5 2" xfId="271"/>
    <cellStyle name="Millares 2 6" xfId="158"/>
    <cellStyle name="Millares 2 7" xfId="159"/>
    <cellStyle name="Millares 2 8" xfId="160"/>
    <cellStyle name="Millares 2 9" xfId="161"/>
    <cellStyle name="Millares 20" xfId="162"/>
    <cellStyle name="Millares 21" xfId="163"/>
    <cellStyle name="Millares 22" xfId="164"/>
    <cellStyle name="Millares 23" xfId="165"/>
    <cellStyle name="Millares 24" xfId="166"/>
    <cellStyle name="Millares 25" xfId="167"/>
    <cellStyle name="Millares 26" xfId="168"/>
    <cellStyle name="Millares 27" xfId="169"/>
    <cellStyle name="Millares 28" xfId="170"/>
    <cellStyle name="Millares 29" xfId="171"/>
    <cellStyle name="Millares 3" xfId="8"/>
    <cellStyle name="Millares 3 2" xfId="172"/>
    <cellStyle name="Millares 3 3" xfId="173"/>
    <cellStyle name="Millares 3 4" xfId="174"/>
    <cellStyle name="Millares 3 5" xfId="175"/>
    <cellStyle name="Millares 3 6" xfId="20"/>
    <cellStyle name="Millares 3 7" xfId="1359"/>
    <cellStyle name="Millares 3 7 2" xfId="1360"/>
    <cellStyle name="Millares 30" xfId="176"/>
    <cellStyle name="Millares 31" xfId="177"/>
    <cellStyle name="Millares 32" xfId="427"/>
    <cellStyle name="Millares 33" xfId="433"/>
    <cellStyle name="Millares 34" xfId="541"/>
    <cellStyle name="Millares 35" xfId="559"/>
    <cellStyle name="Millares 36" xfId="440"/>
    <cellStyle name="Millares 37" xfId="583"/>
    <cellStyle name="Millares 38" xfId="553"/>
    <cellStyle name="Millares 39" xfId="562"/>
    <cellStyle name="Millares 4" xfId="7"/>
    <cellStyle name="Millares 4 2" xfId="178"/>
    <cellStyle name="Millares 4 3" xfId="179"/>
    <cellStyle name="Millares 4 4" xfId="180"/>
    <cellStyle name="Millares 4 5" xfId="272"/>
    <cellStyle name="Millares 4 6" xfId="15"/>
    <cellStyle name="Millares 4 7" xfId="852"/>
    <cellStyle name="Millares 40" xfId="626"/>
    <cellStyle name="Millares 41" xfId="375"/>
    <cellStyle name="Millares 42" xfId="398"/>
    <cellStyle name="Millares 43" xfId="622"/>
    <cellStyle name="Millares 44" xfId="391"/>
    <cellStyle name="Millares 45" xfId="689"/>
    <cellStyle name="Millares 46" xfId="664"/>
    <cellStyle name="Millares 47" xfId="382"/>
    <cellStyle name="Millares 48" xfId="685"/>
    <cellStyle name="Millares 49" xfId="311"/>
    <cellStyle name="Millares 5" xfId="181"/>
    <cellStyle name="Millares 5 2" xfId="182"/>
    <cellStyle name="Millares 5 3" xfId="183"/>
    <cellStyle name="Millares 5 4" xfId="270"/>
    <cellStyle name="Millares 50" xfId="441"/>
    <cellStyle name="Millares 51" xfId="501"/>
    <cellStyle name="Millares 52" xfId="746"/>
    <cellStyle name="Millares 53" xfId="655"/>
    <cellStyle name="Millares 54" xfId="696"/>
    <cellStyle name="Millares 55" xfId="679"/>
    <cellStyle name="Millares 56" xfId="751"/>
    <cellStyle name="Millares 57" xfId="514"/>
    <cellStyle name="Millares 58" xfId="775"/>
    <cellStyle name="Millares 59" xfId="576"/>
    <cellStyle name="Millares 6" xfId="6"/>
    <cellStyle name="Millares 6 2" xfId="184"/>
    <cellStyle name="Millares 60" xfId="777"/>
    <cellStyle name="Millares 61" xfId="786"/>
    <cellStyle name="Millares 62" xfId="795"/>
    <cellStyle name="Millares 63" xfId="803"/>
    <cellStyle name="Millares 64" xfId="851"/>
    <cellStyle name="Millares 65" xfId="810"/>
    <cellStyle name="Millares 7" xfId="185"/>
    <cellStyle name="Millares 8" xfId="186"/>
    <cellStyle name="Millares 9" xfId="187"/>
    <cellStyle name="Moneda [0]" xfId="1361" builtinId="7"/>
    <cellStyle name="Moneda [0] 2" xfId="244"/>
    <cellStyle name="Moneda [0] 2 2" xfId="274"/>
    <cellStyle name="Moneda [0] 2 3" xfId="279"/>
    <cellStyle name="Moneda [0] 3" xfId="278"/>
    <cellStyle name="Moneda 10" xfId="505"/>
    <cellStyle name="Moneda 11" xfId="519"/>
    <cellStyle name="Moneda 12" xfId="532"/>
    <cellStyle name="Moneda 13" xfId="554"/>
    <cellStyle name="Moneda 14" xfId="568"/>
    <cellStyle name="Moneda 15" xfId="582"/>
    <cellStyle name="Moneda 16" xfId="596"/>
    <cellStyle name="Moneda 17" xfId="610"/>
    <cellStyle name="Moneda 18" xfId="624"/>
    <cellStyle name="Moneda 19" xfId="639"/>
    <cellStyle name="Moneda 2" xfId="12"/>
    <cellStyle name="Moneda 2 2" xfId="188"/>
    <cellStyle name="Moneda 2 2 2" xfId="249"/>
    <cellStyle name="Moneda 2 2 3" xfId="866"/>
    <cellStyle name="Moneda 2 3" xfId="248"/>
    <cellStyle name="Moneda 2 4" xfId="855"/>
    <cellStyle name="Moneda 20" xfId="652"/>
    <cellStyle name="Moneda 21" xfId="665"/>
    <cellStyle name="Moneda 22" xfId="676"/>
    <cellStyle name="Moneda 23" xfId="687"/>
    <cellStyle name="Moneda 24" xfId="699"/>
    <cellStyle name="Moneda 25" xfId="714"/>
    <cellStyle name="Moneda 26" xfId="725"/>
    <cellStyle name="Moneda 27" xfId="735"/>
    <cellStyle name="Moneda 28" xfId="744"/>
    <cellStyle name="Moneda 29" xfId="758"/>
    <cellStyle name="Moneda 3" xfId="17"/>
    <cellStyle name="Moneda 30" xfId="766"/>
    <cellStyle name="Moneda 31" xfId="785"/>
    <cellStyle name="Moneda 32" xfId="794"/>
    <cellStyle name="Moneda 33" xfId="802"/>
    <cellStyle name="Moneda 34" xfId="809"/>
    <cellStyle name="Moneda 35" xfId="816"/>
    <cellStyle name="Moneda 36" xfId="822"/>
    <cellStyle name="Moneda 37" xfId="827"/>
    <cellStyle name="Moneda 38" xfId="832"/>
    <cellStyle name="Moneda 39" xfId="837"/>
    <cellStyle name="Moneda 4" xfId="250"/>
    <cellStyle name="Moneda 40" xfId="841"/>
    <cellStyle name="Moneda 41" xfId="844"/>
    <cellStyle name="Moneda 42" xfId="847"/>
    <cellStyle name="Moneda 43" xfId="849"/>
    <cellStyle name="Moneda 44" xfId="850"/>
    <cellStyle name="Moneda 5" xfId="189"/>
    <cellStyle name="Moneda 5 2" xfId="251"/>
    <cellStyle name="Moneda 6" xfId="252"/>
    <cellStyle name="Moneda 7" xfId="253"/>
    <cellStyle name="Moneda 7 2" xfId="254"/>
    <cellStyle name="Moneda 7 3" xfId="255"/>
    <cellStyle name="Moneda 8" xfId="280"/>
    <cellStyle name="Moneda 9" xfId="491"/>
    <cellStyle name="Neutral 2" xfId="190"/>
    <cellStyle name="Neutral 3" xfId="191"/>
    <cellStyle name="Normal" xfId="0" builtinId="0"/>
    <cellStyle name="Normal 12" xfId="192"/>
    <cellStyle name="Normal 2" xfId="5"/>
    <cellStyle name="Normal 2 2" xfId="19"/>
    <cellStyle name="Normal 2 2 2" xfId="9"/>
    <cellStyle name="Normal 2 2 2 2" xfId="277"/>
    <cellStyle name="Normal 2 2 2 3" xfId="193"/>
    <cellStyle name="Normal 2 2 3" xfId="256"/>
    <cellStyle name="Normal 2 3" xfId="194"/>
    <cellStyle name="Normal 2 3 2" xfId="257"/>
    <cellStyle name="Normal 2 4" xfId="195"/>
    <cellStyle name="Normal 2 5" xfId="196"/>
    <cellStyle name="Normal 2 6" xfId="197"/>
    <cellStyle name="Normal 3" xfId="198"/>
    <cellStyle name="Normal 3 2" xfId="199"/>
    <cellStyle name="Normal 3 3" xfId="258"/>
    <cellStyle name="Normal 4" xfId="4"/>
    <cellStyle name="Normal 4 10" xfId="201"/>
    <cellStyle name="Normal 4 11" xfId="259"/>
    <cellStyle name="Normal 4 12" xfId="200"/>
    <cellStyle name="Normal 4 2" xfId="202"/>
    <cellStyle name="Normal 4 3" xfId="203"/>
    <cellStyle name="Normal 4 4" xfId="204"/>
    <cellStyle name="Normal 4 5" xfId="205"/>
    <cellStyle name="Normal 4 6" xfId="206"/>
    <cellStyle name="Normal 4 7" xfId="207"/>
    <cellStyle name="Normal 4 8" xfId="208"/>
    <cellStyle name="Normal 4 9" xfId="209"/>
    <cellStyle name="Normal 5" xfId="210"/>
    <cellStyle name="Normal 5 2" xfId="261"/>
    <cellStyle name="Normal 5 3" xfId="262"/>
    <cellStyle name="Normal 5 4" xfId="263"/>
    <cellStyle name="Normal 5 5" xfId="260"/>
    <cellStyle name="Normal 6" xfId="211"/>
    <cellStyle name="Normal 6 2" xfId="264"/>
    <cellStyle name="Normal 7" xfId="212"/>
    <cellStyle name="Normal 7 2" xfId="243"/>
    <cellStyle name="Normal 8" xfId="213"/>
    <cellStyle name="Normal 8 2" xfId="214"/>
    <cellStyle name="Normal 8 2 2" xfId="215"/>
    <cellStyle name="Normal 9" xfId="216"/>
    <cellStyle name="Notas 2" xfId="217"/>
    <cellStyle name="Notas 2 10" xfId="364"/>
    <cellStyle name="Notas 2 10 2" xfId="953"/>
    <cellStyle name="Notas 2 11" xfId="464"/>
    <cellStyle name="Notas 2 11 2" xfId="1044"/>
    <cellStyle name="Notas 2 12" xfId="373"/>
    <cellStyle name="Notas 2 12 2" xfId="962"/>
    <cellStyle name="Notas 2 13" xfId="315"/>
    <cellStyle name="Notas 2 13 2" xfId="907"/>
    <cellStyle name="Notas 2 14" xfId="526"/>
    <cellStyle name="Notas 2 14 2" xfId="1101"/>
    <cellStyle name="Notas 2 15" xfId="397"/>
    <cellStyle name="Notas 2 15 2" xfId="983"/>
    <cellStyle name="Notas 2 16" xfId="509"/>
    <cellStyle name="Notas 2 16 2" xfId="1086"/>
    <cellStyle name="Notas 2 17" xfId="459"/>
    <cellStyle name="Notas 2 17 2" xfId="1039"/>
    <cellStyle name="Notas 2 18" xfId="647"/>
    <cellStyle name="Notas 2 18 2" xfId="1204"/>
    <cellStyle name="Notas 2 19" xfId="644"/>
    <cellStyle name="Notas 2 19 2" xfId="1201"/>
    <cellStyle name="Notas 2 2" xfId="218"/>
    <cellStyle name="Notas 2 2 10" xfId="580"/>
    <cellStyle name="Notas 2 2 10 2" xfId="1146"/>
    <cellStyle name="Notas 2 2 11" xfId="564"/>
    <cellStyle name="Notas 2 2 11 2" xfId="1133"/>
    <cellStyle name="Notas 2 2 12" xfId="359"/>
    <cellStyle name="Notas 2 2 12 2" xfId="948"/>
    <cellStyle name="Notas 2 2 13" xfId="621"/>
    <cellStyle name="Notas 2 2 13 2" xfId="1182"/>
    <cellStyle name="Notas 2 2 14" xfId="317"/>
    <cellStyle name="Notas 2 2 14 2" xfId="909"/>
    <cellStyle name="Notas 2 2 15" xfId="535"/>
    <cellStyle name="Notas 2 2 15 2" xfId="1109"/>
    <cellStyle name="Notas 2 2 16" xfId="594"/>
    <cellStyle name="Notas 2 2 16 2" xfId="1157"/>
    <cellStyle name="Notas 2 2 17" xfId="409"/>
    <cellStyle name="Notas 2 2 17 2" xfId="994"/>
    <cellStyle name="Notas 2 2 18" xfId="684"/>
    <cellStyle name="Notas 2 2 18 2" xfId="1234"/>
    <cellStyle name="Notas 2 2 19" xfId="528"/>
    <cellStyle name="Notas 2 2 19 2" xfId="1103"/>
    <cellStyle name="Notas 2 2 2" xfId="444"/>
    <cellStyle name="Notas 2 2 2 2" xfId="1025"/>
    <cellStyle name="Notas 2 2 20" xfId="587"/>
    <cellStyle name="Notas 2 2 20 2" xfId="1150"/>
    <cellStyle name="Notas 2 2 21" xfId="281"/>
    <cellStyle name="Notas 2 2 21 2" xfId="875"/>
    <cellStyle name="Notas 2 2 22" xfId="470"/>
    <cellStyle name="Notas 2 2 22 2" xfId="1050"/>
    <cellStyle name="Notas 2 2 23" xfId="656"/>
    <cellStyle name="Notas 2 2 23 2" xfId="1211"/>
    <cellStyle name="Notas 2 2 24" xfId="658"/>
    <cellStyle name="Notas 2 2 24 2" xfId="1213"/>
    <cellStyle name="Notas 2 2 25" xfId="765"/>
    <cellStyle name="Notas 2 2 25 2" xfId="1301"/>
    <cellStyle name="Notas 2 2 26" xfId="435"/>
    <cellStyle name="Notas 2 2 26 2" xfId="1018"/>
    <cellStyle name="Notas 2 2 27" xfId="547"/>
    <cellStyle name="Notas 2 2 27 2" xfId="1120"/>
    <cellStyle name="Notas 2 2 28" xfId="607"/>
    <cellStyle name="Notas 2 2 28 2" xfId="1169"/>
    <cellStyle name="Notas 2 2 29" xfId="774"/>
    <cellStyle name="Notas 2 2 29 2" xfId="1309"/>
    <cellStyle name="Notas 2 2 3" xfId="327"/>
    <cellStyle name="Notas 2 2 3 2" xfId="917"/>
    <cellStyle name="Notas 2 2 30" xfId="669"/>
    <cellStyle name="Notas 2 2 30 2" xfId="1221"/>
    <cellStyle name="Notas 2 2 31" xfId="374"/>
    <cellStyle name="Notas 2 2 31 2" xfId="963"/>
    <cellStyle name="Notas 2 2 32" xfId="522"/>
    <cellStyle name="Notas 2 2 32 2" xfId="1097"/>
    <cellStyle name="Notas 2 2 33" xfId="538"/>
    <cellStyle name="Notas 2 2 33 2" xfId="1112"/>
    <cellStyle name="Notas 2 2 34" xfId="737"/>
    <cellStyle name="Notas 2 2 34 2" xfId="1278"/>
    <cellStyle name="Notas 2 2 35" xfId="674"/>
    <cellStyle name="Notas 2 2 35 2" xfId="1226"/>
    <cellStyle name="Notas 2 2 36" xfId="784"/>
    <cellStyle name="Notas 2 2 36 2" xfId="1317"/>
    <cellStyle name="Notas 2 2 37" xfId="868"/>
    <cellStyle name="Notas 2 2 38" xfId="793"/>
    <cellStyle name="Notas 2 2 4" xfId="282"/>
    <cellStyle name="Notas 2 2 4 2" xfId="876"/>
    <cellStyle name="Notas 2 2 5" xfId="457"/>
    <cellStyle name="Notas 2 2 5 2" xfId="1037"/>
    <cellStyle name="Notas 2 2 6" xfId="485"/>
    <cellStyle name="Notas 2 2 6 2" xfId="1065"/>
    <cellStyle name="Notas 2 2 7" xfId="331"/>
    <cellStyle name="Notas 2 2 7 2" xfId="921"/>
    <cellStyle name="Notas 2 2 8" xfId="293"/>
    <cellStyle name="Notas 2 2 8 2" xfId="886"/>
    <cellStyle name="Notas 2 2 9" xfId="363"/>
    <cellStyle name="Notas 2 2 9 2" xfId="952"/>
    <cellStyle name="Notas 2 20" xfId="589"/>
    <cellStyle name="Notas 2 20 2" xfId="1152"/>
    <cellStyle name="Notas 2 21" xfId="605"/>
    <cellStyle name="Notas 2 21 2" xfId="1167"/>
    <cellStyle name="Notas 2 22" xfId="615"/>
    <cellStyle name="Notas 2 22 2" xfId="1176"/>
    <cellStyle name="Notas 2 23" xfId="352"/>
    <cellStyle name="Notas 2 23 2" xfId="941"/>
    <cellStyle name="Notas 2 24" xfId="510"/>
    <cellStyle name="Notas 2 24 2" xfId="1087"/>
    <cellStyle name="Notas 2 25" xfId="321"/>
    <cellStyle name="Notas 2 25 2" xfId="912"/>
    <cellStyle name="Notas 2 26" xfId="761"/>
    <cellStyle name="Notas 2 26 2" xfId="1297"/>
    <cellStyle name="Notas 2 27" xfId="313"/>
    <cellStyle name="Notas 2 27 2" xfId="905"/>
    <cellStyle name="Notas 2 28" xfId="432"/>
    <cellStyle name="Notas 2 28 2" xfId="1016"/>
    <cellStyle name="Notas 2 29" xfId="781"/>
    <cellStyle name="Notas 2 29 2" xfId="1314"/>
    <cellStyle name="Notas 2 3" xfId="443"/>
    <cellStyle name="Notas 2 3 2" xfId="1024"/>
    <cellStyle name="Notas 2 30" xfId="790"/>
    <cellStyle name="Notas 2 30 2" xfId="1321"/>
    <cellStyle name="Notas 2 31" xfId="799"/>
    <cellStyle name="Notas 2 31 2" xfId="1326"/>
    <cellStyle name="Notas 2 32" xfId="806"/>
    <cellStyle name="Notas 2 32 2" xfId="1331"/>
    <cellStyle name="Notas 2 33" xfId="813"/>
    <cellStyle name="Notas 2 33 2" xfId="1336"/>
    <cellStyle name="Notas 2 34" xfId="819"/>
    <cellStyle name="Notas 2 34 2" xfId="1341"/>
    <cellStyle name="Notas 2 35" xfId="825"/>
    <cellStyle name="Notas 2 35 2" xfId="1345"/>
    <cellStyle name="Notas 2 36" xfId="830"/>
    <cellStyle name="Notas 2 36 2" xfId="1349"/>
    <cellStyle name="Notas 2 37" xfId="835"/>
    <cellStyle name="Notas 2 37 2" xfId="1352"/>
    <cellStyle name="Notas 2 38" xfId="867"/>
    <cellStyle name="Notas 2 39" xfId="839"/>
    <cellStyle name="Notas 2 4" xfId="328"/>
    <cellStyle name="Notas 2 4 2" xfId="918"/>
    <cellStyle name="Notas 2 5" xfId="422"/>
    <cellStyle name="Notas 2 5 2" xfId="1007"/>
    <cellStyle name="Notas 2 6" xfId="342"/>
    <cellStyle name="Notas 2 6 2" xfId="932"/>
    <cellStyle name="Notas 2 7" xfId="466"/>
    <cellStyle name="Notas 2 7 2" xfId="1046"/>
    <cellStyle name="Notas 2 8" xfId="332"/>
    <cellStyle name="Notas 2 8 2" xfId="922"/>
    <cellStyle name="Notas 2 9" xfId="410"/>
    <cellStyle name="Notas 2 9 2" xfId="995"/>
    <cellStyle name="Note" xfId="219"/>
    <cellStyle name="Note 10" xfId="521"/>
    <cellStyle name="Note 10 2" xfId="1096"/>
    <cellStyle name="Note 11" xfId="516"/>
    <cellStyle name="Note 11 2" xfId="1092"/>
    <cellStyle name="Note 12" xfId="585"/>
    <cellStyle name="Note 12 2" xfId="1148"/>
    <cellStyle name="Note 13" xfId="323"/>
    <cellStyle name="Note 13 2" xfId="913"/>
    <cellStyle name="Note 14" xfId="299"/>
    <cellStyle name="Note 14 2" xfId="892"/>
    <cellStyle name="Note 15" xfId="628"/>
    <cellStyle name="Note 15 2" xfId="1186"/>
    <cellStyle name="Note 16" xfId="307"/>
    <cellStyle name="Note 16 2" xfId="900"/>
    <cellStyle name="Note 17" xfId="400"/>
    <cellStyle name="Note 17 2" xfId="985"/>
    <cellStyle name="Note 18" xfId="556"/>
    <cellStyle name="Note 18 2" xfId="1127"/>
    <cellStyle name="Note 19" xfId="10"/>
    <cellStyle name="Note 19 2" xfId="853"/>
    <cellStyle name="Note 2" xfId="445"/>
    <cellStyle name="Note 2 2" xfId="1026"/>
    <cellStyle name="Note 20" xfId="691"/>
    <cellStyle name="Note 20 2" xfId="1238"/>
    <cellStyle name="Note 21" xfId="590"/>
    <cellStyle name="Note 21 2" xfId="1153"/>
    <cellStyle name="Note 22" xfId="386"/>
    <cellStyle name="Note 22 2" xfId="973"/>
    <cellStyle name="Note 23" xfId="706"/>
    <cellStyle name="Note 23 2" xfId="1251"/>
    <cellStyle name="Note 24" xfId="611"/>
    <cellStyle name="Note 24 2" xfId="1172"/>
    <cellStyle name="Note 25" xfId="764"/>
    <cellStyle name="Note 25 2" xfId="1300"/>
    <cellStyle name="Note 26" xfId="381"/>
    <cellStyle name="Note 26 2" xfId="969"/>
    <cellStyle name="Note 27" xfId="750"/>
    <cellStyle name="Note 27 2" xfId="1288"/>
    <cellStyle name="Note 28" xfId="716"/>
    <cellStyle name="Note 28 2" xfId="1260"/>
    <cellStyle name="Note 29" xfId="773"/>
    <cellStyle name="Note 29 2" xfId="1308"/>
    <cellStyle name="Note 3" xfId="326"/>
    <cellStyle name="Note 3 2" xfId="916"/>
    <cellStyle name="Note 30" xfId="545"/>
    <cellStyle name="Note 30 2" xfId="1118"/>
    <cellStyle name="Note 31" xfId="632"/>
    <cellStyle name="Note 31 2" xfId="1190"/>
    <cellStyle name="Note 32" xfId="698"/>
    <cellStyle name="Note 32 2" xfId="1244"/>
    <cellStyle name="Note 33" xfId="772"/>
    <cellStyle name="Note 33 2" xfId="1307"/>
    <cellStyle name="Note 34" xfId="743"/>
    <cellStyle name="Note 34 2" xfId="1284"/>
    <cellStyle name="Note 35" xfId="645"/>
    <cellStyle name="Note 35 2" xfId="1202"/>
    <cellStyle name="Note 36" xfId="544"/>
    <cellStyle name="Note 36 2" xfId="1117"/>
    <cellStyle name="Note 37" xfId="869"/>
    <cellStyle name="Note 38" xfId="584"/>
    <cellStyle name="Note 4" xfId="285"/>
    <cellStyle name="Note 4 2" xfId="879"/>
    <cellStyle name="Note 5" xfId="454"/>
    <cellStyle name="Note 5 2" xfId="1034"/>
    <cellStyle name="Note 6" xfId="447"/>
    <cellStyle name="Note 6 2" xfId="1028"/>
    <cellStyle name="Note 7" xfId="330"/>
    <cellStyle name="Note 7 2" xfId="920"/>
    <cellStyle name="Note 8" xfId="294"/>
    <cellStyle name="Note 8 2" xfId="887"/>
    <cellStyle name="Note 9" xfId="480"/>
    <cellStyle name="Note 9 2" xfId="1060"/>
    <cellStyle name="Output" xfId="220"/>
    <cellStyle name="Output 10" xfId="408"/>
    <cellStyle name="Output 10 2" xfId="993"/>
    <cellStyle name="Output 11" xfId="500"/>
    <cellStyle name="Output 11 2" xfId="1079"/>
    <cellStyle name="Output 12" xfId="406"/>
    <cellStyle name="Output 12 2" xfId="991"/>
    <cellStyle name="Output 13" xfId="542"/>
    <cellStyle name="Output 13 2" xfId="1115"/>
    <cellStyle name="Output 14" xfId="603"/>
    <cellStyle name="Output 14 2" xfId="1165"/>
    <cellStyle name="Output 15" xfId="515"/>
    <cellStyle name="Output 15 2" xfId="1091"/>
    <cellStyle name="Output 16" xfId="468"/>
    <cellStyle name="Output 16 2" xfId="1048"/>
    <cellStyle name="Output 17" xfId="625"/>
    <cellStyle name="Output 17 2" xfId="1184"/>
    <cellStyle name="Output 18" xfId="574"/>
    <cellStyle name="Output 18 2" xfId="1142"/>
    <cellStyle name="Output 19" xfId="668"/>
    <cellStyle name="Output 19 2" xfId="1220"/>
    <cellStyle name="Output 2" xfId="446"/>
    <cellStyle name="Output 2 2" xfId="1027"/>
    <cellStyle name="Output 20" xfId="431"/>
    <cellStyle name="Output 20 2" xfId="1015"/>
    <cellStyle name="Output 21" xfId="350"/>
    <cellStyle name="Output 21 2" xfId="939"/>
    <cellStyle name="Output 22" xfId="298"/>
    <cellStyle name="Output 22 2" xfId="891"/>
    <cellStyle name="Output 23" xfId="344"/>
    <cellStyle name="Output 23 2" xfId="934"/>
    <cellStyle name="Output 24" xfId="593"/>
    <cellStyle name="Output 24 2" xfId="1156"/>
    <cellStyle name="Output 25" xfId="703"/>
    <cellStyle name="Output 25 2" xfId="1248"/>
    <cellStyle name="Output 26" xfId="640"/>
    <cellStyle name="Output 26 2" xfId="1197"/>
    <cellStyle name="Output 27" xfId="634"/>
    <cellStyle name="Output 27 2" xfId="1192"/>
    <cellStyle name="Output 28" xfId="297"/>
    <cellStyle name="Output 28 2" xfId="890"/>
    <cellStyle name="Output 29" xfId="778"/>
    <cellStyle name="Output 29 2" xfId="1311"/>
    <cellStyle name="Output 3" xfId="325"/>
    <cellStyle name="Output 3 2" xfId="915"/>
    <cellStyle name="Output 30" xfId="787"/>
    <cellStyle name="Output 30 2" xfId="1318"/>
    <cellStyle name="Output 31" xfId="796"/>
    <cellStyle name="Output 31 2" xfId="1324"/>
    <cellStyle name="Output 32" xfId="804"/>
    <cellStyle name="Output 32 2" xfId="1329"/>
    <cellStyle name="Output 33" xfId="811"/>
    <cellStyle name="Output 33 2" xfId="1334"/>
    <cellStyle name="Output 34" xfId="817"/>
    <cellStyle name="Output 34 2" xfId="1339"/>
    <cellStyle name="Output 35" xfId="823"/>
    <cellStyle name="Output 35 2" xfId="1343"/>
    <cellStyle name="Output 36" xfId="828"/>
    <cellStyle name="Output 36 2" xfId="1347"/>
    <cellStyle name="Output 37" xfId="870"/>
    <cellStyle name="Output 38" xfId="833"/>
    <cellStyle name="Output 4" xfId="423"/>
    <cellStyle name="Output 4 2" xfId="1008"/>
    <cellStyle name="Output 5" xfId="341"/>
    <cellStyle name="Output 5 2" xfId="931"/>
    <cellStyle name="Output 6" xfId="490"/>
    <cellStyle name="Output 6 2" xfId="1070"/>
    <cellStyle name="Output 7" xfId="329"/>
    <cellStyle name="Output 7 2" xfId="919"/>
    <cellStyle name="Output 8" xfId="439"/>
    <cellStyle name="Output 8 2" xfId="1022"/>
    <cellStyle name="Output 9" xfId="430"/>
    <cellStyle name="Output 9 2" xfId="1014"/>
    <cellStyle name="Porcentaje" xfId="1362" builtinId="5"/>
    <cellStyle name="Porcentaje 2" xfId="3"/>
    <cellStyle name="Porcentaje 2 2" xfId="221"/>
    <cellStyle name="Porcentaje 3" xfId="222"/>
    <cellStyle name="Porcentual 2" xfId="18"/>
    <cellStyle name="Porcentual 2 2" xfId="223"/>
    <cellStyle name="Porcentual 2 3" xfId="224"/>
    <cellStyle name="Porcentual 3" xfId="265"/>
    <cellStyle name="Porcentual 33" xfId="225"/>
    <cellStyle name="Porcentual 4" xfId="266"/>
    <cellStyle name="Porcentual 4 2" xfId="267"/>
    <cellStyle name="Porcentual 4 3" xfId="268"/>
    <cellStyle name="Salida 2" xfId="226"/>
    <cellStyle name="Salida 2 10" xfId="549"/>
    <cellStyle name="Salida 2 10 2" xfId="1122"/>
    <cellStyle name="Salida 2 11" xfId="498"/>
    <cellStyle name="Salida 2 11 2" xfId="1077"/>
    <cellStyle name="Salida 2 12" xfId="577"/>
    <cellStyle name="Salida 2 12 2" xfId="1144"/>
    <cellStyle name="Salida 2 13" xfId="303"/>
    <cellStyle name="Salida 2 13 2" xfId="896"/>
    <cellStyle name="Salida 2 14" xfId="351"/>
    <cellStyle name="Salida 2 14 2" xfId="940"/>
    <cellStyle name="Salida 2 15" xfId="618"/>
    <cellStyle name="Salida 2 15 2" xfId="1179"/>
    <cellStyle name="Salida 2 16" xfId="612"/>
    <cellStyle name="Salida 2 16 2" xfId="1173"/>
    <cellStyle name="Salida 2 17" xfId="340"/>
    <cellStyle name="Salida 2 17 2" xfId="930"/>
    <cellStyle name="Salida 2 18" xfId="661"/>
    <cellStyle name="Salida 2 18 2" xfId="1216"/>
    <cellStyle name="Salida 2 19" xfId="383"/>
    <cellStyle name="Salida 2 19 2" xfId="970"/>
    <cellStyle name="Salida 2 2" xfId="451"/>
    <cellStyle name="Salida 2 2 2" xfId="1032"/>
    <cellStyle name="Salida 2 20" xfId="683"/>
    <cellStyle name="Salida 2 20 2" xfId="1233"/>
    <cellStyle name="Salida 2 21" xfId="678"/>
    <cellStyle name="Salida 2 21 2" xfId="1229"/>
    <cellStyle name="Salida 2 22" xfId="712"/>
    <cellStyle name="Salida 2 22 2" xfId="1257"/>
    <cellStyle name="Salida 2 23" xfId="705"/>
    <cellStyle name="Salida 2 23 2" xfId="1250"/>
    <cellStyle name="Salida 2 24" xfId="748"/>
    <cellStyle name="Salida 2 24 2" xfId="1286"/>
    <cellStyle name="Salida 2 25" xfId="424"/>
    <cellStyle name="Salida 2 25 2" xfId="1009"/>
    <cellStyle name="Salida 2 26" xfId="506"/>
    <cellStyle name="Salida 2 26 2" xfId="1083"/>
    <cellStyle name="Salida 2 27" xfId="372"/>
    <cellStyle name="Salida 2 27 2" xfId="961"/>
    <cellStyle name="Salida 2 28" xfId="718"/>
    <cellStyle name="Salida 2 28 2" xfId="1262"/>
    <cellStyle name="Salida 2 29" xfId="733"/>
    <cellStyle name="Salida 2 29 2" xfId="1275"/>
    <cellStyle name="Salida 2 3" xfId="320"/>
    <cellStyle name="Salida 2 3 2" xfId="911"/>
    <cellStyle name="Salida 2 30" xfId="295"/>
    <cellStyle name="Salida 2 30 2" xfId="888"/>
    <cellStyle name="Salida 2 31" xfId="566"/>
    <cellStyle name="Salida 2 31 2" xfId="1135"/>
    <cellStyle name="Salida 2 32" xfId="343"/>
    <cellStyle name="Salida 2 32 2" xfId="933"/>
    <cellStyle name="Salida 2 33" xfId="738"/>
    <cellStyle name="Salida 2 33 2" xfId="1279"/>
    <cellStyle name="Salida 2 34" xfId="709"/>
    <cellStyle name="Salida 2 34 2" xfId="1254"/>
    <cellStyle name="Salida 2 35" xfId="762"/>
    <cellStyle name="Salida 2 35 2" xfId="1298"/>
    <cellStyle name="Salida 2 36" xfId="595"/>
    <cellStyle name="Salida 2 36 2" xfId="1158"/>
    <cellStyle name="Salida 2 37" xfId="871"/>
    <cellStyle name="Salida 2 38" xfId="322"/>
    <cellStyle name="Salida 2 4" xfId="425"/>
    <cellStyle name="Salida 2 4 2" xfId="1010"/>
    <cellStyle name="Salida 2 5" xfId="339"/>
    <cellStyle name="Salida 2 5 2" xfId="929"/>
    <cellStyle name="Salida 2 6" xfId="469"/>
    <cellStyle name="Salida 2 6 2" xfId="1049"/>
    <cellStyle name="Salida 2 7" xfId="476"/>
    <cellStyle name="Salida 2 7 2" xfId="1056"/>
    <cellStyle name="Salida 2 8" xfId="465"/>
    <cellStyle name="Salida 2 8 2" xfId="1045"/>
    <cellStyle name="Salida 2 9" xfId="360"/>
    <cellStyle name="Salida 2 9 2" xfId="949"/>
    <cellStyle name="Salida 3" xfId="227"/>
    <cellStyle name="Salida 3 10" xfId="284"/>
    <cellStyle name="Salida 3 10 2" xfId="878"/>
    <cellStyle name="Salida 3 11" xfId="354"/>
    <cellStyle name="Salida 3 11 2" xfId="943"/>
    <cellStyle name="Salida 3 12" xfId="581"/>
    <cellStyle name="Salida 3 12 2" xfId="1147"/>
    <cellStyle name="Salida 3 13" xfId="573"/>
    <cellStyle name="Salida 3 13 2" xfId="1141"/>
    <cellStyle name="Salida 3 14" xfId="489"/>
    <cellStyle name="Salida 3 14 2" xfId="1069"/>
    <cellStyle name="Salida 3 15" xfId="623"/>
    <cellStyle name="Salida 3 15 2" xfId="1183"/>
    <cellStyle name="Salida 3 16" xfId="484"/>
    <cellStyle name="Salida 3 16 2" xfId="1064"/>
    <cellStyle name="Salida 3 17" xfId="379"/>
    <cellStyle name="Salida 3 17 2" xfId="967"/>
    <cellStyle name="Salida 3 18" xfId="371"/>
    <cellStyle name="Salida 3 18 2" xfId="960"/>
    <cellStyle name="Salida 3 19" xfId="650"/>
    <cellStyle name="Salida 3 19 2" xfId="1207"/>
    <cellStyle name="Salida 3 2" xfId="452"/>
    <cellStyle name="Salida 3 2 2" xfId="1033"/>
    <cellStyle name="Salida 3 20" xfId="686"/>
    <cellStyle name="Salida 3 20 2" xfId="1235"/>
    <cellStyle name="Salida 3 21" xfId="358"/>
    <cellStyle name="Salida 3 21 2" xfId="947"/>
    <cellStyle name="Salida 3 22" xfId="302"/>
    <cellStyle name="Salida 3 22 2" xfId="895"/>
    <cellStyle name="Salida 3 23" xfId="742"/>
    <cellStyle name="Salida 3 23 2" xfId="1283"/>
    <cellStyle name="Salida 3 24" xfId="749"/>
    <cellStyle name="Salida 3 24 2" xfId="1287"/>
    <cellStyle name="Salida 3 25" xfId="508"/>
    <cellStyle name="Salida 3 25 2" xfId="1085"/>
    <cellStyle name="Salida 3 26" xfId="651"/>
    <cellStyle name="Salida 3 26 2" xfId="1208"/>
    <cellStyle name="Salida 3 27" xfId="407"/>
    <cellStyle name="Salida 3 27 2" xfId="992"/>
    <cellStyle name="Salida 3 28" xfId="333"/>
    <cellStyle name="Salida 3 28 2" xfId="923"/>
    <cellStyle name="Salida 3 29" xfId="402"/>
    <cellStyle name="Salida 3 29 2" xfId="987"/>
    <cellStyle name="Salida 3 3" xfId="319"/>
    <cellStyle name="Salida 3 3 2" xfId="910"/>
    <cellStyle name="Salida 3 30" xfId="753"/>
    <cellStyle name="Salida 3 30 2" xfId="1290"/>
    <cellStyle name="Salida 3 31" xfId="688"/>
    <cellStyle name="Salida 3 31 2" xfId="1236"/>
    <cellStyle name="Salida 3 32" xfId="704"/>
    <cellStyle name="Salida 3 32 2" xfId="1249"/>
    <cellStyle name="Salida 3 33" xfId="732"/>
    <cellStyle name="Salida 3 33 2" xfId="1274"/>
    <cellStyle name="Salida 3 34" xfId="680"/>
    <cellStyle name="Salida 3 34 2" xfId="1230"/>
    <cellStyle name="Salida 3 35" xfId="558"/>
    <cellStyle name="Salida 3 35 2" xfId="1129"/>
    <cellStyle name="Salida 3 36" xfId="609"/>
    <cellStyle name="Salida 3 36 2" xfId="1171"/>
    <cellStyle name="Salida 3 37" xfId="872"/>
    <cellStyle name="Salida 3 38" xfId="663"/>
    <cellStyle name="Salida 3 4" xfId="426"/>
    <cellStyle name="Salida 3 4 2" xfId="1011"/>
    <cellStyle name="Salida 3 5" xfId="338"/>
    <cellStyle name="Salida 3 5 2" xfId="928"/>
    <cellStyle name="Salida 3 6" xfId="283"/>
    <cellStyle name="Salida 3 6 2" xfId="877"/>
    <cellStyle name="Salida 3 7" xfId="475"/>
    <cellStyle name="Salida 3 7 2" xfId="1055"/>
    <cellStyle name="Salida 3 8" xfId="413"/>
    <cellStyle name="Salida 3 8 2" xfId="998"/>
    <cellStyle name="Salida 3 9" xfId="296"/>
    <cellStyle name="Salida 3 9 2" xfId="889"/>
    <cellStyle name="Texto de advertencia 2" xfId="228"/>
    <cellStyle name="Texto de advertencia 3" xfId="229"/>
    <cellStyle name="Texto explicativo 2" xfId="230"/>
    <cellStyle name="Texto explicativo 3" xfId="231"/>
    <cellStyle name="Title" xfId="232"/>
    <cellStyle name="Título 1 2" xfId="233"/>
    <cellStyle name="Título 2 2" xfId="234"/>
    <cellStyle name="Título 2 3" xfId="235"/>
    <cellStyle name="Título 3 2" xfId="236"/>
    <cellStyle name="Título 3 3" xfId="237"/>
    <cellStyle name="Título 4" xfId="238"/>
    <cellStyle name="Título 5" xfId="239"/>
    <cellStyle name="Total 2" xfId="240"/>
    <cellStyle name="Total 2 10" xfId="419"/>
    <cellStyle name="Total 2 10 2" xfId="1004"/>
    <cellStyle name="Total 2 11" xfId="448"/>
    <cellStyle name="Total 2 11 2" xfId="1029"/>
    <cellStyle name="Total 2 12" xfId="417"/>
    <cellStyle name="Total 2 12 2" xfId="1002"/>
    <cellStyle name="Total 2 13" xfId="543"/>
    <cellStyle name="Total 2 13 2" xfId="1116"/>
    <cellStyle name="Total 2 14" xfId="534"/>
    <cellStyle name="Total 2 14 2" xfId="1108"/>
    <cellStyle name="Total 2 15" xfId="531"/>
    <cellStyle name="Total 2 15 2" xfId="1106"/>
    <cellStyle name="Total 2 16" xfId="599"/>
    <cellStyle name="Total 2 16 2" xfId="1161"/>
    <cellStyle name="Total 2 17" xfId="614"/>
    <cellStyle name="Total 2 17 2" xfId="1175"/>
    <cellStyle name="Total 2 18" xfId="636"/>
    <cellStyle name="Total 2 18 2" xfId="1194"/>
    <cellStyle name="Total 2 19" xfId="642"/>
    <cellStyle name="Total 2 19 2" xfId="1199"/>
    <cellStyle name="Total 2 2" xfId="462"/>
    <cellStyle name="Total 2 2 2" xfId="1042"/>
    <cellStyle name="Total 2 20" xfId="561"/>
    <cellStyle name="Total 2 20 2" xfId="1131"/>
    <cellStyle name="Total 2 21" xfId="643"/>
    <cellStyle name="Total 2 21 2" xfId="1200"/>
    <cellStyle name="Total 2 22" xfId="449"/>
    <cellStyle name="Total 2 22 2" xfId="1030"/>
    <cellStyle name="Total 2 23" xfId="601"/>
    <cellStyle name="Total 2 23 2" xfId="1163"/>
    <cellStyle name="Total 2 24" xfId="571"/>
    <cellStyle name="Total 2 24 2" xfId="1139"/>
    <cellStyle name="Total 2 25" xfId="540"/>
    <cellStyle name="Total 2 25 2" xfId="1114"/>
    <cellStyle name="Total 2 26" xfId="539"/>
    <cellStyle name="Total 2 26 2" xfId="1113"/>
    <cellStyle name="Total 2 27" xfId="365"/>
    <cellStyle name="Total 2 27 2" xfId="954"/>
    <cellStyle name="Total 2 28" xfId="401"/>
    <cellStyle name="Total 2 28 2" xfId="986"/>
    <cellStyle name="Total 2 29" xfId="673"/>
    <cellStyle name="Total 2 29 2" xfId="1225"/>
    <cellStyle name="Total 2 3" xfId="309"/>
    <cellStyle name="Total 2 3 2" xfId="902"/>
    <cellStyle name="Total 2 30" xfId="755"/>
    <cellStyle name="Total 2 30 2" xfId="1292"/>
    <cellStyle name="Total 2 31" xfId="760"/>
    <cellStyle name="Total 2 31 2" xfId="1296"/>
    <cellStyle name="Total 2 32" xfId="660"/>
    <cellStyle name="Total 2 32 2" xfId="1215"/>
    <cellStyle name="Total 2 33" xfId="756"/>
    <cellStyle name="Total 2 33 2" xfId="1293"/>
    <cellStyle name="Total 2 34" xfId="591"/>
    <cellStyle name="Total 2 34 2" xfId="1154"/>
    <cellStyle name="Total 2 35" xfId="723"/>
    <cellStyle name="Total 2 35 2" xfId="1267"/>
    <cellStyle name="Total 2 36" xfId="649"/>
    <cellStyle name="Total 2 36 2" xfId="1206"/>
    <cellStyle name="Total 2 37" xfId="873"/>
    <cellStyle name="Total 2 38" xfId="349"/>
    <cellStyle name="Total 2 4" xfId="436"/>
    <cellStyle name="Total 2 4 2" xfId="1019"/>
    <cellStyle name="Total 2 5" xfId="336"/>
    <cellStyle name="Total 2 5 2" xfId="926"/>
    <cellStyle name="Total 2 6" xfId="473"/>
    <cellStyle name="Total 2 6 2" xfId="1053"/>
    <cellStyle name="Total 2 7" xfId="504"/>
    <cellStyle name="Total 2 7 2" xfId="1082"/>
    <cellStyle name="Total 2 8" xfId="316"/>
    <cellStyle name="Total 2 8 2" xfId="908"/>
    <cellStyle name="Total 2 9" xfId="458"/>
    <cellStyle name="Total 2 9 2" xfId="1038"/>
    <cellStyle name="Total 3" xfId="241"/>
    <cellStyle name="Total 3 10" xfId="569"/>
    <cellStyle name="Total 3 10 2" xfId="1137"/>
    <cellStyle name="Total 3 11" xfId="366"/>
    <cellStyle name="Total 3 11 2" xfId="955"/>
    <cellStyle name="Total 3 12" xfId="418"/>
    <cellStyle name="Total 3 12 2" xfId="1003"/>
    <cellStyle name="Total 3 13" xfId="442"/>
    <cellStyle name="Total 3 13 2" xfId="1023"/>
    <cellStyle name="Total 3 14" xfId="525"/>
    <cellStyle name="Total 3 14 2" xfId="1100"/>
    <cellStyle name="Total 3 15" xfId="492"/>
    <cellStyle name="Total 3 15 2" xfId="1071"/>
    <cellStyle name="Total 3 16" xfId="368"/>
    <cellStyle name="Total 3 16 2" xfId="957"/>
    <cellStyle name="Total 3 17" xfId="429"/>
    <cellStyle name="Total 3 17 2" xfId="1013"/>
    <cellStyle name="Total 3 18" xfId="653"/>
    <cellStyle name="Total 3 18 2" xfId="1209"/>
    <cellStyle name="Total 3 19" xfId="606"/>
    <cellStyle name="Total 3 19 2" xfId="1168"/>
    <cellStyle name="Total 3 2" xfId="463"/>
    <cellStyle name="Total 3 2 2" xfId="1043"/>
    <cellStyle name="Total 3 20" xfId="493"/>
    <cellStyle name="Total 3 20 2" xfId="1072"/>
    <cellStyle name="Total 3 21" xfId="597"/>
    <cellStyle name="Total 3 21 2" xfId="1159"/>
    <cellStyle name="Total 3 22" xfId="11"/>
    <cellStyle name="Total 3 22 2" xfId="854"/>
    <cellStyle name="Total 3 23" xfId="598"/>
    <cellStyle name="Total 3 23 2" xfId="1160"/>
    <cellStyle name="Total 3 24" xfId="736"/>
    <cellStyle name="Total 3 24 2" xfId="1277"/>
    <cellStyle name="Total 3 25" xfId="739"/>
    <cellStyle name="Total 3 25 2" xfId="1280"/>
    <cellStyle name="Total 3 26" xfId="16"/>
    <cellStyle name="Total 3 26 2" xfId="856"/>
    <cellStyle name="Total 3 27" xfId="517"/>
    <cellStyle name="Total 3 27 2" xfId="1093"/>
    <cellStyle name="Total 3 28" xfId="769"/>
    <cellStyle name="Total 3 28 2" xfId="1304"/>
    <cellStyle name="Total 3 29" xfId="694"/>
    <cellStyle name="Total 3 29 2" xfId="1241"/>
    <cellStyle name="Total 3 3" xfId="308"/>
    <cellStyle name="Total 3 3 2" xfId="901"/>
    <cellStyle name="Total 3 30" xfId="671"/>
    <cellStyle name="Total 3 30 2" xfId="1223"/>
    <cellStyle name="Total 3 31" xfId="572"/>
    <cellStyle name="Total 3 31 2" xfId="1140"/>
    <cellStyle name="Total 3 32" xfId="771"/>
    <cellStyle name="Total 3 32 2" xfId="1306"/>
    <cellStyle name="Total 3 33" xfId="741"/>
    <cellStyle name="Total 3 33 2" xfId="1282"/>
    <cellStyle name="Total 3 34" xfId="300"/>
    <cellStyle name="Total 3 34 2" xfId="893"/>
    <cellStyle name="Total 3 35" xfId="779"/>
    <cellStyle name="Total 3 35 2" xfId="1312"/>
    <cellStyle name="Total 3 36" xfId="788"/>
    <cellStyle name="Total 3 36 2" xfId="1319"/>
    <cellStyle name="Total 3 37" xfId="874"/>
    <cellStyle name="Total 3 38" xfId="797"/>
    <cellStyle name="Total 3 4" xfId="437"/>
    <cellStyle name="Total 3 4 2" xfId="1020"/>
    <cellStyle name="Total 3 5" xfId="335"/>
    <cellStyle name="Total 3 5 2" xfId="925"/>
    <cellStyle name="Total 3 6" xfId="421"/>
    <cellStyle name="Total 3 6 2" xfId="1006"/>
    <cellStyle name="Total 3 7" xfId="455"/>
    <cellStyle name="Total 3 7 2" xfId="1035"/>
    <cellStyle name="Total 3 8" xfId="289"/>
    <cellStyle name="Total 3 8 2" xfId="882"/>
    <cellStyle name="Total 3 9" xfId="290"/>
    <cellStyle name="Total 3 9 2" xfId="883"/>
    <cellStyle name="Warning Text" xfId="242"/>
  </cellStyles>
  <dxfs count="19">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a:t>
            </a:r>
          </a:p>
          <a:p>
            <a:pPr>
              <a:defRPr sz="1000"/>
            </a:pPr>
            <a:r>
              <a:rPr lang="es-CO" sz="1000" baseline="0"/>
              <a:t>% de Ejecución Gastos de Inversion </a:t>
            </a:r>
          </a:p>
          <a:p>
            <a:pPr>
              <a:defRPr sz="1000"/>
            </a:pPr>
            <a:r>
              <a:rPr lang="es-CO" sz="1000" baseline="0"/>
              <a:t>Por Unidad Ejecutora Diciembre 31 de 2017</a:t>
            </a:r>
            <a:endParaRPr lang="es-CO"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'UNIDAD EJECUTORA'!$D$2</c:f>
              <c:strCache>
                <c:ptCount val="1"/>
                <c:pt idx="0">
                  <c:v>%</c:v>
                </c:pt>
              </c:strCache>
            </c:strRef>
          </c:tx>
          <c:spPr>
            <a:solidFill>
              <a:schemeClr val="accent1"/>
            </a:solidFill>
            <a:ln>
              <a:noFill/>
            </a:ln>
            <a:effectLst/>
            <a:sp3d/>
          </c:spPr>
          <c:invertIfNegative val="0"/>
          <c:cat>
            <c:strRef>
              <c:f>('UNIDAD EJECUTORA'!$A$3:$A$15,'UNIDAD EJECUTORA'!$A$18:$A$20,'UNIDAD EJECUTORA'!$A$23)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('UNIDAD EJECUTORA'!$D$3:$D$15,'UNIDAD EJECUTORA'!$D$18:$D$20,'UNIDAD EJECUTORA'!$D$23)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1582-4CD1-B895-8BE5093A16DF}"/>
            </c:ext>
          </c:extLst>
        </c:ser>
        <c:ser>
          <c:idx val="1"/>
          <c:order val="1"/>
          <c:tx>
            <c:strRef>
              <c:f>'UNIDAD EJECUTORA'!$F$2</c:f>
              <c:strCache>
                <c:ptCount val="1"/>
                <c:pt idx="0">
                  <c:v>% CDP</c:v>
                </c:pt>
              </c:strCache>
            </c:strRef>
          </c:tx>
          <c:spPr>
            <a:solidFill>
              <a:schemeClr val="accent2"/>
            </a:solidFill>
            <a:ln>
              <a:noFill/>
            </a:ln>
            <a:effectLst/>
            <a:sp3d/>
          </c:spPr>
          <c:invertIfNegative val="0"/>
          <c:cat>
            <c:strRef>
              <c:f>('UNIDAD EJECUTORA'!$A$3:$A$15,'UNIDAD EJECUTORA'!$A$18:$A$20,'UNIDAD EJECUTORA'!$A$23)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('UNIDAD EJECUTORA'!$F$3:$F$15,'UNIDAD EJECUTORA'!$F$18:$F$20,'UNIDAD EJECUTORA'!$F$23)</c:f>
              <c:numCache>
                <c:formatCode>0%</c:formatCode>
                <c:ptCount val="17"/>
                <c:pt idx="0">
                  <c:v>0.25201826978650044</c:v>
                </c:pt>
                <c:pt idx="1">
                  <c:v>0.86989671351542419</c:v>
                </c:pt>
                <c:pt idx="2">
                  <c:v>0.90778627700229442</c:v>
                </c:pt>
                <c:pt idx="3">
                  <c:v>0.66492184978656643</c:v>
                </c:pt>
                <c:pt idx="4">
                  <c:v>0.57688683863026557</c:v>
                </c:pt>
                <c:pt idx="5">
                  <c:v>0.61715577334531135</c:v>
                </c:pt>
                <c:pt idx="6">
                  <c:v>0.89469216649552696</c:v>
                </c:pt>
                <c:pt idx="7">
                  <c:v>0.6841069763057257</c:v>
                </c:pt>
                <c:pt idx="8">
                  <c:v>0.64646836814970599</c:v>
                </c:pt>
                <c:pt idx="9">
                  <c:v>0.95703085679989541</c:v>
                </c:pt>
                <c:pt idx="10">
                  <c:v>0.94378455639806369</c:v>
                </c:pt>
                <c:pt idx="11">
                  <c:v>0.90287996999999998</c:v>
                </c:pt>
                <c:pt idx="12">
                  <c:v>0.92168123734044072</c:v>
                </c:pt>
                <c:pt idx="13">
                  <c:v>0.92294056758704734</c:v>
                </c:pt>
                <c:pt idx="14">
                  <c:v>0.93680708660417333</c:v>
                </c:pt>
                <c:pt idx="15">
                  <c:v>0.62713673486813615</c:v>
                </c:pt>
                <c:pt idx="16">
                  <c:v>0.89445813924582884</c:v>
                </c:pt>
              </c:numCache>
            </c:numRef>
          </c:val>
          <c:extLst xmlns:c16r2="http://schemas.microsoft.com/office/drawing/2015/06/chart">
            <c:ext xmlns:c16="http://schemas.microsoft.com/office/drawing/2014/chart" uri="{C3380CC4-5D6E-409C-BE32-E72D297353CC}">
              <c16:uniqueId val="{00000001-1582-4CD1-B895-8BE5093A16DF}"/>
            </c:ext>
          </c:extLst>
        </c:ser>
        <c:ser>
          <c:idx val="2"/>
          <c:order val="2"/>
          <c:tx>
            <c:strRef>
              <c:f>'UNIDAD EJECUTORA'!$H$2</c:f>
              <c:strCache>
                <c:ptCount val="1"/>
                <c:pt idx="0">
                  <c:v>% RP</c:v>
                </c:pt>
              </c:strCache>
            </c:strRef>
          </c:tx>
          <c:spPr>
            <a:solidFill>
              <a:schemeClr val="accent3"/>
            </a:solidFill>
            <a:ln>
              <a:noFill/>
            </a:ln>
            <a:effectLst/>
            <a:sp3d/>
          </c:spPr>
          <c:invertIfNegative val="0"/>
          <c:cat>
            <c:strRef>
              <c:f>('UNIDAD EJECUTORA'!$A$3:$A$15,'UNIDAD EJECUTORA'!$A$18:$A$20,'UNIDAD EJECUTORA'!$A$23)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('UNIDAD EJECUTORA'!$H$3:$H$15,'UNIDAD EJECUTORA'!$H$18:$H$20,'UNIDAD EJECUTORA'!$H$23)</c:f>
              <c:numCache>
                <c:formatCode>0%</c:formatCode>
                <c:ptCount val="17"/>
                <c:pt idx="0">
                  <c:v>0.25201826978650044</c:v>
                </c:pt>
                <c:pt idx="1">
                  <c:v>0.86989671351542419</c:v>
                </c:pt>
                <c:pt idx="2">
                  <c:v>0.90778627700229442</c:v>
                </c:pt>
                <c:pt idx="3">
                  <c:v>0.66492184978656654</c:v>
                </c:pt>
                <c:pt idx="4">
                  <c:v>0.57688683863026557</c:v>
                </c:pt>
                <c:pt idx="5">
                  <c:v>0.61715577334531135</c:v>
                </c:pt>
                <c:pt idx="6">
                  <c:v>0.89469216649552696</c:v>
                </c:pt>
                <c:pt idx="7">
                  <c:v>0.6841069763057257</c:v>
                </c:pt>
                <c:pt idx="8">
                  <c:v>0.64646836814970599</c:v>
                </c:pt>
                <c:pt idx="9">
                  <c:v>0.95703085679989541</c:v>
                </c:pt>
                <c:pt idx="10">
                  <c:v>0.94378455639806369</c:v>
                </c:pt>
                <c:pt idx="11">
                  <c:v>0.90287996999999998</c:v>
                </c:pt>
                <c:pt idx="12">
                  <c:v>0.92168123734044072</c:v>
                </c:pt>
                <c:pt idx="13">
                  <c:v>0.92293647436544779</c:v>
                </c:pt>
                <c:pt idx="14">
                  <c:v>0.93680708660417333</c:v>
                </c:pt>
                <c:pt idx="15">
                  <c:v>0.62713673486813615</c:v>
                </c:pt>
                <c:pt idx="16">
                  <c:v>0.8944581001437385</c:v>
                </c:pt>
              </c:numCache>
            </c:numRef>
          </c:val>
          <c:extLst xmlns:c16r2="http://schemas.microsoft.com/office/drawing/2015/06/chart">
            <c:ext xmlns:c16="http://schemas.microsoft.com/office/drawing/2014/chart" uri="{C3380CC4-5D6E-409C-BE32-E72D297353CC}">
              <c16:uniqueId val="{00000002-1582-4CD1-B895-8BE5093A16DF}"/>
            </c:ext>
          </c:extLst>
        </c:ser>
        <c:ser>
          <c:idx val="3"/>
          <c:order val="3"/>
          <c:tx>
            <c:strRef>
              <c:f>'UNIDAD EJECUTORA'!$J$2</c:f>
              <c:strCache>
                <c:ptCount val="1"/>
                <c:pt idx="0">
                  <c:v>% OBLIG</c:v>
                </c:pt>
              </c:strCache>
            </c:strRef>
          </c:tx>
          <c:spPr>
            <a:solidFill>
              <a:schemeClr val="accent4"/>
            </a:solidFill>
            <a:ln>
              <a:noFill/>
            </a:ln>
            <a:effectLst/>
            <a:sp3d/>
          </c:spPr>
          <c:invertIfNegative val="0"/>
          <c:cat>
            <c:strRef>
              <c:f>('UNIDAD EJECUTORA'!$A$3:$A$15,'UNIDAD EJECUTORA'!$A$18:$A$20,'UNIDAD EJECUTORA'!$A$23)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('UNIDAD EJECUTORA'!$J$3:$J$15,'UNIDAD EJECUTORA'!$J$18:$J$20,'UNIDAD EJECUTORA'!$J$23)</c:f>
              <c:numCache>
                <c:formatCode>0%</c:formatCode>
                <c:ptCount val="17"/>
                <c:pt idx="0">
                  <c:v>0.88126380831929019</c:v>
                </c:pt>
                <c:pt idx="1">
                  <c:v>0.84557942742045267</c:v>
                </c:pt>
                <c:pt idx="2">
                  <c:v>0.92718002861672111</c:v>
                </c:pt>
                <c:pt idx="3">
                  <c:v>0.88882125754436736</c:v>
                </c:pt>
                <c:pt idx="4">
                  <c:v>0.97879799996305428</c:v>
                </c:pt>
                <c:pt idx="5">
                  <c:v>1</c:v>
                </c:pt>
                <c:pt idx="6">
                  <c:v>0.98827223963892707</c:v>
                </c:pt>
                <c:pt idx="7">
                  <c:v>0.98885798414979265</c:v>
                </c:pt>
                <c:pt idx="8">
                  <c:v>0.97027340642086923</c:v>
                </c:pt>
                <c:pt idx="9">
                  <c:v>0.99766786767454552</c:v>
                </c:pt>
                <c:pt idx="10">
                  <c:v>0.93908723445132414</c:v>
                </c:pt>
                <c:pt idx="11">
                  <c:v>1</c:v>
                </c:pt>
                <c:pt idx="12">
                  <c:v>0.97422367558718626</c:v>
                </c:pt>
                <c:pt idx="13">
                  <c:v>0.99710632325226445</c:v>
                </c:pt>
                <c:pt idx="14">
                  <c:v>1</c:v>
                </c:pt>
                <c:pt idx="15">
                  <c:v>1</c:v>
                </c:pt>
                <c:pt idx="16">
                  <c:v>0.98379836863539105</c:v>
                </c:pt>
              </c:numCache>
            </c:numRef>
          </c:val>
          <c:extLst xmlns:c16r2="http://schemas.microsoft.com/office/drawing/2015/06/chart">
            <c:ext xmlns:c16="http://schemas.microsoft.com/office/drawing/2014/chart" uri="{C3380CC4-5D6E-409C-BE32-E72D297353CC}">
              <c16:uniqueId val="{00000003-1582-4CD1-B895-8BE5093A16DF}"/>
            </c:ext>
          </c:extLst>
        </c:ser>
        <c:dLbls>
          <c:showLegendKey val="0"/>
          <c:showVal val="0"/>
          <c:showCatName val="0"/>
          <c:showSerName val="0"/>
          <c:showPercent val="0"/>
          <c:showBubbleSize val="0"/>
        </c:dLbls>
        <c:gapWidth val="150"/>
        <c:shape val="box"/>
        <c:axId val="183059224"/>
        <c:axId val="250383672"/>
        <c:axId val="0"/>
      </c:bar3DChart>
      <c:catAx>
        <c:axId val="183059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Unidades</a:t>
                </a:r>
                <a:r>
                  <a:rPr lang="es-CO" baseline="0"/>
                  <a:t> Ejecutoras</a:t>
                </a: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0383672"/>
        <c:crosses val="autoZero"/>
        <c:auto val="1"/>
        <c:lblAlgn val="ctr"/>
        <c:lblOffset val="100"/>
        <c:noMultiLvlLbl val="0"/>
      </c:catAx>
      <c:valAx>
        <c:axId val="250383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0592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rgbClr val="FF0000"/>
                </a:solidFill>
                <a:latin typeface="+mn-lt"/>
                <a:ea typeface="+mn-ea"/>
                <a:cs typeface="+mn-cs"/>
              </a:defRPr>
            </a:pPr>
            <a:r>
              <a:rPr lang="en-US" b="1">
                <a:solidFill>
                  <a:srgbClr val="FF0000"/>
                </a:solidFill>
              </a:rPr>
              <a:t>ESTADO DE EJECUCIÓN </a:t>
            </a:r>
          </a:p>
          <a:p>
            <a:pPr>
              <a:defRPr b="1">
                <a:solidFill>
                  <a:srgbClr val="FF0000"/>
                </a:solidFill>
              </a:defRPr>
            </a:pPr>
            <a:r>
              <a:rPr lang="en-US" b="1">
                <a:solidFill>
                  <a:srgbClr val="FF0000"/>
                </a:solidFill>
              </a:rPr>
              <a:t>GASTOS DE INVERSIÓN DEPARTAMENTO DEL QUINDIO</a:t>
            </a:r>
          </a:p>
          <a:p>
            <a:pPr>
              <a:defRPr b="1">
                <a:solidFill>
                  <a:srgbClr val="FF0000"/>
                </a:solidFill>
              </a:defRPr>
            </a:pPr>
            <a:r>
              <a:rPr lang="en-US" b="1">
                <a:solidFill>
                  <a:srgbClr val="FF0000"/>
                </a:solidFill>
              </a:rPr>
              <a:t>A DICIEMBRE</a:t>
            </a:r>
            <a:r>
              <a:rPr lang="en-US" b="1" baseline="0">
                <a:solidFill>
                  <a:srgbClr val="FF0000"/>
                </a:solidFill>
              </a:rPr>
              <a:t> 31</a:t>
            </a:r>
            <a:r>
              <a:rPr lang="en-US" b="1">
                <a:solidFill>
                  <a:srgbClr val="FF0000"/>
                </a:solidFill>
              </a:rPr>
              <a:t> DE 2017 </a:t>
            </a:r>
          </a:p>
          <a:p>
            <a:pPr>
              <a:defRPr b="1">
                <a:solidFill>
                  <a:srgbClr val="FF0000"/>
                </a:solidFill>
              </a:defRPr>
            </a:pPr>
            <a:r>
              <a:rPr lang="en-US" b="1">
                <a:solidFill>
                  <a:srgbClr val="FF0000"/>
                </a:solidFill>
              </a:rPr>
              <a:t>(en</a:t>
            </a:r>
            <a:r>
              <a:rPr lang="en-US" b="1" baseline="0">
                <a:solidFill>
                  <a:srgbClr val="FF0000"/>
                </a:solidFill>
              </a:rPr>
              <a:t> millones de pesos)</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960" b="1" i="0" u="none" strike="noStrike" kern="1200" spc="0" baseline="0">
              <a:solidFill>
                <a:srgbClr val="FF0000"/>
              </a:solidFill>
              <a:latin typeface="+mn-lt"/>
              <a:ea typeface="+mn-ea"/>
              <a:cs typeface="+mn-cs"/>
            </a:defRPr>
          </a:pPr>
          <a:endParaRPr lang="es-CO"/>
        </a:p>
      </c:txPr>
    </c:title>
    <c:autoTitleDeleted val="0"/>
    <c:plotArea>
      <c:layout>
        <c:manualLayout>
          <c:layoutTarget val="inner"/>
          <c:xMode val="edge"/>
          <c:yMode val="edge"/>
          <c:x val="0.11844510187671628"/>
          <c:y val="0.15986987776201833"/>
          <c:w val="0.86459921411557661"/>
          <c:h val="0.62636306859661517"/>
        </c:manualLayout>
      </c:layout>
      <c:barChart>
        <c:barDir val="col"/>
        <c:grouping val="clustered"/>
        <c:varyColors val="0"/>
        <c:ser>
          <c:idx val="0"/>
          <c:order val="0"/>
          <c:spPr>
            <a:solidFill>
              <a:srgbClr val="FF0000"/>
            </a:solidFill>
            <a:ln>
              <a:noFill/>
            </a:ln>
            <a:effectLst/>
          </c:spPr>
          <c:invertIfNegative val="0"/>
          <c:dPt>
            <c:idx val="0"/>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9-949F-41A7-BE69-E1F36923D001}"/>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E-949F-41A7-BE69-E1F36923D001}"/>
              </c:ext>
            </c:extLst>
          </c:dPt>
          <c:dPt>
            <c:idx val="4"/>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13-949F-41A7-BE69-E1F36923D001}"/>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1A-949F-41A7-BE69-E1F36923D001}"/>
              </c:ext>
            </c:extLst>
          </c:dPt>
          <c:dPt>
            <c:idx val="8"/>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24-949F-41A7-BE69-E1F36923D001}"/>
              </c:ext>
            </c:extLst>
          </c:dPt>
          <c:cat>
            <c:strRef>
              <c:f>'UNIDAD EJECUTORA'!$C$48:$N$48</c:f>
              <c:strCache>
                <c:ptCount val="12"/>
                <c:pt idx="0">
                  <c:v>APROPIACION  </c:v>
                </c:pt>
                <c:pt idx="1">
                  <c:v>%</c:v>
                </c:pt>
                <c:pt idx="2">
                  <c:v>DISPONIBILIDADES   </c:v>
                </c:pt>
                <c:pt idx="3">
                  <c:v>% CDP</c:v>
                </c:pt>
                <c:pt idx="4">
                  <c:v>COMPROMISOS  </c:v>
                </c:pt>
                <c:pt idx="5">
                  <c:v>% RP</c:v>
                </c:pt>
                <c:pt idx="6">
                  <c:v>OBLIGACIONES </c:v>
                </c:pt>
                <c:pt idx="7">
                  <c:v>% OBLIG</c:v>
                </c:pt>
                <c:pt idx="8">
                  <c:v>PAGOS  </c:v>
                </c:pt>
                <c:pt idx="9">
                  <c:v>% PAGOS</c:v>
                </c:pt>
                <c:pt idx="10">
                  <c:v>SALDO DISPONIBLE</c:v>
                </c:pt>
                <c:pt idx="11">
                  <c:v>% SALDO DISP.</c:v>
                </c:pt>
              </c:strCache>
            </c:strRef>
          </c:cat>
          <c:val>
            <c:numRef>
              <c:f>'UNIDAD EJECUTORA'!$C$49:$N$49</c:f>
              <c:numCache>
                <c:formatCode>0%</c:formatCode>
                <c:ptCount val="12"/>
                <c:pt idx="0" formatCode="_(* #,##0_);_(* \(#,##0\);_(* &quot;-&quot;??_);_(@_)">
                  <c:v>255740.80335986696</c:v>
                </c:pt>
                <c:pt idx="1">
                  <c:v>1</c:v>
                </c:pt>
                <c:pt idx="2" formatCode="_(* #,##0_);_(* \(#,##0\);_(* &quot;-&quot;??_);_(@_)">
                  <c:v>228749.44310249999</c:v>
                </c:pt>
                <c:pt idx="3">
                  <c:v>0.89445813924582873</c:v>
                </c:pt>
                <c:pt idx="4" formatCode="_(* #,##0_);_(* \(#,##0\);_(* &quot;-&quot;??_);_(@_)">
                  <c:v>228749.43310250001</c:v>
                </c:pt>
                <c:pt idx="5">
                  <c:v>0.8944581001437385</c:v>
                </c:pt>
                <c:pt idx="6" formatCode="_(* #,##0_);_(* \(#,##0\);_(* &quot;-&quot;??_);_(@_)">
                  <c:v>225043.31911251001</c:v>
                </c:pt>
                <c:pt idx="7">
                  <c:v>0.98379836863539094</c:v>
                </c:pt>
                <c:pt idx="8" formatCode="_(* #,##0_);_(* \(#,##0\);_(* &quot;-&quot;??_);_(@_)">
                  <c:v>224956.39172070002</c:v>
                </c:pt>
                <c:pt idx="9">
                  <c:v>0.98341835723763138</c:v>
                </c:pt>
                <c:pt idx="10" formatCode="_(* #,##0_);_(* \(#,##0\);_(* &quot;-&quot;??_);_(@_)">
                  <c:v>26991.36025736689</c:v>
                </c:pt>
                <c:pt idx="11">
                  <c:v>0.10554186075417094</c:v>
                </c:pt>
              </c:numCache>
            </c:numRef>
          </c:val>
          <c:extLst xmlns:c16r2="http://schemas.microsoft.com/office/drawing/2015/06/chart">
            <c:ext xmlns:c16="http://schemas.microsoft.com/office/drawing/2014/chart" uri="{C3380CC4-5D6E-409C-BE32-E72D297353CC}">
              <c16:uniqueId val="{00000000-949F-41A7-BE69-E1F36923D001}"/>
            </c:ext>
          </c:extLst>
        </c:ser>
        <c:dLbls>
          <c:showLegendKey val="0"/>
          <c:showVal val="0"/>
          <c:showCatName val="0"/>
          <c:showSerName val="0"/>
          <c:showPercent val="0"/>
          <c:showBubbleSize val="0"/>
        </c:dLbls>
        <c:gapWidth val="219"/>
        <c:axId val="282010600"/>
        <c:axId val="282010984"/>
      </c:barChart>
      <c:catAx>
        <c:axId val="282010600"/>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s-CO"/>
                  <a:t>Ejecución</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2010984"/>
        <c:crosses val="autoZero"/>
        <c:auto val="1"/>
        <c:lblAlgn val="ctr"/>
        <c:lblOffset val="100"/>
        <c:noMultiLvlLbl val="0"/>
      </c:catAx>
      <c:valAx>
        <c:axId val="282010984"/>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s-CO"/>
                  <a:t>Gastos</a:t>
                </a:r>
                <a:r>
                  <a:rPr lang="es-CO" baseline="0"/>
                  <a:t> de Inversión</a:t>
                </a:r>
                <a:endParaRPr lang="es-CO"/>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20106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FF0000"/>
                </a:solidFill>
                <a:latin typeface="+mn-lt"/>
                <a:ea typeface="+mn-ea"/>
                <a:cs typeface="+mn-cs"/>
              </a:defRPr>
            </a:pPr>
            <a:r>
              <a:rPr lang="es-CO" sz="1050" baseline="0">
                <a:solidFill>
                  <a:srgbClr val="FF0000"/>
                </a:solidFill>
              </a:rPr>
              <a:t>Depatamento del Quindío</a:t>
            </a:r>
          </a:p>
          <a:p>
            <a:pPr>
              <a:defRPr sz="1050">
                <a:solidFill>
                  <a:srgbClr val="FF0000"/>
                </a:solidFill>
              </a:defRPr>
            </a:pPr>
            <a:r>
              <a:rPr lang="es-CO" sz="1050" baseline="0">
                <a:solidFill>
                  <a:srgbClr val="FF0000"/>
                </a:solidFill>
              </a:rPr>
              <a:t>Porcentaje avance (cdp, compromisos y disponible) </a:t>
            </a:r>
          </a:p>
          <a:p>
            <a:pPr>
              <a:defRPr sz="1050">
                <a:solidFill>
                  <a:srgbClr val="FF0000"/>
                </a:solidFill>
              </a:defRPr>
            </a:pPr>
            <a:r>
              <a:rPr lang="es-CO" sz="1050" baseline="0">
                <a:solidFill>
                  <a:srgbClr val="FF0000"/>
                </a:solidFill>
              </a:rPr>
              <a:t>por ejecución por unidad ejecutora del sector central </a:t>
            </a:r>
          </a:p>
          <a:p>
            <a:pPr>
              <a:defRPr sz="1050">
                <a:solidFill>
                  <a:srgbClr val="FF0000"/>
                </a:solidFill>
              </a:defRPr>
            </a:pPr>
            <a:r>
              <a:rPr lang="es-CO" sz="1050" baseline="0">
                <a:solidFill>
                  <a:srgbClr val="FF0000"/>
                </a:solidFill>
              </a:rPr>
              <a:t>a diciembre 31 2017 </a:t>
            </a:r>
          </a:p>
          <a:p>
            <a:pPr>
              <a:defRPr sz="1050">
                <a:solidFill>
                  <a:srgbClr val="FF0000"/>
                </a:solidFill>
              </a:defRPr>
            </a:pPr>
            <a:endParaRPr lang="es-CO" sz="1050">
              <a:solidFill>
                <a:srgbClr val="FF0000"/>
              </a:solidFill>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rgbClr val="FF0000"/>
              </a:solidFill>
              <a:latin typeface="+mn-lt"/>
              <a:ea typeface="+mn-ea"/>
              <a:cs typeface="+mn-cs"/>
            </a:defRPr>
          </a:pPr>
          <a:endParaRPr lang="es-CO"/>
        </a:p>
      </c:txPr>
    </c:title>
    <c:autoTitleDeleted val="0"/>
    <c:plotArea>
      <c:layout/>
      <c:barChart>
        <c:barDir val="col"/>
        <c:grouping val="clustered"/>
        <c:varyColors val="0"/>
        <c:ser>
          <c:idx val="0"/>
          <c:order val="0"/>
          <c:tx>
            <c:strRef>
              <c:f>'UNIDAD EJECUTORA'!$F$77</c:f>
              <c:strCache>
                <c:ptCount val="1"/>
                <c:pt idx="0">
                  <c:v>% CDP</c:v>
                </c:pt>
              </c:strCache>
            </c:strRef>
          </c:tx>
          <c:spPr>
            <a:solidFill>
              <a:schemeClr val="accent1"/>
            </a:solidFill>
            <a:ln>
              <a:noFill/>
            </a:ln>
            <a:effectLst/>
          </c:spPr>
          <c:invertIfNegative val="0"/>
          <c:cat>
            <c:numRef>
              <c:f>'UNIDAD EJECUTORA'!$A$78:$A$93</c:f>
              <c:numCache>
                <c:formatCode>General</c:formatCode>
                <c:ptCount val="16"/>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numCache>
            </c:numRef>
          </c:cat>
          <c:val>
            <c:numRef>
              <c:f>'UNIDAD EJECUTORA'!$F$78:$F$93</c:f>
              <c:numCache>
                <c:formatCode>0%</c:formatCode>
                <c:ptCount val="16"/>
                <c:pt idx="0">
                  <c:v>0.25201826978650044</c:v>
                </c:pt>
                <c:pt idx="1">
                  <c:v>0.86989671351542419</c:v>
                </c:pt>
                <c:pt idx="2">
                  <c:v>0.90778627700229442</c:v>
                </c:pt>
                <c:pt idx="3">
                  <c:v>0.66492184978656643</c:v>
                </c:pt>
                <c:pt idx="4">
                  <c:v>0.57688683863026557</c:v>
                </c:pt>
                <c:pt idx="5">
                  <c:v>0.61715577334531135</c:v>
                </c:pt>
                <c:pt idx="6">
                  <c:v>0.89469216649552696</c:v>
                </c:pt>
                <c:pt idx="7">
                  <c:v>0.6841069763057257</c:v>
                </c:pt>
                <c:pt idx="8">
                  <c:v>0.64646836814970599</c:v>
                </c:pt>
                <c:pt idx="9">
                  <c:v>0.95703085679989541</c:v>
                </c:pt>
                <c:pt idx="10">
                  <c:v>0.94378455639806369</c:v>
                </c:pt>
                <c:pt idx="11">
                  <c:v>0.90287996999999998</c:v>
                </c:pt>
                <c:pt idx="12">
                  <c:v>0.92168123734044072</c:v>
                </c:pt>
                <c:pt idx="13">
                  <c:v>0.92294056758704734</c:v>
                </c:pt>
                <c:pt idx="14">
                  <c:v>0.93680708660417333</c:v>
                </c:pt>
                <c:pt idx="15">
                  <c:v>0.62713673486813615</c:v>
                </c:pt>
              </c:numCache>
            </c:numRef>
          </c:val>
          <c:extLst xmlns:c16r2="http://schemas.microsoft.com/office/drawing/2015/06/chart">
            <c:ext xmlns:c16="http://schemas.microsoft.com/office/drawing/2014/chart" uri="{C3380CC4-5D6E-409C-BE32-E72D297353CC}">
              <c16:uniqueId val="{00000000-9F78-4EA0-BC0C-AD22A9FD9E12}"/>
            </c:ext>
          </c:extLst>
        </c:ser>
        <c:ser>
          <c:idx val="1"/>
          <c:order val="1"/>
          <c:tx>
            <c:strRef>
              <c:f>'UNIDAD EJECUTORA'!$H$77</c:f>
              <c:strCache>
                <c:ptCount val="1"/>
                <c:pt idx="0">
                  <c:v>% RP</c:v>
                </c:pt>
              </c:strCache>
            </c:strRef>
          </c:tx>
          <c:spPr>
            <a:solidFill>
              <a:schemeClr val="accent2"/>
            </a:solidFill>
            <a:ln>
              <a:noFill/>
            </a:ln>
            <a:effectLst/>
          </c:spPr>
          <c:invertIfNegative val="0"/>
          <c:cat>
            <c:numRef>
              <c:f>'UNIDAD EJECUTORA'!$A$78:$A$93</c:f>
              <c:numCache>
                <c:formatCode>General</c:formatCode>
                <c:ptCount val="16"/>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numCache>
            </c:numRef>
          </c:cat>
          <c:val>
            <c:numRef>
              <c:f>'UNIDAD EJECUTORA'!$H$78:$H$93</c:f>
              <c:numCache>
                <c:formatCode>0%</c:formatCode>
                <c:ptCount val="16"/>
                <c:pt idx="0">
                  <c:v>0.25201826978650044</c:v>
                </c:pt>
                <c:pt idx="1">
                  <c:v>0.86989671351542419</c:v>
                </c:pt>
                <c:pt idx="2">
                  <c:v>0.90778627700229442</c:v>
                </c:pt>
                <c:pt idx="3">
                  <c:v>0.66492184978656654</c:v>
                </c:pt>
                <c:pt idx="4">
                  <c:v>0.57688683863026557</c:v>
                </c:pt>
                <c:pt idx="5">
                  <c:v>0.61715577334531135</c:v>
                </c:pt>
                <c:pt idx="6">
                  <c:v>0.89469216649552696</c:v>
                </c:pt>
                <c:pt idx="7">
                  <c:v>0.6841069763057257</c:v>
                </c:pt>
                <c:pt idx="8">
                  <c:v>0.64646836814970599</c:v>
                </c:pt>
                <c:pt idx="9">
                  <c:v>0.95703085679989541</c:v>
                </c:pt>
                <c:pt idx="10">
                  <c:v>0.94378455639806369</c:v>
                </c:pt>
                <c:pt idx="11">
                  <c:v>0.90287996999999998</c:v>
                </c:pt>
                <c:pt idx="12">
                  <c:v>0.92168123734044072</c:v>
                </c:pt>
                <c:pt idx="13">
                  <c:v>0.92293647436544779</c:v>
                </c:pt>
                <c:pt idx="14">
                  <c:v>0.93680708660417333</c:v>
                </c:pt>
                <c:pt idx="15">
                  <c:v>0.62713673486813615</c:v>
                </c:pt>
              </c:numCache>
            </c:numRef>
          </c:val>
          <c:extLst xmlns:c16r2="http://schemas.microsoft.com/office/drawing/2015/06/chart">
            <c:ext xmlns:c16="http://schemas.microsoft.com/office/drawing/2014/chart" uri="{C3380CC4-5D6E-409C-BE32-E72D297353CC}">
              <c16:uniqueId val="{00000001-9F78-4EA0-BC0C-AD22A9FD9E12}"/>
            </c:ext>
          </c:extLst>
        </c:ser>
        <c:ser>
          <c:idx val="2"/>
          <c:order val="2"/>
          <c:tx>
            <c:strRef>
              <c:f>'UNIDAD EJECUTORA'!$J$77</c:f>
              <c:strCache>
                <c:ptCount val="1"/>
                <c:pt idx="0">
                  <c:v>% SALDO DISP.</c:v>
                </c:pt>
              </c:strCache>
            </c:strRef>
          </c:tx>
          <c:spPr>
            <a:solidFill>
              <a:schemeClr val="accent3"/>
            </a:solidFill>
            <a:ln>
              <a:noFill/>
            </a:ln>
            <a:effectLst/>
          </c:spPr>
          <c:invertIfNegative val="0"/>
          <c:cat>
            <c:numRef>
              <c:f>'UNIDAD EJECUTORA'!$A$78:$A$93</c:f>
              <c:numCache>
                <c:formatCode>General</c:formatCode>
                <c:ptCount val="16"/>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numCache>
            </c:numRef>
          </c:cat>
          <c:val>
            <c:numRef>
              <c:f>'UNIDAD EJECUTORA'!$J$78:$J$93</c:f>
              <c:numCache>
                <c:formatCode>0%</c:formatCode>
                <c:ptCount val="16"/>
                <c:pt idx="0">
                  <c:v>0.74798173021349956</c:v>
                </c:pt>
                <c:pt idx="1">
                  <c:v>0.13010328648457584</c:v>
                </c:pt>
                <c:pt idx="2">
                  <c:v>9.2213722997705541E-2</c:v>
                </c:pt>
                <c:pt idx="3">
                  <c:v>0.33507815021343351</c:v>
                </c:pt>
                <c:pt idx="4">
                  <c:v>0.42311316136973443</c:v>
                </c:pt>
                <c:pt idx="5">
                  <c:v>0.38284422665468865</c:v>
                </c:pt>
                <c:pt idx="6">
                  <c:v>0.10530783350447308</c:v>
                </c:pt>
                <c:pt idx="7">
                  <c:v>0.3158930236942743</c:v>
                </c:pt>
                <c:pt idx="8">
                  <c:v>0.35353163185029401</c:v>
                </c:pt>
                <c:pt idx="9">
                  <c:v>4.2969143200104615E-2</c:v>
                </c:pt>
                <c:pt idx="10">
                  <c:v>5.6215443601936345E-2</c:v>
                </c:pt>
                <c:pt idx="11">
                  <c:v>9.7120029999999996E-2</c:v>
                </c:pt>
                <c:pt idx="12">
                  <c:v>7.8318762659559268E-2</c:v>
                </c:pt>
                <c:pt idx="13">
                  <c:v>0.60782751475098651</c:v>
                </c:pt>
                <c:pt idx="14">
                  <c:v>0.33815453226221776</c:v>
                </c:pt>
                <c:pt idx="15">
                  <c:v>0.77281670088928844</c:v>
                </c:pt>
              </c:numCache>
            </c:numRef>
          </c:val>
          <c:extLst xmlns:c16r2="http://schemas.microsoft.com/office/drawing/2015/06/chart">
            <c:ext xmlns:c16="http://schemas.microsoft.com/office/drawing/2014/chart" uri="{C3380CC4-5D6E-409C-BE32-E72D297353CC}">
              <c16:uniqueId val="{00000002-9F78-4EA0-BC0C-AD22A9FD9E12}"/>
            </c:ext>
          </c:extLst>
        </c:ser>
        <c:dLbls>
          <c:showLegendKey val="0"/>
          <c:showVal val="0"/>
          <c:showCatName val="0"/>
          <c:showSerName val="0"/>
          <c:showPercent val="0"/>
          <c:showBubbleSize val="0"/>
        </c:dLbls>
        <c:gapWidth val="219"/>
        <c:overlap val="-27"/>
        <c:axId val="282084784"/>
        <c:axId val="282085168"/>
      </c:barChart>
      <c:catAx>
        <c:axId val="282084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Ejecución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2085168"/>
        <c:crosses val="autoZero"/>
        <c:auto val="1"/>
        <c:lblAlgn val="ctr"/>
        <c:lblOffset val="100"/>
        <c:noMultiLvlLbl val="0"/>
      </c:catAx>
      <c:valAx>
        <c:axId val="282085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2084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cap="all" spc="150" baseline="0">
                <a:solidFill>
                  <a:srgbClr val="FF0000"/>
                </a:solidFill>
                <a:latin typeface="+mn-lt"/>
                <a:ea typeface="+mn-ea"/>
                <a:cs typeface="+mn-cs"/>
              </a:defRPr>
            </a:pPr>
            <a:r>
              <a:rPr lang="es-CO" sz="700">
                <a:solidFill>
                  <a:srgbClr val="FF0000"/>
                </a:solidFill>
              </a:rPr>
              <a:t>eSDTADO DE eJECUCION  </a:t>
            </a:r>
          </a:p>
          <a:p>
            <a:pPr>
              <a:defRPr sz="700">
                <a:solidFill>
                  <a:srgbClr val="FF0000"/>
                </a:solidFill>
              </a:defRPr>
            </a:pPr>
            <a:r>
              <a:rPr lang="es-CO" sz="700">
                <a:solidFill>
                  <a:srgbClr val="FF0000"/>
                </a:solidFill>
              </a:rPr>
              <a:t>UNIDADES EJECUTORAS</a:t>
            </a:r>
          </a:p>
          <a:p>
            <a:pPr>
              <a:defRPr sz="700">
                <a:solidFill>
                  <a:srgbClr val="FF0000"/>
                </a:solidFill>
              </a:defRPr>
            </a:pPr>
            <a:r>
              <a:rPr lang="es-CO" sz="700">
                <a:solidFill>
                  <a:srgbClr val="FF0000"/>
                </a:solidFill>
              </a:rPr>
              <a:t>SECTOR</a:t>
            </a:r>
            <a:r>
              <a:rPr lang="es-CO" sz="700" baseline="0">
                <a:solidFill>
                  <a:srgbClr val="FF0000"/>
                </a:solidFill>
              </a:rPr>
              <a:t> CENTRAL</a:t>
            </a:r>
          </a:p>
          <a:p>
            <a:pPr>
              <a:defRPr sz="700">
                <a:solidFill>
                  <a:srgbClr val="FF0000"/>
                </a:solidFill>
              </a:defRPr>
            </a:pPr>
            <a:r>
              <a:rPr lang="es-CO" sz="700" baseline="0">
                <a:solidFill>
                  <a:srgbClr val="FF0000"/>
                </a:solidFill>
              </a:rPr>
              <a:t>RANGO CALIFICACION</a:t>
            </a:r>
            <a:endParaRPr lang="es-CO" sz="700">
              <a:solidFill>
                <a:srgbClr val="FF0000"/>
              </a:solidFill>
            </a:endParaRPr>
          </a:p>
          <a:p>
            <a:pPr>
              <a:defRPr sz="700">
                <a:solidFill>
                  <a:srgbClr val="FF0000"/>
                </a:solidFill>
              </a:defRPr>
            </a:pPr>
            <a:r>
              <a:rPr lang="es-CO" sz="700">
                <a:solidFill>
                  <a:srgbClr val="FF0000"/>
                </a:solidFill>
              </a:rPr>
              <a:t>31</a:t>
            </a:r>
            <a:r>
              <a:rPr lang="es-CO" sz="700" baseline="0">
                <a:solidFill>
                  <a:srgbClr val="FF0000"/>
                </a:solidFill>
              </a:rPr>
              <a:t> DE DICIEMBRE</a:t>
            </a:r>
            <a:r>
              <a:rPr lang="es-CO" sz="700">
                <a:solidFill>
                  <a:srgbClr val="FF0000"/>
                </a:solidFill>
              </a:rPr>
              <a:t> 2017</a:t>
            </a:r>
          </a:p>
        </c:rich>
      </c:tx>
      <c:layout>
        <c:manualLayout>
          <c:xMode val="edge"/>
          <c:yMode val="edge"/>
          <c:x val="0.3509304461942257"/>
          <c:y val="3.9360393603936041E-2"/>
        </c:manualLayout>
      </c:layout>
      <c:overlay val="0"/>
      <c:spPr>
        <a:noFill/>
        <a:ln>
          <a:noFill/>
        </a:ln>
        <a:effectLst/>
      </c:spPr>
      <c:txPr>
        <a:bodyPr rot="0" spcFirstLastPara="1" vertOverflow="ellipsis" vert="horz" wrap="square" anchor="ctr" anchorCtr="1"/>
        <a:lstStyle/>
        <a:p>
          <a:pPr>
            <a:defRPr sz="700" b="1" i="0" u="none" strike="noStrike" kern="1200" cap="all" spc="150" baseline="0">
              <a:solidFill>
                <a:srgbClr val="FF0000"/>
              </a:solidFill>
              <a:latin typeface="+mn-lt"/>
              <a:ea typeface="+mn-ea"/>
              <a:cs typeface="+mn-cs"/>
            </a:defRPr>
          </a:pPr>
          <a:endParaRPr lang="es-CO"/>
        </a:p>
      </c:txPr>
    </c:title>
    <c:autoTitleDeleted val="0"/>
    <c:view3D>
      <c:rotX val="10"/>
      <c:rotY val="0"/>
      <c:depthPercent val="100"/>
      <c:rAngAx val="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'UNIDAD EJECUTORA'!$B$53</c:f>
              <c:strCache>
                <c:ptCount val="1"/>
                <c:pt idx="0">
                  <c:v>SECTOR CENTRAL</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Pt>
            <c:idx val="0"/>
            <c:invertIfNegative val="0"/>
            <c:bubble3D val="0"/>
            <c:spPr>
              <a:solidFill>
                <a:srgbClr val="00B050"/>
              </a:solidFill>
              <a:ln>
                <a:solidFill>
                  <a:schemeClr val="accent1"/>
                </a:solidFill>
              </a:ln>
              <a:effectLst/>
              <a:sp3d>
                <a:contourClr>
                  <a:schemeClr val="accent1"/>
                </a:contourClr>
              </a:sp3d>
            </c:spPr>
            <c:extLst xmlns:c16r2="http://schemas.microsoft.com/office/drawing/2015/06/chart">
              <c:ext xmlns:c16="http://schemas.microsoft.com/office/drawing/2014/chart" uri="{C3380CC4-5D6E-409C-BE32-E72D297353CC}">
                <c16:uniqueId val="{00000001-367D-41B4-BF58-15C45462EE1D}"/>
              </c:ext>
            </c:extLst>
          </c:dPt>
          <c:dPt>
            <c:idx val="1"/>
            <c:invertIfNegative val="0"/>
            <c:bubble3D val="0"/>
            <c:spPr>
              <a:solidFill>
                <a:srgbClr val="92D050"/>
              </a:solidFill>
              <a:ln>
                <a:solidFill>
                  <a:schemeClr val="accent1"/>
                </a:solidFill>
              </a:ln>
              <a:effectLst/>
              <a:sp3d>
                <a:contourClr>
                  <a:schemeClr val="accent1"/>
                </a:contourClr>
              </a:sp3d>
            </c:spPr>
            <c:extLst xmlns:c16r2="http://schemas.microsoft.com/office/drawing/2015/06/chart">
              <c:ext xmlns:c16="http://schemas.microsoft.com/office/drawing/2014/chart" uri="{C3380CC4-5D6E-409C-BE32-E72D297353CC}">
                <c16:uniqueId val="{00000003-367D-41B4-BF58-15C45462EE1D}"/>
              </c:ext>
            </c:extLst>
          </c:dPt>
          <c:dPt>
            <c:idx val="2"/>
            <c:invertIfNegative val="0"/>
            <c:bubble3D val="0"/>
            <c:spPr>
              <a:solidFill>
                <a:srgbClr val="FFFF00"/>
              </a:solidFill>
              <a:ln>
                <a:solidFill>
                  <a:schemeClr val="accent1"/>
                </a:solidFill>
              </a:ln>
              <a:effectLst/>
              <a:sp3d>
                <a:contourClr>
                  <a:schemeClr val="accent1"/>
                </a:contourClr>
              </a:sp3d>
            </c:spPr>
            <c:extLst xmlns:c16r2="http://schemas.microsoft.com/office/drawing/2015/06/chart">
              <c:ext xmlns:c16="http://schemas.microsoft.com/office/drawing/2014/chart" uri="{C3380CC4-5D6E-409C-BE32-E72D297353CC}">
                <c16:uniqueId val="{00000005-367D-41B4-BF58-15C45462EE1D}"/>
              </c:ext>
            </c:extLst>
          </c:dPt>
          <c:dPt>
            <c:idx val="3"/>
            <c:invertIfNegative val="0"/>
            <c:bubble3D val="0"/>
            <c:spPr>
              <a:solidFill>
                <a:srgbClr val="FFC000"/>
              </a:solidFill>
              <a:ln>
                <a:solidFill>
                  <a:schemeClr val="accent1"/>
                </a:solidFill>
              </a:ln>
              <a:effectLst/>
              <a:sp3d>
                <a:contourClr>
                  <a:schemeClr val="accent1"/>
                </a:contourClr>
              </a:sp3d>
            </c:spPr>
            <c:extLst xmlns:c16r2="http://schemas.microsoft.com/office/drawing/2015/06/chart">
              <c:ext xmlns:c16="http://schemas.microsoft.com/office/drawing/2014/chart" uri="{C3380CC4-5D6E-409C-BE32-E72D297353CC}">
                <c16:uniqueId val="{00000007-367D-41B4-BF58-15C45462EE1D}"/>
              </c:ext>
            </c:extLst>
          </c:dPt>
          <c:dPt>
            <c:idx val="4"/>
            <c:invertIfNegative val="0"/>
            <c:bubble3D val="0"/>
            <c:spPr>
              <a:solidFill>
                <a:srgbClr val="FF0000"/>
              </a:solidFill>
              <a:ln>
                <a:solidFill>
                  <a:schemeClr val="accent1"/>
                </a:solidFill>
              </a:ln>
              <a:effectLst/>
              <a:sp3d>
                <a:contourClr>
                  <a:schemeClr val="accent1"/>
                </a:contourClr>
              </a:sp3d>
            </c:spPr>
            <c:extLst xmlns:c16r2="http://schemas.microsoft.com/office/drawing/2015/06/chart">
              <c:ext xmlns:c16="http://schemas.microsoft.com/office/drawing/2014/chart" uri="{C3380CC4-5D6E-409C-BE32-E72D297353CC}">
                <c16:uniqueId val="{00000009-367D-41B4-BF58-15C45462EE1D}"/>
              </c:ext>
            </c:extLst>
          </c:dPt>
          <c:cat>
            <c:strRef>
              <c:f>'UNIDAD EJECUTORA'!$A$54:$A$58</c:f>
              <c:strCache>
                <c:ptCount val="5"/>
                <c:pt idx="0">
                  <c:v>Sobresaliente  (Entre 80%-100%) </c:v>
                </c:pt>
                <c:pt idx="1">
                  <c:v>Satisfactorio (Entre 70% -79,99%)</c:v>
                </c:pt>
                <c:pt idx="2">
                  <c:v>Medio (Entre 60%-69,99%)</c:v>
                </c:pt>
                <c:pt idx="3">
                  <c:v>Bajo (Entre 40% - 59,99%)</c:v>
                </c:pt>
                <c:pt idx="4">
                  <c:v>Critico (Entre 0% - 39,99%)</c:v>
                </c:pt>
              </c:strCache>
            </c:strRef>
          </c:cat>
          <c:val>
            <c:numRef>
              <c:f>'UNIDAD EJECUTORA'!$B$54:$B$58</c:f>
              <c:numCache>
                <c:formatCode>General</c:formatCode>
                <c:ptCount val="5"/>
                <c:pt idx="0">
                  <c:v>7</c:v>
                </c:pt>
                <c:pt idx="2">
                  <c:v>4</c:v>
                </c:pt>
                <c:pt idx="3">
                  <c:v>1</c:v>
                </c:pt>
                <c:pt idx="4">
                  <c:v>1</c:v>
                </c:pt>
              </c:numCache>
            </c:numRef>
          </c:val>
          <c:extLst xmlns:c16r2="http://schemas.microsoft.com/office/drawing/2015/06/chart">
            <c:ext xmlns:c16="http://schemas.microsoft.com/office/drawing/2014/chart" uri="{C3380CC4-5D6E-409C-BE32-E72D297353CC}">
              <c16:uniqueId val="{0000000A-367D-41B4-BF58-15C45462EE1D}"/>
            </c:ext>
          </c:extLst>
        </c:ser>
        <c:ser>
          <c:idx val="1"/>
          <c:order val="1"/>
          <c:tx>
            <c:strRef>
              <c:f>'UNIDAD EJECUTORA'!$C$53</c:f>
              <c:strCache>
                <c:ptCount val="1"/>
                <c:pt idx="0">
                  <c:v>%</c:v>
                </c:pt>
              </c:strCache>
            </c:strRef>
          </c:tx>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cat>
            <c:strRef>
              <c:f>'UNIDAD EJECUTORA'!$A$54:$A$58</c:f>
              <c:strCache>
                <c:ptCount val="5"/>
                <c:pt idx="0">
                  <c:v>Sobresaliente  (Entre 80%-100%) </c:v>
                </c:pt>
                <c:pt idx="1">
                  <c:v>Satisfactorio (Entre 70% -79,99%)</c:v>
                </c:pt>
                <c:pt idx="2">
                  <c:v>Medio (Entre 60%-69,99%)</c:v>
                </c:pt>
                <c:pt idx="3">
                  <c:v>Bajo (Entre 40% - 59,99%)</c:v>
                </c:pt>
                <c:pt idx="4">
                  <c:v>Critico (Entre 0% - 39,99%)</c:v>
                </c:pt>
              </c:strCache>
            </c:strRef>
          </c:cat>
          <c:val>
            <c:numRef>
              <c:f>'UNIDAD EJECUTORA'!$C$54:$C$58</c:f>
              <c:numCache>
                <c:formatCode>0%</c:formatCode>
                <c:ptCount val="5"/>
                <c:pt idx="0">
                  <c:v>0.53846153846153844</c:v>
                </c:pt>
                <c:pt idx="2">
                  <c:v>0.30769230769230771</c:v>
                </c:pt>
                <c:pt idx="3">
                  <c:v>7.6923076923076927E-2</c:v>
                </c:pt>
                <c:pt idx="4">
                  <c:v>7.6923076923076927E-2</c:v>
                </c:pt>
              </c:numCache>
            </c:numRef>
          </c:val>
          <c:extLst xmlns:c16r2="http://schemas.microsoft.com/office/drawing/2015/06/chart">
            <c:ext xmlns:c16="http://schemas.microsoft.com/office/drawing/2014/chart" uri="{C3380CC4-5D6E-409C-BE32-E72D297353CC}">
              <c16:uniqueId val="{0000000B-367D-41B4-BF58-15C45462EE1D}"/>
            </c:ext>
          </c:extLst>
        </c:ser>
        <c:dLbls>
          <c:showLegendKey val="0"/>
          <c:showVal val="0"/>
          <c:showCatName val="0"/>
          <c:showSerName val="0"/>
          <c:showPercent val="0"/>
          <c:showBubbleSize val="0"/>
        </c:dLbls>
        <c:gapWidth val="160"/>
        <c:gapDepth val="0"/>
        <c:shape val="box"/>
        <c:axId val="282738096"/>
        <c:axId val="282769440"/>
        <c:axId val="0"/>
      </c:bar3DChart>
      <c:catAx>
        <c:axId val="282738096"/>
        <c:scaling>
          <c:orientation val="minMax"/>
        </c:scaling>
        <c:delete val="1"/>
        <c:axPos val="b"/>
        <c:numFmt formatCode="General" sourceLinked="1"/>
        <c:majorTickMark val="none"/>
        <c:minorTickMark val="none"/>
        <c:tickLblPos val="nextTo"/>
        <c:crossAx val="282769440"/>
        <c:crosses val="autoZero"/>
        <c:auto val="1"/>
        <c:lblAlgn val="ctr"/>
        <c:lblOffset val="100"/>
        <c:noMultiLvlLbl val="0"/>
      </c:catAx>
      <c:valAx>
        <c:axId val="282769440"/>
        <c:scaling>
          <c:orientation val="minMax"/>
        </c:scaling>
        <c:delete val="1"/>
        <c:axPos val="l"/>
        <c:numFmt formatCode="General" sourceLinked="1"/>
        <c:majorTickMark val="none"/>
        <c:minorTickMark val="none"/>
        <c:tickLblPos val="nextTo"/>
        <c:crossAx val="282738096"/>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417285</xdr:colOff>
      <xdr:row>0</xdr:row>
      <xdr:rowOff>40821</xdr:rowOff>
    </xdr:from>
    <xdr:to>
      <xdr:col>1</xdr:col>
      <xdr:colOff>426420</xdr:colOff>
      <xdr:row>3</xdr:row>
      <xdr:rowOff>245176</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135" y="40821"/>
          <a:ext cx="972005" cy="10912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25</xdr:row>
      <xdr:rowOff>33335</xdr:rowOff>
    </xdr:from>
    <xdr:to>
      <xdr:col>11</xdr:col>
      <xdr:colOff>419100</xdr:colOff>
      <xdr:row>46</xdr:row>
      <xdr:rowOff>152399</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52</xdr:row>
      <xdr:rowOff>9525</xdr:rowOff>
    </xdr:from>
    <xdr:to>
      <xdr:col>14</xdr:col>
      <xdr:colOff>809625</xdr:colOff>
      <xdr:row>69</xdr:row>
      <xdr:rowOff>0</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1381124</xdr:colOff>
      <xdr:row>95</xdr:row>
      <xdr:rowOff>157161</xdr:rowOff>
    </xdr:from>
    <xdr:to>
      <xdr:col>6</xdr:col>
      <xdr:colOff>1276349</xdr:colOff>
      <xdr:row>116</xdr:row>
      <xdr:rowOff>38099</xdr:rowOff>
    </xdr:to>
    <xdr:graphicFrame macro="">
      <xdr:nvGraphicFramePr>
        <xdr:cNvPr id="4" name="Gráfico 3">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123825</xdr:colOff>
      <xdr:row>51</xdr:row>
      <xdr:rowOff>147637</xdr:rowOff>
    </xdr:from>
    <xdr:to>
      <xdr:col>7</xdr:col>
      <xdr:colOff>1162050</xdr:colOff>
      <xdr:row>60</xdr:row>
      <xdr:rowOff>138112</xdr:rowOff>
    </xdr:to>
    <xdr:graphicFrame macro="">
      <xdr:nvGraphicFramePr>
        <xdr:cNvPr id="5" name="Gráfico 4">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32/Desktop/MARIA%2024%20ENERO/PROYECTO%20METAS%20(Recuperado)%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Desktop/SEGUIMIENTO%204%20TRIMESTRE/SECRETARIAS%20RECIBIDOS/Informe_Planeacion_Salud_31_12_2017_%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on"/>
      <sheetName val="Salud"/>
      <sheetName val="Administrativa"/>
      <sheetName val="Planeacion"/>
      <sheetName val="Hacienda"/>
      <sheetName val="Aguas e Infraestructura"/>
      <sheetName val="Turismo"/>
      <sheetName val="Interior"/>
      <sheetName val="Cultura"/>
      <sheetName val="Agricultura"/>
      <sheetName val="Privada"/>
      <sheetName val="Familia"/>
      <sheetName val="Judicial"/>
      <sheetName val="Indeportes"/>
      <sheetName val="Promotora"/>
      <sheetName val="IDTQ"/>
      <sheetName val="EJECUCION METAS PRODUCTO"/>
    </sheetNames>
    <sheetDataSet>
      <sheetData sheetId="0"/>
      <sheetData sheetId="1"/>
      <sheetData sheetId="2"/>
      <sheetData sheetId="3"/>
      <sheetData sheetId="4"/>
      <sheetData sheetId="5"/>
      <sheetData sheetId="6"/>
      <sheetData sheetId="7">
        <row r="38">
          <cell r="Q38">
            <v>23039776</v>
          </cell>
        </row>
        <row r="39">
          <cell r="Q39">
            <v>25000000</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ud"/>
      <sheetName val="Hoja1"/>
    </sheetNames>
    <sheetDataSet>
      <sheetData sheetId="0">
        <row r="92">
          <cell r="P92">
            <v>3555168752</v>
          </cell>
          <cell r="Q92">
            <v>2897518752</v>
          </cell>
        </row>
        <row r="96">
          <cell r="P96">
            <v>1891570188</v>
          </cell>
          <cell r="Q96">
            <v>1891570188</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XEH761"/>
  <sheetViews>
    <sheetView showGridLines="0" tabSelected="1" topLeftCell="H1" zoomScale="70" zoomScaleNormal="70" workbookViewId="0">
      <selection activeCell="O11" sqref="O11"/>
    </sheetView>
  </sheetViews>
  <sheetFormatPr baseColWidth="10" defaultColWidth="11.42578125" defaultRowHeight="15.75" x14ac:dyDescent="0.25"/>
  <cols>
    <col min="1" max="1" width="14.140625" style="130" customWidth="1"/>
    <col min="2" max="2" width="13.140625" style="130" customWidth="1"/>
    <col min="3" max="3" width="9" style="131" customWidth="1"/>
    <col min="4" max="4" width="27.85546875" style="130" customWidth="1"/>
    <col min="5" max="5" width="12.85546875" style="130" customWidth="1"/>
    <col min="6" max="6" width="16.85546875" style="130" customWidth="1"/>
    <col min="7" max="7" width="19.28515625" style="130" customWidth="1"/>
    <col min="8" max="8" width="10.28515625" style="131" customWidth="1"/>
    <col min="9" max="9" width="36.28515625" style="130" customWidth="1"/>
    <col min="10" max="10" width="9" style="130" customWidth="1"/>
    <col min="11" max="11" width="9.140625" style="130" customWidth="1"/>
    <col min="12" max="12" width="11.28515625" style="130" customWidth="1"/>
    <col min="13" max="13" width="20.7109375" style="130" customWidth="1"/>
    <col min="14" max="14" width="24.7109375" style="603" customWidth="1"/>
    <col min="15" max="15" width="38.7109375" style="130" customWidth="1"/>
    <col min="16" max="16" width="12.42578125" style="131" customWidth="1"/>
    <col min="17" max="58" width="29.85546875" style="130" customWidth="1"/>
    <col min="59" max="76" width="29.85546875" style="604" customWidth="1"/>
    <col min="77" max="82" width="29.85546875" style="130" customWidth="1"/>
    <col min="83" max="85" width="29.85546875" style="605" customWidth="1"/>
    <col min="86" max="88" width="29.85546875" style="132" customWidth="1"/>
    <col min="89" max="97" width="29.85546875" style="130" customWidth="1"/>
    <col min="98" max="98" width="27.28515625" style="130" customWidth="1"/>
    <col min="99" max="99" width="27.7109375" style="159" customWidth="1"/>
    <col min="100" max="100" width="27.140625" style="159" bestFit="1" customWidth="1"/>
    <col min="101" max="101" width="34.5703125" style="159" customWidth="1"/>
    <col min="102" max="16361" width="11.42578125" style="159"/>
    <col min="16363" max="16384" width="11.42578125" style="159"/>
  </cols>
  <sheetData>
    <row r="1" spans="1:100" s="130" customFormat="1" ht="24" customHeight="1" x14ac:dyDescent="0.25">
      <c r="A1" s="1004" t="s">
        <v>987</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1005"/>
      <c r="BU1" s="1005"/>
      <c r="BV1" s="1005"/>
      <c r="BW1" s="1005"/>
      <c r="BX1" s="1005"/>
      <c r="BY1" s="1005"/>
      <c r="BZ1" s="1005"/>
      <c r="CA1" s="1005"/>
      <c r="CB1" s="1005"/>
      <c r="CC1" s="1005"/>
      <c r="CD1" s="1005"/>
      <c r="CE1" s="1005"/>
      <c r="CF1" s="1005"/>
      <c r="CG1" s="1005"/>
      <c r="CH1" s="1005"/>
      <c r="CI1" s="1005"/>
      <c r="CJ1" s="1005"/>
      <c r="CK1" s="1005"/>
      <c r="CL1" s="1005"/>
      <c r="CM1" s="1005"/>
      <c r="CN1" s="1005"/>
      <c r="CO1" s="1005"/>
      <c r="CP1" s="1005"/>
      <c r="CQ1" s="1005"/>
      <c r="CR1" s="1005"/>
      <c r="CS1" s="1005"/>
      <c r="CT1" s="1005"/>
      <c r="CU1" s="730" t="s">
        <v>898</v>
      </c>
      <c r="CV1" s="730" t="s">
        <v>936</v>
      </c>
    </row>
    <row r="2" spans="1:100" s="130" customFormat="1" ht="24" customHeight="1" x14ac:dyDescent="0.25">
      <c r="A2" s="1005"/>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A2" s="1005"/>
      <c r="CB2" s="1005"/>
      <c r="CC2" s="1005"/>
      <c r="CD2" s="1005"/>
      <c r="CE2" s="1005"/>
      <c r="CF2" s="1005"/>
      <c r="CG2" s="1005"/>
      <c r="CH2" s="1005"/>
      <c r="CI2" s="1005"/>
      <c r="CJ2" s="1005"/>
      <c r="CK2" s="1005"/>
      <c r="CL2" s="1005"/>
      <c r="CM2" s="1005"/>
      <c r="CN2" s="1005"/>
      <c r="CO2" s="1005"/>
      <c r="CP2" s="1005"/>
      <c r="CQ2" s="1005"/>
      <c r="CR2" s="1005"/>
      <c r="CS2" s="1005"/>
      <c r="CT2" s="1005"/>
      <c r="CU2" s="731" t="s">
        <v>899</v>
      </c>
      <c r="CV2" s="732">
        <v>1</v>
      </c>
    </row>
    <row r="3" spans="1:100" s="779" customFormat="1" ht="24" customHeight="1" x14ac:dyDescent="0.25">
      <c r="A3" s="1005"/>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5"/>
      <c r="BJ3" s="1005"/>
      <c r="BK3" s="1005"/>
      <c r="BL3" s="1005"/>
      <c r="BM3" s="1005"/>
      <c r="BN3" s="1005"/>
      <c r="BO3" s="1005"/>
      <c r="BP3" s="1005"/>
      <c r="BQ3" s="1005"/>
      <c r="BR3" s="1005"/>
      <c r="BS3" s="1005"/>
      <c r="BT3" s="1005"/>
      <c r="BU3" s="1005"/>
      <c r="BV3" s="1005"/>
      <c r="BW3" s="1005"/>
      <c r="BX3" s="1005"/>
      <c r="BY3" s="1005"/>
      <c r="BZ3" s="1005"/>
      <c r="CA3" s="1005"/>
      <c r="CB3" s="1005"/>
      <c r="CC3" s="1005"/>
      <c r="CD3" s="1005"/>
      <c r="CE3" s="1005"/>
      <c r="CF3" s="1005"/>
      <c r="CG3" s="1005"/>
      <c r="CH3" s="1005"/>
      <c r="CI3" s="1005"/>
      <c r="CJ3" s="1005"/>
      <c r="CK3" s="1005"/>
      <c r="CL3" s="1005"/>
      <c r="CM3" s="1005"/>
      <c r="CN3" s="1005"/>
      <c r="CO3" s="1005"/>
      <c r="CP3" s="1005"/>
      <c r="CQ3" s="1005"/>
      <c r="CR3" s="1005"/>
      <c r="CS3" s="1005"/>
      <c r="CT3" s="1005"/>
      <c r="CU3" s="730" t="s">
        <v>900</v>
      </c>
      <c r="CV3" s="733" t="s">
        <v>937</v>
      </c>
    </row>
    <row r="4" spans="1:100" s="779" customFormat="1" ht="24" customHeight="1" x14ac:dyDescent="0.25">
      <c r="A4" s="1005"/>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c r="BZ4" s="1005"/>
      <c r="CA4" s="1005"/>
      <c r="CB4" s="1005"/>
      <c r="CC4" s="1005"/>
      <c r="CD4" s="1005"/>
      <c r="CE4" s="1005"/>
      <c r="CF4" s="1005"/>
      <c r="CG4" s="1005"/>
      <c r="CH4" s="1005"/>
      <c r="CI4" s="1005"/>
      <c r="CJ4" s="1005"/>
      <c r="CK4" s="1005"/>
      <c r="CL4" s="1005"/>
      <c r="CM4" s="1005"/>
      <c r="CN4" s="1005"/>
      <c r="CO4" s="1005"/>
      <c r="CP4" s="1005"/>
      <c r="CQ4" s="1005"/>
      <c r="CR4" s="1005"/>
      <c r="CS4" s="1005"/>
      <c r="CT4" s="1005"/>
      <c r="CU4" s="730" t="s">
        <v>901</v>
      </c>
      <c r="CV4" s="734" t="s">
        <v>938</v>
      </c>
    </row>
    <row r="5" spans="1:100" s="133" customFormat="1" ht="60.75" customHeight="1" x14ac:dyDescent="0.25">
      <c r="A5" s="1011" t="s">
        <v>1</v>
      </c>
      <c r="B5" s="1011" t="s">
        <v>2</v>
      </c>
      <c r="C5" s="1010" t="s">
        <v>3</v>
      </c>
      <c r="D5" s="1010"/>
      <c r="E5" s="1010" t="s">
        <v>4</v>
      </c>
      <c r="F5" s="1010" t="s">
        <v>5</v>
      </c>
      <c r="G5" s="1011" t="s">
        <v>6</v>
      </c>
      <c r="H5" s="1170" t="s">
        <v>7</v>
      </c>
      <c r="I5" s="1170"/>
      <c r="J5" s="1009" t="s">
        <v>4</v>
      </c>
      <c r="K5" s="1009" t="s">
        <v>8</v>
      </c>
      <c r="L5" s="1009"/>
      <c r="M5" s="1009" t="s">
        <v>9</v>
      </c>
      <c r="N5" s="1010" t="s">
        <v>10</v>
      </c>
      <c r="O5" s="1010" t="s">
        <v>11</v>
      </c>
      <c r="P5" s="1010" t="s">
        <v>12</v>
      </c>
      <c r="Q5" s="1006" t="s">
        <v>927</v>
      </c>
      <c r="R5" s="1006"/>
      <c r="S5" s="1006"/>
      <c r="T5" s="1006" t="s">
        <v>930</v>
      </c>
      <c r="U5" s="1006"/>
      <c r="V5" s="1006"/>
      <c r="W5" s="1006" t="s">
        <v>931</v>
      </c>
      <c r="X5" s="1006"/>
      <c r="Y5" s="1006"/>
      <c r="Z5" s="1006" t="s">
        <v>932</v>
      </c>
      <c r="AA5" s="1006"/>
      <c r="AB5" s="1006"/>
      <c r="AC5" s="1006" t="s">
        <v>13</v>
      </c>
      <c r="AD5" s="1006"/>
      <c r="AE5" s="1006"/>
      <c r="AF5" s="1006" t="s">
        <v>933</v>
      </c>
      <c r="AG5" s="1006"/>
      <c r="AH5" s="1006"/>
      <c r="AI5" s="1006" t="s">
        <v>892</v>
      </c>
      <c r="AJ5" s="1006"/>
      <c r="AK5" s="1006"/>
      <c r="AL5" s="1006" t="s">
        <v>890</v>
      </c>
      <c r="AM5" s="1006"/>
      <c r="AN5" s="1006"/>
      <c r="AO5" s="1006" t="s">
        <v>14</v>
      </c>
      <c r="AP5" s="1006"/>
      <c r="AQ5" s="1006"/>
      <c r="AR5" s="1006" t="s">
        <v>15</v>
      </c>
      <c r="AS5" s="1006"/>
      <c r="AT5" s="1006"/>
      <c r="AU5" s="1006" t="s">
        <v>16</v>
      </c>
      <c r="AV5" s="1006"/>
      <c r="AW5" s="1006"/>
      <c r="AX5" s="1006" t="s">
        <v>908</v>
      </c>
      <c r="AY5" s="1006"/>
      <c r="AZ5" s="1006"/>
      <c r="BA5" s="1006" t="s">
        <v>17</v>
      </c>
      <c r="BB5" s="1006"/>
      <c r="BC5" s="1006"/>
      <c r="BD5" s="1006" t="s">
        <v>18</v>
      </c>
      <c r="BE5" s="1006"/>
      <c r="BF5" s="1006"/>
      <c r="BG5" s="1006" t="s">
        <v>19</v>
      </c>
      <c r="BH5" s="1006"/>
      <c r="BI5" s="1006"/>
      <c r="BJ5" s="1006" t="s">
        <v>934</v>
      </c>
      <c r="BK5" s="1006"/>
      <c r="BL5" s="1006"/>
      <c r="BM5" s="1006" t="s">
        <v>20</v>
      </c>
      <c r="BN5" s="1006"/>
      <c r="BO5" s="1006"/>
      <c r="BP5" s="1006" t="s">
        <v>893</v>
      </c>
      <c r="BQ5" s="1006"/>
      <c r="BR5" s="1006"/>
      <c r="BS5" s="1006" t="s">
        <v>21</v>
      </c>
      <c r="BT5" s="1006"/>
      <c r="BU5" s="1006"/>
      <c r="BV5" s="1006" t="s">
        <v>22</v>
      </c>
      <c r="BW5" s="1006"/>
      <c r="BX5" s="1006"/>
      <c r="BY5" s="1006" t="s">
        <v>894</v>
      </c>
      <c r="BZ5" s="1006"/>
      <c r="CA5" s="1006"/>
      <c r="CB5" s="1006" t="s">
        <v>935</v>
      </c>
      <c r="CC5" s="1006"/>
      <c r="CD5" s="1006"/>
      <c r="CE5" s="1007" t="s">
        <v>23</v>
      </c>
      <c r="CF5" s="1007"/>
      <c r="CG5" s="1007"/>
      <c r="CH5" s="1006" t="s">
        <v>24</v>
      </c>
      <c r="CI5" s="1006"/>
      <c r="CJ5" s="1006"/>
      <c r="CK5" s="1006" t="s">
        <v>995</v>
      </c>
      <c r="CL5" s="1006"/>
      <c r="CM5" s="1006"/>
      <c r="CN5" s="1006" t="s">
        <v>889</v>
      </c>
      <c r="CO5" s="1006"/>
      <c r="CP5" s="1006"/>
      <c r="CQ5" s="1006" t="s">
        <v>925</v>
      </c>
      <c r="CR5" s="1006"/>
      <c r="CS5" s="1006"/>
      <c r="CT5" s="1008" t="s">
        <v>986</v>
      </c>
      <c r="CU5" s="1008"/>
      <c r="CV5" s="1008"/>
    </row>
    <row r="6" spans="1:100" s="668" customFormat="1" ht="62.25" customHeight="1" x14ac:dyDescent="0.25">
      <c r="A6" s="1011"/>
      <c r="B6" s="1011"/>
      <c r="C6" s="1010"/>
      <c r="D6" s="1010"/>
      <c r="E6" s="1010"/>
      <c r="F6" s="1010"/>
      <c r="G6" s="1011"/>
      <c r="H6" s="1170"/>
      <c r="I6" s="1170"/>
      <c r="J6" s="1009"/>
      <c r="K6" s="780" t="s">
        <v>895</v>
      </c>
      <c r="L6" s="780" t="s">
        <v>896</v>
      </c>
      <c r="M6" s="1009"/>
      <c r="N6" s="1010"/>
      <c r="O6" s="1010"/>
      <c r="P6" s="1010"/>
      <c r="Q6" s="727" t="s">
        <v>897</v>
      </c>
      <c r="R6" s="728" t="s">
        <v>928</v>
      </c>
      <c r="S6" s="728" t="s">
        <v>929</v>
      </c>
      <c r="T6" s="727" t="s">
        <v>897</v>
      </c>
      <c r="U6" s="728" t="s">
        <v>928</v>
      </c>
      <c r="V6" s="728" t="s">
        <v>929</v>
      </c>
      <c r="W6" s="727" t="s">
        <v>897</v>
      </c>
      <c r="X6" s="728" t="s">
        <v>928</v>
      </c>
      <c r="Y6" s="728" t="s">
        <v>929</v>
      </c>
      <c r="Z6" s="727" t="s">
        <v>897</v>
      </c>
      <c r="AA6" s="728" t="s">
        <v>928</v>
      </c>
      <c r="AB6" s="728" t="s">
        <v>929</v>
      </c>
      <c r="AC6" s="727" t="s">
        <v>897</v>
      </c>
      <c r="AD6" s="728" t="s">
        <v>928</v>
      </c>
      <c r="AE6" s="728" t="s">
        <v>929</v>
      </c>
      <c r="AF6" s="727" t="s">
        <v>897</v>
      </c>
      <c r="AG6" s="728" t="s">
        <v>928</v>
      </c>
      <c r="AH6" s="728" t="s">
        <v>929</v>
      </c>
      <c r="AI6" s="727" t="s">
        <v>897</v>
      </c>
      <c r="AJ6" s="728" t="s">
        <v>928</v>
      </c>
      <c r="AK6" s="728" t="s">
        <v>929</v>
      </c>
      <c r="AL6" s="727" t="s">
        <v>897</v>
      </c>
      <c r="AM6" s="728" t="s">
        <v>928</v>
      </c>
      <c r="AN6" s="728" t="s">
        <v>929</v>
      </c>
      <c r="AO6" s="727" t="s">
        <v>897</v>
      </c>
      <c r="AP6" s="728" t="s">
        <v>928</v>
      </c>
      <c r="AQ6" s="728" t="s">
        <v>929</v>
      </c>
      <c r="AR6" s="727" t="s">
        <v>897</v>
      </c>
      <c r="AS6" s="728" t="s">
        <v>928</v>
      </c>
      <c r="AT6" s="728" t="s">
        <v>929</v>
      </c>
      <c r="AU6" s="727" t="s">
        <v>897</v>
      </c>
      <c r="AV6" s="728" t="s">
        <v>928</v>
      </c>
      <c r="AW6" s="728" t="s">
        <v>929</v>
      </c>
      <c r="AX6" s="727" t="s">
        <v>897</v>
      </c>
      <c r="AY6" s="728" t="s">
        <v>928</v>
      </c>
      <c r="AZ6" s="728" t="s">
        <v>929</v>
      </c>
      <c r="BA6" s="727" t="s">
        <v>897</v>
      </c>
      <c r="BB6" s="728" t="s">
        <v>928</v>
      </c>
      <c r="BC6" s="728" t="s">
        <v>929</v>
      </c>
      <c r="BD6" s="727" t="s">
        <v>897</v>
      </c>
      <c r="BE6" s="728" t="s">
        <v>928</v>
      </c>
      <c r="BF6" s="728" t="s">
        <v>929</v>
      </c>
      <c r="BG6" s="727" t="s">
        <v>897</v>
      </c>
      <c r="BH6" s="728" t="s">
        <v>928</v>
      </c>
      <c r="BI6" s="728" t="s">
        <v>929</v>
      </c>
      <c r="BJ6" s="727" t="s">
        <v>897</v>
      </c>
      <c r="BK6" s="728" t="s">
        <v>928</v>
      </c>
      <c r="BL6" s="728" t="s">
        <v>929</v>
      </c>
      <c r="BM6" s="727" t="s">
        <v>897</v>
      </c>
      <c r="BN6" s="728" t="s">
        <v>928</v>
      </c>
      <c r="BO6" s="728" t="s">
        <v>929</v>
      </c>
      <c r="BP6" s="727" t="s">
        <v>897</v>
      </c>
      <c r="BQ6" s="728" t="s">
        <v>928</v>
      </c>
      <c r="BR6" s="728" t="s">
        <v>929</v>
      </c>
      <c r="BS6" s="727" t="s">
        <v>897</v>
      </c>
      <c r="BT6" s="728" t="s">
        <v>928</v>
      </c>
      <c r="BU6" s="728" t="s">
        <v>929</v>
      </c>
      <c r="BV6" s="727" t="s">
        <v>897</v>
      </c>
      <c r="BW6" s="728" t="s">
        <v>928</v>
      </c>
      <c r="BX6" s="728" t="s">
        <v>929</v>
      </c>
      <c r="BY6" s="727" t="s">
        <v>897</v>
      </c>
      <c r="BZ6" s="728" t="s">
        <v>928</v>
      </c>
      <c r="CA6" s="728" t="s">
        <v>929</v>
      </c>
      <c r="CB6" s="727" t="s">
        <v>897</v>
      </c>
      <c r="CC6" s="728" t="s">
        <v>928</v>
      </c>
      <c r="CD6" s="728" t="s">
        <v>929</v>
      </c>
      <c r="CE6" s="729" t="s">
        <v>897</v>
      </c>
      <c r="CF6" s="729" t="s">
        <v>928</v>
      </c>
      <c r="CG6" s="729" t="s">
        <v>929</v>
      </c>
      <c r="CH6" s="727" t="s">
        <v>897</v>
      </c>
      <c r="CI6" s="728" t="s">
        <v>928</v>
      </c>
      <c r="CJ6" s="728" t="s">
        <v>929</v>
      </c>
      <c r="CK6" s="727" t="s">
        <v>897</v>
      </c>
      <c r="CL6" s="728" t="s">
        <v>928</v>
      </c>
      <c r="CM6" s="728" t="s">
        <v>929</v>
      </c>
      <c r="CN6" s="727" t="s">
        <v>897</v>
      </c>
      <c r="CO6" s="728" t="s">
        <v>928</v>
      </c>
      <c r="CP6" s="728" t="s">
        <v>929</v>
      </c>
      <c r="CQ6" s="727" t="s">
        <v>897</v>
      </c>
      <c r="CR6" s="728" t="s">
        <v>928</v>
      </c>
      <c r="CS6" s="728" t="s">
        <v>929</v>
      </c>
      <c r="CT6" s="727" t="s">
        <v>897</v>
      </c>
      <c r="CU6" s="728" t="s">
        <v>928</v>
      </c>
      <c r="CV6" s="728" t="s">
        <v>929</v>
      </c>
    </row>
    <row r="7" spans="1:100" s="46" customFormat="1" ht="18" customHeight="1" x14ac:dyDescent="0.25">
      <c r="A7" s="134" t="s">
        <v>25</v>
      </c>
      <c r="B7" s="135"/>
      <c r="C7" s="136"/>
      <c r="D7" s="135"/>
      <c r="E7" s="135"/>
      <c r="F7" s="135"/>
      <c r="G7" s="135"/>
      <c r="H7" s="136"/>
      <c r="I7" s="135"/>
      <c r="J7" s="135"/>
      <c r="K7" s="135"/>
      <c r="L7" s="135"/>
      <c r="M7" s="135"/>
      <c r="N7" s="675"/>
      <c r="O7" s="135"/>
      <c r="P7" s="136"/>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7"/>
      <c r="CF7" s="137"/>
      <c r="CG7" s="137"/>
      <c r="CH7" s="138"/>
      <c r="CI7" s="138"/>
      <c r="CJ7" s="138"/>
      <c r="CK7" s="135"/>
      <c r="CL7" s="135"/>
      <c r="CM7" s="135"/>
      <c r="CN7" s="135"/>
      <c r="CO7" s="135"/>
      <c r="CP7" s="135"/>
      <c r="CQ7" s="135"/>
      <c r="CR7" s="135"/>
      <c r="CS7" s="135"/>
      <c r="CT7" s="566"/>
      <c r="CU7" s="566"/>
      <c r="CV7" s="566"/>
    </row>
    <row r="8" spans="1:100" s="46" customFormat="1" ht="18" customHeight="1" x14ac:dyDescent="0.25">
      <c r="A8" s="139">
        <v>5</v>
      </c>
      <c r="B8" s="140" t="s">
        <v>26</v>
      </c>
      <c r="C8" s="141"/>
      <c r="D8" s="140"/>
      <c r="E8" s="140"/>
      <c r="F8" s="140"/>
      <c r="G8" s="140"/>
      <c r="H8" s="141"/>
      <c r="I8" s="140"/>
      <c r="J8" s="140"/>
      <c r="K8" s="140"/>
      <c r="L8" s="140"/>
      <c r="M8" s="140"/>
      <c r="N8" s="676"/>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2"/>
      <c r="CF8" s="142"/>
      <c r="CG8" s="142"/>
      <c r="CH8" s="140"/>
      <c r="CI8" s="140"/>
      <c r="CJ8" s="140"/>
      <c r="CK8" s="140"/>
      <c r="CL8" s="140"/>
      <c r="CM8" s="140"/>
      <c r="CN8" s="140"/>
      <c r="CO8" s="140"/>
      <c r="CP8" s="140"/>
      <c r="CQ8" s="140"/>
      <c r="CR8" s="140"/>
      <c r="CS8" s="140"/>
      <c r="CT8" s="540"/>
      <c r="CU8" s="540"/>
      <c r="CV8" s="540"/>
    </row>
    <row r="9" spans="1:100" s="46" customFormat="1" ht="18" customHeight="1" x14ac:dyDescent="0.25">
      <c r="A9" s="143"/>
      <c r="B9" s="144">
        <v>28</v>
      </c>
      <c r="C9" s="145" t="s">
        <v>27</v>
      </c>
      <c r="D9" s="146"/>
      <c r="E9" s="146"/>
      <c r="F9" s="146"/>
      <c r="G9" s="146"/>
      <c r="H9" s="147"/>
      <c r="I9" s="146"/>
      <c r="J9" s="146"/>
      <c r="K9" s="146"/>
      <c r="L9" s="146"/>
      <c r="M9" s="146"/>
      <c r="N9" s="677"/>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8"/>
      <c r="CF9" s="148"/>
      <c r="CG9" s="148"/>
      <c r="CH9" s="146"/>
      <c r="CI9" s="146"/>
      <c r="CJ9" s="146"/>
      <c r="CK9" s="146"/>
      <c r="CL9" s="146"/>
      <c r="CM9" s="146"/>
      <c r="CN9" s="146"/>
      <c r="CO9" s="146"/>
      <c r="CP9" s="146"/>
      <c r="CQ9" s="146"/>
      <c r="CR9" s="146"/>
      <c r="CS9" s="146"/>
      <c r="CT9" s="526"/>
      <c r="CU9" s="526"/>
      <c r="CV9" s="526"/>
    </row>
    <row r="10" spans="1:100" s="46" customFormat="1" ht="18" customHeight="1" x14ac:dyDescent="0.25">
      <c r="A10" s="21"/>
      <c r="B10" s="149"/>
      <c r="C10" s="150"/>
      <c r="D10" s="151"/>
      <c r="E10" s="151"/>
      <c r="F10" s="151"/>
      <c r="G10" s="1">
        <v>89</v>
      </c>
      <c r="H10" s="2" t="s">
        <v>28</v>
      </c>
      <c r="I10" s="2"/>
      <c r="J10" s="2"/>
      <c r="K10" s="2"/>
      <c r="L10" s="2"/>
      <c r="M10" s="2"/>
      <c r="N10" s="64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109"/>
      <c r="CF10" s="109"/>
      <c r="CG10" s="109"/>
      <c r="CH10" s="2"/>
      <c r="CI10" s="2"/>
      <c r="CJ10" s="2"/>
      <c r="CK10" s="2"/>
      <c r="CL10" s="2"/>
      <c r="CM10" s="2"/>
      <c r="CN10" s="2"/>
      <c r="CO10" s="2"/>
      <c r="CP10" s="2"/>
      <c r="CQ10" s="2"/>
      <c r="CR10" s="2"/>
      <c r="CS10" s="2"/>
      <c r="CT10" s="126"/>
      <c r="CU10" s="126"/>
      <c r="CV10" s="126"/>
    </row>
    <row r="11" spans="1:100" s="27" customFormat="1" ht="68.25" customHeight="1" x14ac:dyDescent="0.25">
      <c r="A11" s="21"/>
      <c r="B11" s="19"/>
      <c r="C11" s="927" t="s">
        <v>912</v>
      </c>
      <c r="D11" s="988" t="s">
        <v>988</v>
      </c>
      <c r="E11" s="929">
        <v>0</v>
      </c>
      <c r="F11" s="929">
        <v>2</v>
      </c>
      <c r="G11" s="22"/>
      <c r="H11" s="914">
        <v>282</v>
      </c>
      <c r="I11" s="928" t="s">
        <v>29</v>
      </c>
      <c r="J11" s="23" t="s">
        <v>30</v>
      </c>
      <c r="K11" s="23">
        <v>2</v>
      </c>
      <c r="L11" s="23">
        <v>2</v>
      </c>
      <c r="M11" s="24" t="s">
        <v>31</v>
      </c>
      <c r="N11" s="967" t="s">
        <v>32</v>
      </c>
      <c r="O11" s="928" t="s">
        <v>33</v>
      </c>
      <c r="P11" s="929" t="s">
        <v>34</v>
      </c>
      <c r="Q11" s="25">
        <v>0</v>
      </c>
      <c r="R11" s="25"/>
      <c r="S11" s="25"/>
      <c r="T11" s="25">
        <v>0</v>
      </c>
      <c r="U11" s="25"/>
      <c r="V11" s="25"/>
      <c r="W11" s="25">
        <v>0</v>
      </c>
      <c r="X11" s="25"/>
      <c r="Y11" s="25"/>
      <c r="Z11" s="25">
        <v>0</v>
      </c>
      <c r="AA11" s="25"/>
      <c r="AB11" s="25"/>
      <c r="AC11" s="25">
        <v>0</v>
      </c>
      <c r="AD11" s="25"/>
      <c r="AE11" s="25"/>
      <c r="AF11" s="25">
        <v>0</v>
      </c>
      <c r="AG11" s="25"/>
      <c r="AH11" s="25"/>
      <c r="AI11" s="25">
        <v>0</v>
      </c>
      <c r="AJ11" s="25"/>
      <c r="AK11" s="25"/>
      <c r="AL11" s="25"/>
      <c r="AM11" s="25"/>
      <c r="AN11" s="25"/>
      <c r="AO11" s="25"/>
      <c r="AP11" s="25"/>
      <c r="AQ11" s="25"/>
      <c r="AR11" s="25"/>
      <c r="AS11" s="25"/>
      <c r="AT11" s="25"/>
      <c r="AU11" s="25">
        <v>0</v>
      </c>
      <c r="AV11" s="25"/>
      <c r="AW11" s="25"/>
      <c r="AX11" s="25"/>
      <c r="AY11" s="25"/>
      <c r="AZ11" s="25"/>
      <c r="BA11" s="25">
        <v>0</v>
      </c>
      <c r="BB11" s="25"/>
      <c r="BC11" s="25"/>
      <c r="BD11" s="25">
        <v>0</v>
      </c>
      <c r="BE11" s="25"/>
      <c r="BF11" s="25"/>
      <c r="BG11" s="25"/>
      <c r="BH11" s="25"/>
      <c r="BI11" s="25"/>
      <c r="BJ11" s="25"/>
      <c r="BK11" s="25"/>
      <c r="BL11" s="25"/>
      <c r="BM11" s="25"/>
      <c r="BN11" s="25"/>
      <c r="BO11" s="25"/>
      <c r="BP11" s="25"/>
      <c r="BQ11" s="25"/>
      <c r="BR11" s="25"/>
      <c r="BS11" s="25"/>
      <c r="BT11" s="25"/>
      <c r="BU11" s="25"/>
      <c r="BV11" s="25"/>
      <c r="BW11" s="25"/>
      <c r="BX11" s="25"/>
      <c r="BY11" s="25">
        <v>0</v>
      </c>
      <c r="BZ11" s="25"/>
      <c r="CA11" s="25"/>
      <c r="CB11" s="25">
        <v>0</v>
      </c>
      <c r="CC11" s="25"/>
      <c r="CD11" s="25"/>
      <c r="CE11" s="127">
        <v>39000000</v>
      </c>
      <c r="CF11" s="110">
        <v>39000000</v>
      </c>
      <c r="CG11" s="110">
        <v>39000000</v>
      </c>
      <c r="CH11" s="13"/>
      <c r="CI11" s="13"/>
      <c r="CJ11" s="13"/>
      <c r="CK11" s="25">
        <v>0</v>
      </c>
      <c r="CL11" s="26"/>
      <c r="CM11" s="26"/>
      <c r="CN11" s="26">
        <v>0</v>
      </c>
      <c r="CO11" s="26"/>
      <c r="CP11" s="26"/>
      <c r="CQ11" s="26"/>
      <c r="CR11" s="26"/>
      <c r="CS11" s="26"/>
      <c r="CT11" s="25">
        <f t="shared" ref="CT11:CV19" si="0">Q11+T11+W11+Z11+AC11+AF11+AI11+AL11+AO11+AR11+AU11+AX11+BA11+BD11+BG11+BJ11+BM11+BP11+BS11+BV11+BY11+CB11+CE11+CH11+CK11+CQ11+CN11</f>
        <v>39000000</v>
      </c>
      <c r="CU11" s="25">
        <f t="shared" si="0"/>
        <v>39000000</v>
      </c>
      <c r="CV11" s="25">
        <f t="shared" si="0"/>
        <v>39000000</v>
      </c>
    </row>
    <row r="12" spans="1:100" s="27" customFormat="1" ht="149.25" customHeight="1" x14ac:dyDescent="0.25">
      <c r="A12" s="21"/>
      <c r="B12" s="19"/>
      <c r="C12" s="927" t="s">
        <v>913</v>
      </c>
      <c r="D12" s="988" t="s">
        <v>989</v>
      </c>
      <c r="E12" s="929"/>
      <c r="F12" s="929"/>
      <c r="G12" s="28"/>
      <c r="H12" s="929">
        <v>283</v>
      </c>
      <c r="I12" s="928" t="s">
        <v>35</v>
      </c>
      <c r="J12" s="23" t="s">
        <v>30</v>
      </c>
      <c r="K12" s="23">
        <v>1</v>
      </c>
      <c r="L12" s="903">
        <v>0.95</v>
      </c>
      <c r="M12" s="24" t="s">
        <v>31</v>
      </c>
      <c r="N12" s="968" t="s">
        <v>36</v>
      </c>
      <c r="O12" s="928" t="s">
        <v>37</v>
      </c>
      <c r="P12" s="929" t="s">
        <v>38</v>
      </c>
      <c r="Q12" s="25">
        <v>0</v>
      </c>
      <c r="R12" s="25"/>
      <c r="S12" s="25"/>
      <c r="T12" s="25">
        <v>0</v>
      </c>
      <c r="U12" s="25"/>
      <c r="V12" s="25"/>
      <c r="W12" s="25">
        <v>0</v>
      </c>
      <c r="X12" s="25"/>
      <c r="Y12" s="25"/>
      <c r="Z12" s="25">
        <v>0</v>
      </c>
      <c r="AA12" s="25"/>
      <c r="AB12" s="25"/>
      <c r="AC12" s="25">
        <v>0</v>
      </c>
      <c r="AD12" s="25"/>
      <c r="AE12" s="25"/>
      <c r="AF12" s="25">
        <v>0</v>
      </c>
      <c r="AG12" s="25"/>
      <c r="AH12" s="25"/>
      <c r="AI12" s="25">
        <v>0</v>
      </c>
      <c r="AJ12" s="25"/>
      <c r="AK12" s="25"/>
      <c r="AL12" s="25"/>
      <c r="AM12" s="25"/>
      <c r="AN12" s="25"/>
      <c r="AO12" s="25"/>
      <c r="AP12" s="25"/>
      <c r="AQ12" s="25"/>
      <c r="AR12" s="25"/>
      <c r="AS12" s="25"/>
      <c r="AT12" s="25"/>
      <c r="AU12" s="25">
        <v>0</v>
      </c>
      <c r="AV12" s="25"/>
      <c r="AW12" s="25"/>
      <c r="AX12" s="25"/>
      <c r="AY12" s="25"/>
      <c r="AZ12" s="25"/>
      <c r="BA12" s="25">
        <v>0</v>
      </c>
      <c r="BB12" s="25"/>
      <c r="BC12" s="25"/>
      <c r="BD12" s="25">
        <v>0</v>
      </c>
      <c r="BE12" s="25"/>
      <c r="BF12" s="25"/>
      <c r="BG12" s="25"/>
      <c r="BH12" s="25"/>
      <c r="BI12" s="25"/>
      <c r="BJ12" s="25"/>
      <c r="BK12" s="25"/>
      <c r="BL12" s="25"/>
      <c r="BM12" s="25"/>
      <c r="BN12" s="25"/>
      <c r="BO12" s="25"/>
      <c r="BP12" s="25"/>
      <c r="BQ12" s="25"/>
      <c r="BR12" s="25"/>
      <c r="BS12" s="25"/>
      <c r="BT12" s="25"/>
      <c r="BU12" s="25"/>
      <c r="BV12" s="25"/>
      <c r="BW12" s="25"/>
      <c r="BX12" s="25"/>
      <c r="BY12" s="25">
        <v>0</v>
      </c>
      <c r="BZ12" s="25"/>
      <c r="CA12" s="25"/>
      <c r="CB12" s="25">
        <v>0</v>
      </c>
      <c r="CC12" s="25"/>
      <c r="CD12" s="25"/>
      <c r="CE12" s="127">
        <v>48317341</v>
      </c>
      <c r="CF12" s="110">
        <v>37501531</v>
      </c>
      <c r="CG12" s="110">
        <v>37501531</v>
      </c>
      <c r="CH12" s="13"/>
      <c r="CI12" s="13"/>
      <c r="CJ12" s="13"/>
      <c r="CK12" s="25">
        <v>0</v>
      </c>
      <c r="CL12" s="26"/>
      <c r="CM12" s="26"/>
      <c r="CN12" s="26">
        <v>0</v>
      </c>
      <c r="CO12" s="26"/>
      <c r="CP12" s="26"/>
      <c r="CQ12" s="26"/>
      <c r="CR12" s="26"/>
      <c r="CS12" s="26"/>
      <c r="CT12" s="25">
        <f t="shared" si="0"/>
        <v>48317341</v>
      </c>
      <c r="CU12" s="25">
        <f t="shared" si="0"/>
        <v>37501531</v>
      </c>
      <c r="CV12" s="25">
        <f t="shared" si="0"/>
        <v>37501531</v>
      </c>
    </row>
    <row r="13" spans="1:100" s="27" customFormat="1" ht="76.5" customHeight="1" x14ac:dyDescent="0.25">
      <c r="A13" s="21"/>
      <c r="B13" s="19"/>
      <c r="C13" s="927">
        <v>38</v>
      </c>
      <c r="D13" s="988" t="s">
        <v>39</v>
      </c>
      <c r="E13" s="929"/>
      <c r="F13" s="929"/>
      <c r="G13" s="28"/>
      <c r="H13" s="929">
        <v>284</v>
      </c>
      <c r="I13" s="928" t="s">
        <v>40</v>
      </c>
      <c r="J13" s="23">
        <v>1</v>
      </c>
      <c r="K13" s="23">
        <v>1</v>
      </c>
      <c r="L13" s="23">
        <v>7.0000000000000007E-2</v>
      </c>
      <c r="M13" s="24" t="s">
        <v>31</v>
      </c>
      <c r="N13" s="968" t="s">
        <v>41</v>
      </c>
      <c r="O13" s="928" t="s">
        <v>42</v>
      </c>
      <c r="P13" s="929" t="s">
        <v>38</v>
      </c>
      <c r="Q13" s="25">
        <v>0</v>
      </c>
      <c r="R13" s="25"/>
      <c r="S13" s="25"/>
      <c r="T13" s="25">
        <v>0</v>
      </c>
      <c r="U13" s="25"/>
      <c r="V13" s="25"/>
      <c r="W13" s="25">
        <v>0</v>
      </c>
      <c r="X13" s="25"/>
      <c r="Y13" s="25"/>
      <c r="Z13" s="25">
        <v>0</v>
      </c>
      <c r="AA13" s="25"/>
      <c r="AB13" s="25"/>
      <c r="AC13" s="25">
        <v>0</v>
      </c>
      <c r="AD13" s="25"/>
      <c r="AE13" s="25"/>
      <c r="AF13" s="25">
        <v>0</v>
      </c>
      <c r="AG13" s="25"/>
      <c r="AH13" s="25"/>
      <c r="AI13" s="25">
        <v>0</v>
      </c>
      <c r="AJ13" s="25"/>
      <c r="AK13" s="25"/>
      <c r="AL13" s="25"/>
      <c r="AM13" s="25"/>
      <c r="AN13" s="25"/>
      <c r="AO13" s="25"/>
      <c r="AP13" s="25"/>
      <c r="AQ13" s="25"/>
      <c r="AR13" s="25"/>
      <c r="AS13" s="25"/>
      <c r="AT13" s="25"/>
      <c r="AU13" s="25">
        <v>0</v>
      </c>
      <c r="AV13" s="25"/>
      <c r="AW13" s="25"/>
      <c r="AX13" s="25"/>
      <c r="AY13" s="25"/>
      <c r="AZ13" s="25"/>
      <c r="BA13" s="25">
        <v>0</v>
      </c>
      <c r="BB13" s="25"/>
      <c r="BC13" s="25"/>
      <c r="BD13" s="25">
        <v>0</v>
      </c>
      <c r="BE13" s="25"/>
      <c r="BF13" s="25"/>
      <c r="BG13" s="25"/>
      <c r="BH13" s="25"/>
      <c r="BI13" s="25"/>
      <c r="BJ13" s="25"/>
      <c r="BK13" s="25"/>
      <c r="BL13" s="25"/>
      <c r="BM13" s="25"/>
      <c r="BN13" s="25"/>
      <c r="BO13" s="25"/>
      <c r="BP13" s="25"/>
      <c r="BQ13" s="25"/>
      <c r="BR13" s="25"/>
      <c r="BS13" s="25"/>
      <c r="BT13" s="25"/>
      <c r="BU13" s="25"/>
      <c r="BV13" s="25"/>
      <c r="BW13" s="25"/>
      <c r="BX13" s="25"/>
      <c r="BY13" s="25">
        <v>0</v>
      </c>
      <c r="BZ13" s="25"/>
      <c r="CA13" s="25"/>
      <c r="CB13" s="25">
        <v>0</v>
      </c>
      <c r="CC13" s="25"/>
      <c r="CD13" s="25"/>
      <c r="CE13" s="127">
        <v>70162427</v>
      </c>
      <c r="CF13" s="110">
        <v>69729945</v>
      </c>
      <c r="CG13" s="110">
        <v>5254945</v>
      </c>
      <c r="CH13" s="13"/>
      <c r="CI13" s="13"/>
      <c r="CJ13" s="13"/>
      <c r="CK13" s="25">
        <v>0</v>
      </c>
      <c r="CL13" s="26"/>
      <c r="CM13" s="26"/>
      <c r="CN13" s="26">
        <v>0</v>
      </c>
      <c r="CO13" s="26"/>
      <c r="CP13" s="26"/>
      <c r="CQ13" s="26"/>
      <c r="CR13" s="26"/>
      <c r="CS13" s="26"/>
      <c r="CT13" s="25">
        <f t="shared" si="0"/>
        <v>70162427</v>
      </c>
      <c r="CU13" s="25">
        <f t="shared" si="0"/>
        <v>69729945</v>
      </c>
      <c r="CV13" s="25">
        <f t="shared" si="0"/>
        <v>5254945</v>
      </c>
    </row>
    <row r="14" spans="1:100" s="27" customFormat="1" ht="74.25" customHeight="1" x14ac:dyDescent="0.25">
      <c r="A14" s="21"/>
      <c r="B14" s="19"/>
      <c r="C14" s="927">
        <v>38</v>
      </c>
      <c r="D14" s="988" t="s">
        <v>39</v>
      </c>
      <c r="E14" s="929"/>
      <c r="F14" s="929"/>
      <c r="G14" s="28"/>
      <c r="H14" s="929">
        <v>285</v>
      </c>
      <c r="I14" s="928" t="s">
        <v>920</v>
      </c>
      <c r="J14" s="23">
        <v>1</v>
      </c>
      <c r="K14" s="23">
        <v>1</v>
      </c>
      <c r="L14" s="903">
        <v>1</v>
      </c>
      <c r="M14" s="24" t="s">
        <v>31</v>
      </c>
      <c r="N14" s="968" t="s">
        <v>43</v>
      </c>
      <c r="O14" s="928" t="s">
        <v>44</v>
      </c>
      <c r="P14" s="929" t="s">
        <v>38</v>
      </c>
      <c r="Q14" s="25">
        <v>0</v>
      </c>
      <c r="R14" s="25"/>
      <c r="S14" s="25"/>
      <c r="T14" s="25">
        <v>0</v>
      </c>
      <c r="U14" s="25"/>
      <c r="V14" s="25"/>
      <c r="W14" s="25">
        <v>0</v>
      </c>
      <c r="X14" s="25"/>
      <c r="Y14" s="25"/>
      <c r="Z14" s="25">
        <v>0</v>
      </c>
      <c r="AA14" s="25"/>
      <c r="AB14" s="25"/>
      <c r="AC14" s="25">
        <v>0</v>
      </c>
      <c r="AD14" s="25"/>
      <c r="AE14" s="25"/>
      <c r="AF14" s="25">
        <v>0</v>
      </c>
      <c r="AG14" s="25"/>
      <c r="AH14" s="25"/>
      <c r="AI14" s="25">
        <v>0</v>
      </c>
      <c r="AJ14" s="25"/>
      <c r="AK14" s="25"/>
      <c r="AL14" s="25"/>
      <c r="AM14" s="25"/>
      <c r="AN14" s="25"/>
      <c r="AO14" s="25"/>
      <c r="AP14" s="25"/>
      <c r="AQ14" s="25"/>
      <c r="AR14" s="25"/>
      <c r="AS14" s="25"/>
      <c r="AT14" s="25"/>
      <c r="AU14" s="25">
        <v>0</v>
      </c>
      <c r="AV14" s="25"/>
      <c r="AW14" s="25"/>
      <c r="AX14" s="25"/>
      <c r="AY14" s="25"/>
      <c r="AZ14" s="25"/>
      <c r="BA14" s="25">
        <v>0</v>
      </c>
      <c r="BB14" s="25"/>
      <c r="BC14" s="25"/>
      <c r="BD14" s="25">
        <v>0</v>
      </c>
      <c r="BE14" s="25"/>
      <c r="BF14" s="25"/>
      <c r="BG14" s="25"/>
      <c r="BH14" s="25"/>
      <c r="BI14" s="25"/>
      <c r="BJ14" s="25"/>
      <c r="BK14" s="25"/>
      <c r="BL14" s="25"/>
      <c r="BM14" s="25"/>
      <c r="BN14" s="25"/>
      <c r="BO14" s="25"/>
      <c r="BP14" s="25"/>
      <c r="BQ14" s="25"/>
      <c r="BR14" s="25"/>
      <c r="BS14" s="25"/>
      <c r="BT14" s="25"/>
      <c r="BU14" s="25"/>
      <c r="BV14" s="25"/>
      <c r="BW14" s="25"/>
      <c r="BX14" s="25"/>
      <c r="BY14" s="25">
        <v>0</v>
      </c>
      <c r="BZ14" s="25"/>
      <c r="CA14" s="25"/>
      <c r="CB14" s="25">
        <v>0</v>
      </c>
      <c r="CC14" s="25"/>
      <c r="CD14" s="25"/>
      <c r="CE14" s="127">
        <v>59525000</v>
      </c>
      <c r="CF14" s="110">
        <v>59525000</v>
      </c>
      <c r="CG14" s="110">
        <v>59525000</v>
      </c>
      <c r="CH14" s="13"/>
      <c r="CI14" s="13"/>
      <c r="CJ14" s="13"/>
      <c r="CK14" s="25">
        <v>0</v>
      </c>
      <c r="CL14" s="26"/>
      <c r="CM14" s="26"/>
      <c r="CN14" s="26">
        <v>0</v>
      </c>
      <c r="CO14" s="26"/>
      <c r="CP14" s="26"/>
      <c r="CQ14" s="26"/>
      <c r="CR14" s="26"/>
      <c r="CS14" s="26"/>
      <c r="CT14" s="25">
        <f t="shared" si="0"/>
        <v>59525000</v>
      </c>
      <c r="CU14" s="25">
        <f t="shared" si="0"/>
        <v>59525000</v>
      </c>
      <c r="CV14" s="25">
        <f t="shared" si="0"/>
        <v>59525000</v>
      </c>
    </row>
    <row r="15" spans="1:100" s="27" customFormat="1" ht="84.75" customHeight="1" x14ac:dyDescent="0.25">
      <c r="A15" s="21"/>
      <c r="B15" s="19"/>
      <c r="C15" s="927">
        <v>38</v>
      </c>
      <c r="D15" s="988" t="s">
        <v>39</v>
      </c>
      <c r="E15" s="929"/>
      <c r="F15" s="929"/>
      <c r="G15" s="29"/>
      <c r="H15" s="929">
        <v>280</v>
      </c>
      <c r="I15" s="928" t="s">
        <v>45</v>
      </c>
      <c r="J15" s="30">
        <v>0</v>
      </c>
      <c r="K15" s="30">
        <v>1</v>
      </c>
      <c r="L15" s="30">
        <v>1</v>
      </c>
      <c r="M15" s="1012" t="s">
        <v>31</v>
      </c>
      <c r="N15" s="1087" t="s">
        <v>46</v>
      </c>
      <c r="O15" s="1012" t="s">
        <v>47</v>
      </c>
      <c r="P15" s="929" t="s">
        <v>38</v>
      </c>
      <c r="Q15" s="25">
        <v>0</v>
      </c>
      <c r="R15" s="25"/>
      <c r="S15" s="25"/>
      <c r="T15" s="25">
        <v>0</v>
      </c>
      <c r="U15" s="25"/>
      <c r="V15" s="25"/>
      <c r="W15" s="25">
        <v>0</v>
      </c>
      <c r="X15" s="25"/>
      <c r="Y15" s="25"/>
      <c r="Z15" s="25">
        <v>0</v>
      </c>
      <c r="AA15" s="25"/>
      <c r="AB15" s="25"/>
      <c r="AC15" s="25">
        <v>0</v>
      </c>
      <c r="AD15" s="25"/>
      <c r="AE15" s="25"/>
      <c r="AF15" s="25">
        <v>0</v>
      </c>
      <c r="AG15" s="25"/>
      <c r="AH15" s="25"/>
      <c r="AI15" s="25">
        <v>0</v>
      </c>
      <c r="AJ15" s="25"/>
      <c r="AK15" s="25"/>
      <c r="AL15" s="25"/>
      <c r="AM15" s="25"/>
      <c r="AN15" s="25"/>
      <c r="AO15" s="25"/>
      <c r="AP15" s="25"/>
      <c r="AQ15" s="25"/>
      <c r="AR15" s="25"/>
      <c r="AS15" s="25"/>
      <c r="AT15" s="25"/>
      <c r="AU15" s="25">
        <v>0</v>
      </c>
      <c r="AV15" s="25"/>
      <c r="AW15" s="25"/>
      <c r="AX15" s="25"/>
      <c r="AY15" s="25"/>
      <c r="AZ15" s="25"/>
      <c r="BA15" s="25">
        <v>0</v>
      </c>
      <c r="BB15" s="25"/>
      <c r="BC15" s="25"/>
      <c r="BD15" s="25">
        <v>0</v>
      </c>
      <c r="BE15" s="25"/>
      <c r="BF15" s="25"/>
      <c r="BG15" s="25"/>
      <c r="BH15" s="25"/>
      <c r="BI15" s="25"/>
      <c r="BJ15" s="25"/>
      <c r="BK15" s="25"/>
      <c r="BL15" s="25"/>
      <c r="BM15" s="25"/>
      <c r="BN15" s="25"/>
      <c r="BO15" s="25"/>
      <c r="BP15" s="25"/>
      <c r="BQ15" s="25"/>
      <c r="BR15" s="25"/>
      <c r="BS15" s="25"/>
      <c r="BT15" s="25"/>
      <c r="BU15" s="25"/>
      <c r="BV15" s="25"/>
      <c r="BW15" s="25"/>
      <c r="BX15" s="25"/>
      <c r="BY15" s="25">
        <v>0</v>
      </c>
      <c r="BZ15" s="25"/>
      <c r="CA15" s="25"/>
      <c r="CB15" s="25">
        <v>0</v>
      </c>
      <c r="CC15" s="25"/>
      <c r="CD15" s="25"/>
      <c r="CE15" s="863">
        <f>20000000+50000000</f>
        <v>70000000</v>
      </c>
      <c r="CF15" s="111">
        <v>69601700</v>
      </c>
      <c r="CG15" s="111">
        <v>69601700</v>
      </c>
      <c r="CH15" s="31"/>
      <c r="CI15" s="31"/>
      <c r="CJ15" s="31"/>
      <c r="CK15" s="25">
        <v>0</v>
      </c>
      <c r="CL15" s="26"/>
      <c r="CM15" s="26"/>
      <c r="CN15" s="26">
        <v>0</v>
      </c>
      <c r="CO15" s="26"/>
      <c r="CP15" s="26"/>
      <c r="CQ15" s="26"/>
      <c r="CR15" s="26"/>
      <c r="CS15" s="26"/>
      <c r="CT15" s="25">
        <f t="shared" si="0"/>
        <v>70000000</v>
      </c>
      <c r="CU15" s="25">
        <f t="shared" si="0"/>
        <v>69601700</v>
      </c>
      <c r="CV15" s="25">
        <f t="shared" si="0"/>
        <v>69601700</v>
      </c>
    </row>
    <row r="16" spans="1:100" s="27" customFormat="1" ht="42.75" x14ac:dyDescent="0.25">
      <c r="A16" s="21"/>
      <c r="B16" s="19"/>
      <c r="C16" s="927"/>
      <c r="D16" s="928"/>
      <c r="E16" s="929"/>
      <c r="F16" s="929"/>
      <c r="G16" s="29"/>
      <c r="H16" s="929">
        <v>281</v>
      </c>
      <c r="I16" s="928" t="s">
        <v>48</v>
      </c>
      <c r="J16" s="30">
        <v>0</v>
      </c>
      <c r="K16" s="30">
        <v>1</v>
      </c>
      <c r="L16" s="30">
        <v>1</v>
      </c>
      <c r="M16" s="1020"/>
      <c r="N16" s="1088"/>
      <c r="O16" s="1020"/>
      <c r="P16" s="929" t="s">
        <v>38</v>
      </c>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863">
        <f>20000000+50000000</f>
        <v>70000000</v>
      </c>
      <c r="CF16" s="111">
        <v>38669334</v>
      </c>
      <c r="CG16" s="111">
        <v>38669334</v>
      </c>
      <c r="CH16" s="31"/>
      <c r="CI16" s="31"/>
      <c r="CJ16" s="31"/>
      <c r="CK16" s="25"/>
      <c r="CL16" s="26"/>
      <c r="CM16" s="26"/>
      <c r="CN16" s="26"/>
      <c r="CO16" s="26"/>
      <c r="CP16" s="26"/>
      <c r="CQ16" s="26"/>
      <c r="CR16" s="26"/>
      <c r="CS16" s="26"/>
      <c r="CT16" s="25">
        <f t="shared" si="0"/>
        <v>70000000</v>
      </c>
      <c r="CU16" s="25">
        <f t="shared" si="0"/>
        <v>38669334</v>
      </c>
      <c r="CV16" s="25">
        <f t="shared" si="0"/>
        <v>38669334</v>
      </c>
    </row>
    <row r="17" spans="1:100" s="27" customFormat="1" ht="42.75" x14ac:dyDescent="0.25">
      <c r="A17" s="21"/>
      <c r="B17" s="19"/>
      <c r="C17" s="927"/>
      <c r="D17" s="928"/>
      <c r="E17" s="929"/>
      <c r="F17" s="929"/>
      <c r="G17" s="29"/>
      <c r="H17" s="929">
        <v>286</v>
      </c>
      <c r="I17" s="928" t="s">
        <v>49</v>
      </c>
      <c r="J17" s="23">
        <v>1</v>
      </c>
      <c r="K17" s="23">
        <v>1</v>
      </c>
      <c r="L17" s="23">
        <v>0.02</v>
      </c>
      <c r="M17" s="1020"/>
      <c r="N17" s="1088"/>
      <c r="O17" s="1020"/>
      <c r="P17" s="929" t="s">
        <v>34</v>
      </c>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863">
        <f>40000000+100000000</f>
        <v>140000000</v>
      </c>
      <c r="CF17" s="111">
        <v>2640000</v>
      </c>
      <c r="CG17" s="111">
        <v>2640000</v>
      </c>
      <c r="CH17" s="31"/>
      <c r="CI17" s="31"/>
      <c r="CJ17" s="31"/>
      <c r="CK17" s="25"/>
      <c r="CL17" s="26"/>
      <c r="CM17" s="26"/>
      <c r="CN17" s="26"/>
      <c r="CO17" s="26"/>
      <c r="CP17" s="26"/>
      <c r="CQ17" s="26"/>
      <c r="CR17" s="26"/>
      <c r="CS17" s="26"/>
      <c r="CT17" s="25">
        <f t="shared" si="0"/>
        <v>140000000</v>
      </c>
      <c r="CU17" s="25">
        <f t="shared" si="0"/>
        <v>2640000</v>
      </c>
      <c r="CV17" s="25">
        <f t="shared" si="0"/>
        <v>2640000</v>
      </c>
    </row>
    <row r="18" spans="1:100" s="27" customFormat="1" ht="42.75" x14ac:dyDescent="0.25">
      <c r="A18" s="21"/>
      <c r="B18" s="19"/>
      <c r="C18" s="927"/>
      <c r="D18" s="928"/>
      <c r="E18" s="929"/>
      <c r="F18" s="929"/>
      <c r="G18" s="29"/>
      <c r="H18" s="929">
        <v>287</v>
      </c>
      <c r="I18" s="928" t="s">
        <v>50</v>
      </c>
      <c r="J18" s="23">
        <v>1</v>
      </c>
      <c r="K18" s="23">
        <v>1</v>
      </c>
      <c r="L18" s="23">
        <v>1</v>
      </c>
      <c r="M18" s="1020"/>
      <c r="N18" s="1088"/>
      <c r="O18" s="1020"/>
      <c r="P18" s="929" t="s">
        <v>38</v>
      </c>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863">
        <v>257642633</v>
      </c>
      <c r="CF18" s="111">
        <v>226343000</v>
      </c>
      <c r="CG18" s="111">
        <v>226343000</v>
      </c>
      <c r="CH18" s="31"/>
      <c r="CI18" s="31"/>
      <c r="CJ18" s="31"/>
      <c r="CK18" s="25"/>
      <c r="CL18" s="26"/>
      <c r="CM18" s="26"/>
      <c r="CN18" s="26"/>
      <c r="CO18" s="26"/>
      <c r="CP18" s="26"/>
      <c r="CQ18" s="26"/>
      <c r="CR18" s="26"/>
      <c r="CS18" s="26"/>
      <c r="CT18" s="25">
        <f t="shared" si="0"/>
        <v>257642633</v>
      </c>
      <c r="CU18" s="25">
        <f t="shared" si="0"/>
        <v>226343000</v>
      </c>
      <c r="CV18" s="25">
        <f t="shared" si="0"/>
        <v>226343000</v>
      </c>
    </row>
    <row r="19" spans="1:100" s="27" customFormat="1" ht="63" customHeight="1" x14ac:dyDescent="0.25">
      <c r="A19" s="21"/>
      <c r="B19" s="19"/>
      <c r="C19" s="927"/>
      <c r="D19" s="928"/>
      <c r="E19" s="929"/>
      <c r="F19" s="929"/>
      <c r="G19" s="29"/>
      <c r="H19" s="929">
        <v>289</v>
      </c>
      <c r="I19" s="928" t="s">
        <v>891</v>
      </c>
      <c r="J19" s="23" t="s">
        <v>30</v>
      </c>
      <c r="K19" s="23">
        <v>1</v>
      </c>
      <c r="L19" s="23">
        <v>0</v>
      </c>
      <c r="M19" s="1013"/>
      <c r="N19" s="1089"/>
      <c r="O19" s="1013"/>
      <c r="P19" s="929" t="s">
        <v>34</v>
      </c>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863">
        <f>1500000000-100000000</f>
        <v>1400000000</v>
      </c>
      <c r="CF19" s="111">
        <v>0</v>
      </c>
      <c r="CG19" s="111">
        <v>0</v>
      </c>
      <c r="CH19" s="31"/>
      <c r="CI19" s="31"/>
      <c r="CJ19" s="31"/>
      <c r="CK19" s="25"/>
      <c r="CL19" s="26"/>
      <c r="CM19" s="26"/>
      <c r="CN19" s="26"/>
      <c r="CO19" s="26"/>
      <c r="CP19" s="26"/>
      <c r="CQ19" s="26"/>
      <c r="CR19" s="26"/>
      <c r="CS19" s="26"/>
      <c r="CT19" s="25">
        <f t="shared" si="0"/>
        <v>1400000000</v>
      </c>
      <c r="CU19" s="25">
        <f t="shared" si="0"/>
        <v>0</v>
      </c>
      <c r="CV19" s="25">
        <f t="shared" si="0"/>
        <v>0</v>
      </c>
    </row>
    <row r="20" spans="1:100" ht="15" x14ac:dyDescent="0.25">
      <c r="A20" s="21"/>
      <c r="B20" s="152"/>
      <c r="C20" s="927"/>
      <c r="D20" s="153"/>
      <c r="E20" s="581"/>
      <c r="F20" s="581"/>
      <c r="G20" s="154"/>
      <c r="H20" s="155"/>
      <c r="I20" s="154"/>
      <c r="J20" s="156"/>
      <c r="K20" s="156"/>
      <c r="L20" s="156"/>
      <c r="M20" s="156"/>
      <c r="N20" s="157"/>
      <c r="O20" s="154"/>
      <c r="P20" s="155"/>
      <c r="Q20" s="158">
        <f>SUM(Q11:Q19)</f>
        <v>0</v>
      </c>
      <c r="R20" s="158">
        <f t="shared" ref="R20:CC20" si="1">SUM(R11:R19)</f>
        <v>0</v>
      </c>
      <c r="S20" s="158">
        <f t="shared" si="1"/>
        <v>0</v>
      </c>
      <c r="T20" s="158">
        <f t="shared" si="1"/>
        <v>0</v>
      </c>
      <c r="U20" s="158">
        <f t="shared" si="1"/>
        <v>0</v>
      </c>
      <c r="V20" s="158">
        <f t="shared" si="1"/>
        <v>0</v>
      </c>
      <c r="W20" s="158">
        <f t="shared" si="1"/>
        <v>0</v>
      </c>
      <c r="X20" s="158">
        <f t="shared" si="1"/>
        <v>0</v>
      </c>
      <c r="Y20" s="158">
        <f t="shared" si="1"/>
        <v>0</v>
      </c>
      <c r="Z20" s="158">
        <f t="shared" si="1"/>
        <v>0</v>
      </c>
      <c r="AA20" s="158">
        <f t="shared" si="1"/>
        <v>0</v>
      </c>
      <c r="AB20" s="158">
        <f t="shared" si="1"/>
        <v>0</v>
      </c>
      <c r="AC20" s="158">
        <f t="shared" si="1"/>
        <v>0</v>
      </c>
      <c r="AD20" s="158">
        <f t="shared" si="1"/>
        <v>0</v>
      </c>
      <c r="AE20" s="158">
        <f t="shared" si="1"/>
        <v>0</v>
      </c>
      <c r="AF20" s="158">
        <f t="shared" si="1"/>
        <v>0</v>
      </c>
      <c r="AG20" s="158">
        <f t="shared" si="1"/>
        <v>0</v>
      </c>
      <c r="AH20" s="158">
        <f t="shared" si="1"/>
        <v>0</v>
      </c>
      <c r="AI20" s="158">
        <f t="shared" si="1"/>
        <v>0</v>
      </c>
      <c r="AJ20" s="158">
        <f t="shared" si="1"/>
        <v>0</v>
      </c>
      <c r="AK20" s="158">
        <f t="shared" si="1"/>
        <v>0</v>
      </c>
      <c r="AL20" s="158">
        <f t="shared" si="1"/>
        <v>0</v>
      </c>
      <c r="AM20" s="158">
        <f t="shared" si="1"/>
        <v>0</v>
      </c>
      <c r="AN20" s="158">
        <f t="shared" si="1"/>
        <v>0</v>
      </c>
      <c r="AO20" s="158">
        <f t="shared" si="1"/>
        <v>0</v>
      </c>
      <c r="AP20" s="158">
        <f t="shared" si="1"/>
        <v>0</v>
      </c>
      <c r="AQ20" s="158">
        <f t="shared" si="1"/>
        <v>0</v>
      </c>
      <c r="AR20" s="158">
        <f t="shared" si="1"/>
        <v>0</v>
      </c>
      <c r="AS20" s="158">
        <f t="shared" si="1"/>
        <v>0</v>
      </c>
      <c r="AT20" s="158">
        <f t="shared" si="1"/>
        <v>0</v>
      </c>
      <c r="AU20" s="158">
        <f t="shared" si="1"/>
        <v>0</v>
      </c>
      <c r="AV20" s="158">
        <f t="shared" si="1"/>
        <v>0</v>
      </c>
      <c r="AW20" s="158">
        <f t="shared" si="1"/>
        <v>0</v>
      </c>
      <c r="AX20" s="158">
        <f t="shared" si="1"/>
        <v>0</v>
      </c>
      <c r="AY20" s="158">
        <f t="shared" si="1"/>
        <v>0</v>
      </c>
      <c r="AZ20" s="158">
        <f t="shared" si="1"/>
        <v>0</v>
      </c>
      <c r="BA20" s="158">
        <f t="shared" si="1"/>
        <v>0</v>
      </c>
      <c r="BB20" s="158">
        <f t="shared" si="1"/>
        <v>0</v>
      </c>
      <c r="BC20" s="158">
        <f t="shared" si="1"/>
        <v>0</v>
      </c>
      <c r="BD20" s="158">
        <f t="shared" si="1"/>
        <v>0</v>
      </c>
      <c r="BE20" s="158">
        <f t="shared" si="1"/>
        <v>0</v>
      </c>
      <c r="BF20" s="158">
        <f t="shared" si="1"/>
        <v>0</v>
      </c>
      <c r="BG20" s="158">
        <f t="shared" si="1"/>
        <v>0</v>
      </c>
      <c r="BH20" s="158">
        <f t="shared" si="1"/>
        <v>0</v>
      </c>
      <c r="BI20" s="158">
        <f t="shared" si="1"/>
        <v>0</v>
      </c>
      <c r="BJ20" s="158">
        <f t="shared" si="1"/>
        <v>0</v>
      </c>
      <c r="BK20" s="158">
        <f t="shared" si="1"/>
        <v>0</v>
      </c>
      <c r="BL20" s="158">
        <f t="shared" si="1"/>
        <v>0</v>
      </c>
      <c r="BM20" s="158">
        <f t="shared" si="1"/>
        <v>0</v>
      </c>
      <c r="BN20" s="158">
        <f t="shared" si="1"/>
        <v>0</v>
      </c>
      <c r="BO20" s="158">
        <f t="shared" si="1"/>
        <v>0</v>
      </c>
      <c r="BP20" s="158">
        <f t="shared" si="1"/>
        <v>0</v>
      </c>
      <c r="BQ20" s="158">
        <f t="shared" si="1"/>
        <v>0</v>
      </c>
      <c r="BR20" s="158">
        <f t="shared" si="1"/>
        <v>0</v>
      </c>
      <c r="BS20" s="158">
        <f t="shared" si="1"/>
        <v>0</v>
      </c>
      <c r="BT20" s="158">
        <f t="shared" si="1"/>
        <v>0</v>
      </c>
      <c r="BU20" s="158">
        <f t="shared" si="1"/>
        <v>0</v>
      </c>
      <c r="BV20" s="158">
        <f t="shared" si="1"/>
        <v>0</v>
      </c>
      <c r="BW20" s="158">
        <f t="shared" si="1"/>
        <v>0</v>
      </c>
      <c r="BX20" s="158">
        <f t="shared" si="1"/>
        <v>0</v>
      </c>
      <c r="BY20" s="158">
        <f t="shared" si="1"/>
        <v>0</v>
      </c>
      <c r="BZ20" s="158">
        <f t="shared" si="1"/>
        <v>0</v>
      </c>
      <c r="CA20" s="158">
        <f t="shared" si="1"/>
        <v>0</v>
      </c>
      <c r="CB20" s="158">
        <f t="shared" si="1"/>
        <v>0</v>
      </c>
      <c r="CC20" s="158">
        <f t="shared" si="1"/>
        <v>0</v>
      </c>
      <c r="CD20" s="158">
        <f t="shared" ref="CD20:CS20" si="2">SUM(CD11:CD19)</f>
        <v>0</v>
      </c>
      <c r="CE20" s="394">
        <f t="shared" si="2"/>
        <v>2154647401</v>
      </c>
      <c r="CF20" s="158">
        <f t="shared" si="2"/>
        <v>543010510</v>
      </c>
      <c r="CG20" s="158">
        <f t="shared" si="2"/>
        <v>478535510</v>
      </c>
      <c r="CH20" s="158">
        <f t="shared" si="2"/>
        <v>0</v>
      </c>
      <c r="CI20" s="158">
        <f t="shared" si="2"/>
        <v>0</v>
      </c>
      <c r="CJ20" s="158">
        <f t="shared" si="2"/>
        <v>0</v>
      </c>
      <c r="CK20" s="158">
        <f t="shared" si="2"/>
        <v>0</v>
      </c>
      <c r="CL20" s="158">
        <f t="shared" si="2"/>
        <v>0</v>
      </c>
      <c r="CM20" s="158">
        <f t="shared" si="2"/>
        <v>0</v>
      </c>
      <c r="CN20" s="158">
        <f t="shared" si="2"/>
        <v>0</v>
      </c>
      <c r="CO20" s="158">
        <f t="shared" si="2"/>
        <v>0</v>
      </c>
      <c r="CP20" s="158">
        <f t="shared" si="2"/>
        <v>0</v>
      </c>
      <c r="CQ20" s="158">
        <f t="shared" si="2"/>
        <v>0</v>
      </c>
      <c r="CR20" s="158">
        <f t="shared" si="2"/>
        <v>0</v>
      </c>
      <c r="CS20" s="158">
        <f t="shared" si="2"/>
        <v>0</v>
      </c>
      <c r="CT20" s="158">
        <f>SUM(CT11:CT19)</f>
        <v>2154647401</v>
      </c>
      <c r="CU20" s="158">
        <f>SUM(CU11:CU19)</f>
        <v>543010510</v>
      </c>
      <c r="CV20" s="158">
        <f>SUM(CV11:CV19)</f>
        <v>478535510</v>
      </c>
    </row>
    <row r="21" spans="1:100" ht="15" x14ac:dyDescent="0.25">
      <c r="A21" s="160"/>
      <c r="B21" s="161"/>
      <c r="C21" s="162"/>
      <c r="D21" s="161"/>
      <c r="E21" s="162"/>
      <c r="F21" s="162"/>
      <c r="G21" s="161"/>
      <c r="H21" s="162"/>
      <c r="I21" s="161"/>
      <c r="J21" s="163"/>
      <c r="K21" s="163"/>
      <c r="L21" s="163"/>
      <c r="M21" s="163"/>
      <c r="N21" s="164"/>
      <c r="O21" s="161"/>
      <c r="P21" s="162"/>
      <c r="Q21" s="165">
        <f>Q20</f>
        <v>0</v>
      </c>
      <c r="R21" s="165">
        <f t="shared" ref="R21:CC21" si="3">R20</f>
        <v>0</v>
      </c>
      <c r="S21" s="165">
        <f t="shared" si="3"/>
        <v>0</v>
      </c>
      <c r="T21" s="165">
        <f t="shared" si="3"/>
        <v>0</v>
      </c>
      <c r="U21" s="165">
        <f t="shared" si="3"/>
        <v>0</v>
      </c>
      <c r="V21" s="165">
        <f t="shared" si="3"/>
        <v>0</v>
      </c>
      <c r="W21" s="165">
        <f t="shared" si="3"/>
        <v>0</v>
      </c>
      <c r="X21" s="165">
        <f t="shared" si="3"/>
        <v>0</v>
      </c>
      <c r="Y21" s="165">
        <f t="shared" si="3"/>
        <v>0</v>
      </c>
      <c r="Z21" s="165">
        <f t="shared" si="3"/>
        <v>0</v>
      </c>
      <c r="AA21" s="165">
        <f t="shared" si="3"/>
        <v>0</v>
      </c>
      <c r="AB21" s="165">
        <f t="shared" si="3"/>
        <v>0</v>
      </c>
      <c r="AC21" s="165">
        <f t="shared" si="3"/>
        <v>0</v>
      </c>
      <c r="AD21" s="165">
        <f t="shared" si="3"/>
        <v>0</v>
      </c>
      <c r="AE21" s="165">
        <f t="shared" si="3"/>
        <v>0</v>
      </c>
      <c r="AF21" s="165">
        <f t="shared" si="3"/>
        <v>0</v>
      </c>
      <c r="AG21" s="165">
        <f t="shared" si="3"/>
        <v>0</v>
      </c>
      <c r="AH21" s="165">
        <f t="shared" si="3"/>
        <v>0</v>
      </c>
      <c r="AI21" s="165">
        <f t="shared" si="3"/>
        <v>0</v>
      </c>
      <c r="AJ21" s="165">
        <f t="shared" si="3"/>
        <v>0</v>
      </c>
      <c r="AK21" s="165">
        <f t="shared" si="3"/>
        <v>0</v>
      </c>
      <c r="AL21" s="165">
        <f t="shared" si="3"/>
        <v>0</v>
      </c>
      <c r="AM21" s="165">
        <f t="shared" si="3"/>
        <v>0</v>
      </c>
      <c r="AN21" s="165">
        <f t="shared" si="3"/>
        <v>0</v>
      </c>
      <c r="AO21" s="165">
        <f t="shared" si="3"/>
        <v>0</v>
      </c>
      <c r="AP21" s="165">
        <f t="shared" si="3"/>
        <v>0</v>
      </c>
      <c r="AQ21" s="165">
        <f t="shared" si="3"/>
        <v>0</v>
      </c>
      <c r="AR21" s="165">
        <f t="shared" si="3"/>
        <v>0</v>
      </c>
      <c r="AS21" s="165">
        <f t="shared" si="3"/>
        <v>0</v>
      </c>
      <c r="AT21" s="165">
        <f t="shared" si="3"/>
        <v>0</v>
      </c>
      <c r="AU21" s="165">
        <f t="shared" si="3"/>
        <v>0</v>
      </c>
      <c r="AV21" s="165">
        <f t="shared" si="3"/>
        <v>0</v>
      </c>
      <c r="AW21" s="165">
        <f t="shared" si="3"/>
        <v>0</v>
      </c>
      <c r="AX21" s="165">
        <f t="shared" si="3"/>
        <v>0</v>
      </c>
      <c r="AY21" s="165">
        <f t="shared" si="3"/>
        <v>0</v>
      </c>
      <c r="AZ21" s="165">
        <f t="shared" si="3"/>
        <v>0</v>
      </c>
      <c r="BA21" s="165">
        <f t="shared" si="3"/>
        <v>0</v>
      </c>
      <c r="BB21" s="165">
        <f t="shared" si="3"/>
        <v>0</v>
      </c>
      <c r="BC21" s="165">
        <f t="shared" si="3"/>
        <v>0</v>
      </c>
      <c r="BD21" s="165">
        <f t="shared" si="3"/>
        <v>0</v>
      </c>
      <c r="BE21" s="165">
        <f t="shared" si="3"/>
        <v>0</v>
      </c>
      <c r="BF21" s="165">
        <f t="shared" si="3"/>
        <v>0</v>
      </c>
      <c r="BG21" s="165">
        <f t="shared" si="3"/>
        <v>0</v>
      </c>
      <c r="BH21" s="165">
        <f t="shared" si="3"/>
        <v>0</v>
      </c>
      <c r="BI21" s="165">
        <f t="shared" si="3"/>
        <v>0</v>
      </c>
      <c r="BJ21" s="165">
        <f t="shared" si="3"/>
        <v>0</v>
      </c>
      <c r="BK21" s="165">
        <f t="shared" si="3"/>
        <v>0</v>
      </c>
      <c r="BL21" s="165">
        <f t="shared" si="3"/>
        <v>0</v>
      </c>
      <c r="BM21" s="165">
        <f t="shared" si="3"/>
        <v>0</v>
      </c>
      <c r="BN21" s="165">
        <f t="shared" si="3"/>
        <v>0</v>
      </c>
      <c r="BO21" s="165">
        <f t="shared" si="3"/>
        <v>0</v>
      </c>
      <c r="BP21" s="165">
        <f t="shared" si="3"/>
        <v>0</v>
      </c>
      <c r="BQ21" s="165">
        <f t="shared" si="3"/>
        <v>0</v>
      </c>
      <c r="BR21" s="165">
        <f t="shared" si="3"/>
        <v>0</v>
      </c>
      <c r="BS21" s="165">
        <f t="shared" si="3"/>
        <v>0</v>
      </c>
      <c r="BT21" s="165">
        <f t="shared" si="3"/>
        <v>0</v>
      </c>
      <c r="BU21" s="165">
        <f t="shared" si="3"/>
        <v>0</v>
      </c>
      <c r="BV21" s="165">
        <f t="shared" si="3"/>
        <v>0</v>
      </c>
      <c r="BW21" s="165">
        <f t="shared" si="3"/>
        <v>0</v>
      </c>
      <c r="BX21" s="165">
        <f t="shared" si="3"/>
        <v>0</v>
      </c>
      <c r="BY21" s="165">
        <f t="shared" si="3"/>
        <v>0</v>
      </c>
      <c r="BZ21" s="165">
        <f t="shared" si="3"/>
        <v>0</v>
      </c>
      <c r="CA21" s="165">
        <f t="shared" si="3"/>
        <v>0</v>
      </c>
      <c r="CB21" s="165">
        <f t="shared" si="3"/>
        <v>0</v>
      </c>
      <c r="CC21" s="165">
        <f t="shared" si="3"/>
        <v>0</v>
      </c>
      <c r="CD21" s="165">
        <f t="shared" ref="CD21:CS21" si="4">CD20</f>
        <v>0</v>
      </c>
      <c r="CE21" s="395">
        <f t="shared" si="4"/>
        <v>2154647401</v>
      </c>
      <c r="CF21" s="165">
        <f t="shared" si="4"/>
        <v>543010510</v>
      </c>
      <c r="CG21" s="165">
        <f t="shared" si="4"/>
        <v>478535510</v>
      </c>
      <c r="CH21" s="165">
        <f t="shared" si="4"/>
        <v>0</v>
      </c>
      <c r="CI21" s="165">
        <f t="shared" si="4"/>
        <v>0</v>
      </c>
      <c r="CJ21" s="165">
        <f t="shared" si="4"/>
        <v>0</v>
      </c>
      <c r="CK21" s="165">
        <f t="shared" si="4"/>
        <v>0</v>
      </c>
      <c r="CL21" s="165">
        <f t="shared" si="4"/>
        <v>0</v>
      </c>
      <c r="CM21" s="165">
        <f t="shared" si="4"/>
        <v>0</v>
      </c>
      <c r="CN21" s="165">
        <f t="shared" si="4"/>
        <v>0</v>
      </c>
      <c r="CO21" s="165">
        <f t="shared" si="4"/>
        <v>0</v>
      </c>
      <c r="CP21" s="165">
        <f t="shared" si="4"/>
        <v>0</v>
      </c>
      <c r="CQ21" s="165">
        <f t="shared" si="4"/>
        <v>0</v>
      </c>
      <c r="CR21" s="165">
        <f t="shared" si="4"/>
        <v>0</v>
      </c>
      <c r="CS21" s="165">
        <f t="shared" si="4"/>
        <v>0</v>
      </c>
      <c r="CT21" s="165">
        <f>CT20</f>
        <v>2154647401</v>
      </c>
      <c r="CU21" s="165">
        <f>CU20</f>
        <v>543010510</v>
      </c>
      <c r="CV21" s="165">
        <f>CV20</f>
        <v>478535510</v>
      </c>
    </row>
    <row r="22" spans="1:100" ht="15" x14ac:dyDescent="0.25">
      <c r="A22" s="166"/>
      <c r="B22" s="166"/>
      <c r="C22" s="167"/>
      <c r="D22" s="166"/>
      <c r="E22" s="167"/>
      <c r="F22" s="167"/>
      <c r="G22" s="166"/>
      <c r="H22" s="167"/>
      <c r="I22" s="166"/>
      <c r="J22" s="168"/>
      <c r="K22" s="168"/>
      <c r="L22" s="168"/>
      <c r="M22" s="168"/>
      <c r="N22" s="169"/>
      <c r="O22" s="166"/>
      <c r="P22" s="167"/>
      <c r="Q22" s="170">
        <f>+Q21</f>
        <v>0</v>
      </c>
      <c r="R22" s="170">
        <f t="shared" ref="R22:CC22" si="5">+R21</f>
        <v>0</v>
      </c>
      <c r="S22" s="170">
        <f t="shared" si="5"/>
        <v>0</v>
      </c>
      <c r="T22" s="170">
        <f t="shared" si="5"/>
        <v>0</v>
      </c>
      <c r="U22" s="170">
        <f t="shared" si="5"/>
        <v>0</v>
      </c>
      <c r="V22" s="170">
        <f t="shared" si="5"/>
        <v>0</v>
      </c>
      <c r="W22" s="170">
        <f t="shared" si="5"/>
        <v>0</v>
      </c>
      <c r="X22" s="170">
        <f t="shared" si="5"/>
        <v>0</v>
      </c>
      <c r="Y22" s="170">
        <f t="shared" si="5"/>
        <v>0</v>
      </c>
      <c r="Z22" s="170">
        <f t="shared" si="5"/>
        <v>0</v>
      </c>
      <c r="AA22" s="170">
        <f t="shared" si="5"/>
        <v>0</v>
      </c>
      <c r="AB22" s="170">
        <f t="shared" si="5"/>
        <v>0</v>
      </c>
      <c r="AC22" s="170">
        <f t="shared" si="5"/>
        <v>0</v>
      </c>
      <c r="AD22" s="170">
        <f t="shared" si="5"/>
        <v>0</v>
      </c>
      <c r="AE22" s="170">
        <f t="shared" si="5"/>
        <v>0</v>
      </c>
      <c r="AF22" s="170">
        <f t="shared" si="5"/>
        <v>0</v>
      </c>
      <c r="AG22" s="170">
        <f t="shared" si="5"/>
        <v>0</v>
      </c>
      <c r="AH22" s="170">
        <f t="shared" si="5"/>
        <v>0</v>
      </c>
      <c r="AI22" s="170">
        <f t="shared" si="5"/>
        <v>0</v>
      </c>
      <c r="AJ22" s="170">
        <f t="shared" si="5"/>
        <v>0</v>
      </c>
      <c r="AK22" s="170">
        <f t="shared" si="5"/>
        <v>0</v>
      </c>
      <c r="AL22" s="170">
        <f t="shared" si="5"/>
        <v>0</v>
      </c>
      <c r="AM22" s="170">
        <f t="shared" si="5"/>
        <v>0</v>
      </c>
      <c r="AN22" s="170">
        <f t="shared" si="5"/>
        <v>0</v>
      </c>
      <c r="AO22" s="170">
        <f t="shared" si="5"/>
        <v>0</v>
      </c>
      <c r="AP22" s="170">
        <f t="shared" si="5"/>
        <v>0</v>
      </c>
      <c r="AQ22" s="170">
        <f t="shared" si="5"/>
        <v>0</v>
      </c>
      <c r="AR22" s="170">
        <f t="shared" si="5"/>
        <v>0</v>
      </c>
      <c r="AS22" s="170">
        <f t="shared" si="5"/>
        <v>0</v>
      </c>
      <c r="AT22" s="170">
        <f t="shared" si="5"/>
        <v>0</v>
      </c>
      <c r="AU22" s="170">
        <f t="shared" si="5"/>
        <v>0</v>
      </c>
      <c r="AV22" s="170">
        <f t="shared" si="5"/>
        <v>0</v>
      </c>
      <c r="AW22" s="170">
        <f t="shared" si="5"/>
        <v>0</v>
      </c>
      <c r="AX22" s="170">
        <f t="shared" si="5"/>
        <v>0</v>
      </c>
      <c r="AY22" s="170">
        <f t="shared" si="5"/>
        <v>0</v>
      </c>
      <c r="AZ22" s="170">
        <f t="shared" si="5"/>
        <v>0</v>
      </c>
      <c r="BA22" s="170">
        <f t="shared" si="5"/>
        <v>0</v>
      </c>
      <c r="BB22" s="170">
        <f t="shared" si="5"/>
        <v>0</v>
      </c>
      <c r="BC22" s="170">
        <f t="shared" si="5"/>
        <v>0</v>
      </c>
      <c r="BD22" s="170">
        <f t="shared" si="5"/>
        <v>0</v>
      </c>
      <c r="BE22" s="170">
        <f t="shared" si="5"/>
        <v>0</v>
      </c>
      <c r="BF22" s="170">
        <f t="shared" si="5"/>
        <v>0</v>
      </c>
      <c r="BG22" s="170">
        <f t="shared" si="5"/>
        <v>0</v>
      </c>
      <c r="BH22" s="170">
        <f t="shared" si="5"/>
        <v>0</v>
      </c>
      <c r="BI22" s="170">
        <f t="shared" si="5"/>
        <v>0</v>
      </c>
      <c r="BJ22" s="170">
        <f t="shared" si="5"/>
        <v>0</v>
      </c>
      <c r="BK22" s="170">
        <f t="shared" si="5"/>
        <v>0</v>
      </c>
      <c r="BL22" s="170">
        <f t="shared" si="5"/>
        <v>0</v>
      </c>
      <c r="BM22" s="170">
        <f t="shared" si="5"/>
        <v>0</v>
      </c>
      <c r="BN22" s="170">
        <f t="shared" si="5"/>
        <v>0</v>
      </c>
      <c r="BO22" s="170">
        <f t="shared" si="5"/>
        <v>0</v>
      </c>
      <c r="BP22" s="170">
        <f t="shared" si="5"/>
        <v>0</v>
      </c>
      <c r="BQ22" s="170">
        <f t="shared" si="5"/>
        <v>0</v>
      </c>
      <c r="BR22" s="170">
        <f t="shared" si="5"/>
        <v>0</v>
      </c>
      <c r="BS22" s="170">
        <f t="shared" si="5"/>
        <v>0</v>
      </c>
      <c r="BT22" s="170">
        <f t="shared" si="5"/>
        <v>0</v>
      </c>
      <c r="BU22" s="170">
        <f t="shared" si="5"/>
        <v>0</v>
      </c>
      <c r="BV22" s="170">
        <f t="shared" si="5"/>
        <v>0</v>
      </c>
      <c r="BW22" s="170">
        <f t="shared" si="5"/>
        <v>0</v>
      </c>
      <c r="BX22" s="170">
        <f t="shared" si="5"/>
        <v>0</v>
      </c>
      <c r="BY22" s="170">
        <f t="shared" si="5"/>
        <v>0</v>
      </c>
      <c r="BZ22" s="170">
        <f t="shared" si="5"/>
        <v>0</v>
      </c>
      <c r="CA22" s="170">
        <f t="shared" si="5"/>
        <v>0</v>
      </c>
      <c r="CB22" s="170">
        <f t="shared" si="5"/>
        <v>0</v>
      </c>
      <c r="CC22" s="170">
        <f t="shared" si="5"/>
        <v>0</v>
      </c>
      <c r="CD22" s="170">
        <f t="shared" ref="CD22:CS22" si="6">+CD21</f>
        <v>0</v>
      </c>
      <c r="CE22" s="740">
        <f t="shared" si="6"/>
        <v>2154647401</v>
      </c>
      <c r="CF22" s="170">
        <f t="shared" si="6"/>
        <v>543010510</v>
      </c>
      <c r="CG22" s="170">
        <f t="shared" si="6"/>
        <v>478535510</v>
      </c>
      <c r="CH22" s="170">
        <f t="shared" si="6"/>
        <v>0</v>
      </c>
      <c r="CI22" s="170">
        <f t="shared" si="6"/>
        <v>0</v>
      </c>
      <c r="CJ22" s="170">
        <f t="shared" si="6"/>
        <v>0</v>
      </c>
      <c r="CK22" s="170">
        <f t="shared" si="6"/>
        <v>0</v>
      </c>
      <c r="CL22" s="170">
        <f t="shared" si="6"/>
        <v>0</v>
      </c>
      <c r="CM22" s="170">
        <f t="shared" si="6"/>
        <v>0</v>
      </c>
      <c r="CN22" s="170">
        <f t="shared" si="6"/>
        <v>0</v>
      </c>
      <c r="CO22" s="170">
        <f t="shared" si="6"/>
        <v>0</v>
      </c>
      <c r="CP22" s="170">
        <f t="shared" si="6"/>
        <v>0</v>
      </c>
      <c r="CQ22" s="170">
        <f t="shared" si="6"/>
        <v>0</v>
      </c>
      <c r="CR22" s="170">
        <f t="shared" si="6"/>
        <v>0</v>
      </c>
      <c r="CS22" s="170">
        <f t="shared" si="6"/>
        <v>0</v>
      </c>
      <c r="CT22" s="170">
        <f>+CT21</f>
        <v>2154647401</v>
      </c>
      <c r="CU22" s="170">
        <f>+CU21</f>
        <v>543010510</v>
      </c>
      <c r="CV22" s="170">
        <f>+CV21</f>
        <v>478535510</v>
      </c>
    </row>
    <row r="23" spans="1:100" ht="15" x14ac:dyDescent="0.25">
      <c r="A23" s="171"/>
      <c r="B23" s="171"/>
      <c r="C23" s="172"/>
      <c r="D23" s="171"/>
      <c r="E23" s="172"/>
      <c r="F23" s="172"/>
      <c r="G23" s="171"/>
      <c r="H23" s="172"/>
      <c r="I23" s="171"/>
      <c r="J23" s="173"/>
      <c r="K23" s="173"/>
      <c r="L23" s="173"/>
      <c r="M23" s="173"/>
      <c r="N23" s="174"/>
      <c r="O23" s="171"/>
      <c r="P23" s="172"/>
      <c r="Q23" s="175">
        <f>Q22</f>
        <v>0</v>
      </c>
      <c r="R23" s="175">
        <f t="shared" ref="R23:CC23" si="7">R22</f>
        <v>0</v>
      </c>
      <c r="S23" s="175">
        <f t="shared" si="7"/>
        <v>0</v>
      </c>
      <c r="T23" s="175">
        <f t="shared" si="7"/>
        <v>0</v>
      </c>
      <c r="U23" s="175">
        <f t="shared" si="7"/>
        <v>0</v>
      </c>
      <c r="V23" s="175">
        <f t="shared" si="7"/>
        <v>0</v>
      </c>
      <c r="W23" s="175">
        <f t="shared" si="7"/>
        <v>0</v>
      </c>
      <c r="X23" s="175">
        <f t="shared" si="7"/>
        <v>0</v>
      </c>
      <c r="Y23" s="175">
        <f t="shared" si="7"/>
        <v>0</v>
      </c>
      <c r="Z23" s="175">
        <f t="shared" si="7"/>
        <v>0</v>
      </c>
      <c r="AA23" s="175">
        <f t="shared" si="7"/>
        <v>0</v>
      </c>
      <c r="AB23" s="175">
        <f t="shared" si="7"/>
        <v>0</v>
      </c>
      <c r="AC23" s="175">
        <f t="shared" si="7"/>
        <v>0</v>
      </c>
      <c r="AD23" s="175">
        <f t="shared" si="7"/>
        <v>0</v>
      </c>
      <c r="AE23" s="175">
        <f t="shared" si="7"/>
        <v>0</v>
      </c>
      <c r="AF23" s="175">
        <f t="shared" si="7"/>
        <v>0</v>
      </c>
      <c r="AG23" s="175">
        <f t="shared" si="7"/>
        <v>0</v>
      </c>
      <c r="AH23" s="175">
        <f t="shared" si="7"/>
        <v>0</v>
      </c>
      <c r="AI23" s="175">
        <f t="shared" si="7"/>
        <v>0</v>
      </c>
      <c r="AJ23" s="175">
        <f t="shared" si="7"/>
        <v>0</v>
      </c>
      <c r="AK23" s="175">
        <f t="shared" si="7"/>
        <v>0</v>
      </c>
      <c r="AL23" s="175">
        <f t="shared" si="7"/>
        <v>0</v>
      </c>
      <c r="AM23" s="175">
        <f t="shared" si="7"/>
        <v>0</v>
      </c>
      <c r="AN23" s="175">
        <f t="shared" si="7"/>
        <v>0</v>
      </c>
      <c r="AO23" s="175">
        <f t="shared" si="7"/>
        <v>0</v>
      </c>
      <c r="AP23" s="175">
        <f t="shared" si="7"/>
        <v>0</v>
      </c>
      <c r="AQ23" s="175">
        <f t="shared" si="7"/>
        <v>0</v>
      </c>
      <c r="AR23" s="175">
        <f t="shared" si="7"/>
        <v>0</v>
      </c>
      <c r="AS23" s="175">
        <f t="shared" si="7"/>
        <v>0</v>
      </c>
      <c r="AT23" s="175">
        <f t="shared" si="7"/>
        <v>0</v>
      </c>
      <c r="AU23" s="175">
        <f t="shared" si="7"/>
        <v>0</v>
      </c>
      <c r="AV23" s="175">
        <f t="shared" si="7"/>
        <v>0</v>
      </c>
      <c r="AW23" s="175">
        <f t="shared" si="7"/>
        <v>0</v>
      </c>
      <c r="AX23" s="175">
        <f t="shared" si="7"/>
        <v>0</v>
      </c>
      <c r="AY23" s="175">
        <f t="shared" si="7"/>
        <v>0</v>
      </c>
      <c r="AZ23" s="175">
        <f t="shared" si="7"/>
        <v>0</v>
      </c>
      <c r="BA23" s="175">
        <f t="shared" si="7"/>
        <v>0</v>
      </c>
      <c r="BB23" s="175">
        <f t="shared" si="7"/>
        <v>0</v>
      </c>
      <c r="BC23" s="175">
        <f t="shared" si="7"/>
        <v>0</v>
      </c>
      <c r="BD23" s="175">
        <f t="shared" si="7"/>
        <v>0</v>
      </c>
      <c r="BE23" s="175">
        <f t="shared" si="7"/>
        <v>0</v>
      </c>
      <c r="BF23" s="175">
        <f t="shared" si="7"/>
        <v>0</v>
      </c>
      <c r="BG23" s="175">
        <f t="shared" si="7"/>
        <v>0</v>
      </c>
      <c r="BH23" s="175">
        <f t="shared" si="7"/>
        <v>0</v>
      </c>
      <c r="BI23" s="175">
        <f t="shared" si="7"/>
        <v>0</v>
      </c>
      <c r="BJ23" s="175">
        <f t="shared" si="7"/>
        <v>0</v>
      </c>
      <c r="BK23" s="175">
        <f t="shared" si="7"/>
        <v>0</v>
      </c>
      <c r="BL23" s="175">
        <f t="shared" si="7"/>
        <v>0</v>
      </c>
      <c r="BM23" s="175">
        <f t="shared" si="7"/>
        <v>0</v>
      </c>
      <c r="BN23" s="175">
        <f t="shared" si="7"/>
        <v>0</v>
      </c>
      <c r="BO23" s="175">
        <f t="shared" si="7"/>
        <v>0</v>
      </c>
      <c r="BP23" s="175">
        <f t="shared" si="7"/>
        <v>0</v>
      </c>
      <c r="BQ23" s="175">
        <f t="shared" si="7"/>
        <v>0</v>
      </c>
      <c r="BR23" s="175">
        <f t="shared" si="7"/>
        <v>0</v>
      </c>
      <c r="BS23" s="175">
        <f t="shared" si="7"/>
        <v>0</v>
      </c>
      <c r="BT23" s="175">
        <f t="shared" si="7"/>
        <v>0</v>
      </c>
      <c r="BU23" s="175">
        <f t="shared" si="7"/>
        <v>0</v>
      </c>
      <c r="BV23" s="175">
        <f t="shared" si="7"/>
        <v>0</v>
      </c>
      <c r="BW23" s="175">
        <f t="shared" si="7"/>
        <v>0</v>
      </c>
      <c r="BX23" s="175">
        <f t="shared" si="7"/>
        <v>0</v>
      </c>
      <c r="BY23" s="175">
        <f t="shared" si="7"/>
        <v>0</v>
      </c>
      <c r="BZ23" s="175">
        <f t="shared" si="7"/>
        <v>0</v>
      </c>
      <c r="CA23" s="175">
        <f t="shared" si="7"/>
        <v>0</v>
      </c>
      <c r="CB23" s="175">
        <f t="shared" si="7"/>
        <v>0</v>
      </c>
      <c r="CC23" s="175">
        <f t="shared" si="7"/>
        <v>0</v>
      </c>
      <c r="CD23" s="175">
        <f t="shared" ref="CD23:CS23" si="8">CD22</f>
        <v>0</v>
      </c>
      <c r="CE23" s="856">
        <f t="shared" si="8"/>
        <v>2154647401</v>
      </c>
      <c r="CF23" s="175">
        <f t="shared" si="8"/>
        <v>543010510</v>
      </c>
      <c r="CG23" s="175">
        <f t="shared" si="8"/>
        <v>478535510</v>
      </c>
      <c r="CH23" s="175">
        <f t="shared" si="8"/>
        <v>0</v>
      </c>
      <c r="CI23" s="175">
        <f t="shared" si="8"/>
        <v>0</v>
      </c>
      <c r="CJ23" s="175">
        <f t="shared" si="8"/>
        <v>0</v>
      </c>
      <c r="CK23" s="175">
        <f t="shared" si="8"/>
        <v>0</v>
      </c>
      <c r="CL23" s="175">
        <f t="shared" si="8"/>
        <v>0</v>
      </c>
      <c r="CM23" s="175">
        <f t="shared" si="8"/>
        <v>0</v>
      </c>
      <c r="CN23" s="175">
        <f t="shared" si="8"/>
        <v>0</v>
      </c>
      <c r="CO23" s="175">
        <f t="shared" si="8"/>
        <v>0</v>
      </c>
      <c r="CP23" s="175">
        <f t="shared" si="8"/>
        <v>0</v>
      </c>
      <c r="CQ23" s="175">
        <f t="shared" si="8"/>
        <v>0</v>
      </c>
      <c r="CR23" s="175">
        <f t="shared" si="8"/>
        <v>0</v>
      </c>
      <c r="CS23" s="175">
        <f t="shared" si="8"/>
        <v>0</v>
      </c>
      <c r="CT23" s="856">
        <f>CT22</f>
        <v>2154647401</v>
      </c>
      <c r="CU23" s="175">
        <f>CU22</f>
        <v>543010510</v>
      </c>
      <c r="CV23" s="175">
        <f>CV22</f>
        <v>478535510</v>
      </c>
    </row>
    <row r="24" spans="1:100" s="27" customFormat="1" ht="15" x14ac:dyDescent="0.25">
      <c r="A24" s="176"/>
      <c r="B24" s="177"/>
      <c r="C24" s="949"/>
      <c r="D24" s="177"/>
      <c r="E24" s="949"/>
      <c r="F24" s="949"/>
      <c r="G24" s="177"/>
      <c r="H24" s="949"/>
      <c r="I24" s="177"/>
      <c r="J24" s="178"/>
      <c r="K24" s="178"/>
      <c r="L24" s="178"/>
      <c r="M24" s="178"/>
      <c r="N24" s="179"/>
      <c r="O24" s="177"/>
      <c r="P24" s="949"/>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1"/>
      <c r="BH24" s="181"/>
      <c r="BI24" s="181"/>
      <c r="BJ24" s="181"/>
      <c r="BK24" s="181"/>
      <c r="BL24" s="181"/>
      <c r="BM24" s="181"/>
      <c r="BN24" s="181"/>
      <c r="BO24" s="181"/>
      <c r="BP24" s="181"/>
      <c r="BQ24" s="181"/>
      <c r="BR24" s="181"/>
      <c r="BS24" s="181"/>
      <c r="BT24" s="181"/>
      <c r="BU24" s="181"/>
      <c r="BV24" s="181"/>
      <c r="BW24" s="181"/>
      <c r="BX24" s="181"/>
      <c r="BY24" s="180"/>
      <c r="BZ24" s="180"/>
      <c r="CA24" s="180"/>
      <c r="CB24" s="180"/>
      <c r="CC24" s="180"/>
      <c r="CD24" s="180"/>
      <c r="CE24" s="182"/>
      <c r="CF24" s="182"/>
      <c r="CG24" s="182"/>
      <c r="CH24" s="183"/>
      <c r="CI24" s="183"/>
      <c r="CJ24" s="183"/>
      <c r="CK24" s="180"/>
      <c r="CL24" s="180"/>
      <c r="CM24" s="180"/>
      <c r="CN24" s="180"/>
      <c r="CO24" s="180"/>
      <c r="CP24" s="180"/>
      <c r="CQ24" s="180"/>
      <c r="CR24" s="180"/>
      <c r="CS24" s="180"/>
      <c r="CT24" s="970"/>
      <c r="CU24" s="970"/>
      <c r="CV24" s="970"/>
    </row>
    <row r="25" spans="1:100" s="46" customFormat="1" ht="20.25" x14ac:dyDescent="0.25">
      <c r="A25" s="134" t="s">
        <v>51</v>
      </c>
      <c r="B25" s="135"/>
      <c r="C25" s="136"/>
      <c r="D25" s="135"/>
      <c r="E25" s="135"/>
      <c r="F25" s="135"/>
      <c r="G25" s="135"/>
      <c r="H25" s="136"/>
      <c r="I25" s="135"/>
      <c r="J25" s="135"/>
      <c r="K25" s="135"/>
      <c r="L25" s="135"/>
      <c r="M25" s="135"/>
      <c r="N25" s="675"/>
      <c r="O25" s="135"/>
      <c r="P25" s="136"/>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7"/>
      <c r="CF25" s="137"/>
      <c r="CG25" s="137"/>
      <c r="CH25" s="138"/>
      <c r="CI25" s="138"/>
      <c r="CJ25" s="138"/>
      <c r="CK25" s="135"/>
      <c r="CL25" s="135"/>
      <c r="CM25" s="135"/>
      <c r="CN25" s="135"/>
      <c r="CO25" s="135"/>
      <c r="CP25" s="135"/>
      <c r="CQ25" s="135"/>
      <c r="CR25" s="135"/>
      <c r="CS25" s="135"/>
      <c r="CT25" s="566" t="s">
        <v>0</v>
      </c>
      <c r="CU25" s="566" t="s">
        <v>0</v>
      </c>
      <c r="CV25" s="566" t="s">
        <v>0</v>
      </c>
    </row>
    <row r="26" spans="1:100" ht="15" x14ac:dyDescent="0.25">
      <c r="A26" s="139">
        <v>5</v>
      </c>
      <c r="B26" s="140" t="s">
        <v>26</v>
      </c>
      <c r="C26" s="141"/>
      <c r="D26" s="140"/>
      <c r="E26" s="140"/>
      <c r="F26" s="140"/>
      <c r="G26" s="140"/>
      <c r="H26" s="141"/>
      <c r="I26" s="140"/>
      <c r="J26" s="140"/>
      <c r="K26" s="140"/>
      <c r="L26" s="140"/>
      <c r="M26" s="140"/>
      <c r="N26" s="676"/>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2"/>
      <c r="CF26" s="142"/>
      <c r="CG26" s="142"/>
      <c r="CH26" s="140"/>
      <c r="CI26" s="140"/>
      <c r="CJ26" s="140"/>
      <c r="CK26" s="140"/>
      <c r="CL26" s="140"/>
      <c r="CM26" s="140"/>
      <c r="CN26" s="140"/>
      <c r="CO26" s="140"/>
      <c r="CP26" s="140"/>
      <c r="CQ26" s="140"/>
      <c r="CR26" s="140"/>
      <c r="CS26" s="140"/>
      <c r="CT26" s="540"/>
      <c r="CU26" s="540"/>
      <c r="CV26" s="540"/>
    </row>
    <row r="27" spans="1:100" ht="15" x14ac:dyDescent="0.25">
      <c r="A27" s="184"/>
      <c r="B27" s="145">
        <v>26</v>
      </c>
      <c r="C27" s="145" t="s">
        <v>52</v>
      </c>
      <c r="D27" s="146"/>
      <c r="E27" s="146"/>
      <c r="F27" s="146"/>
      <c r="G27" s="146"/>
      <c r="H27" s="147"/>
      <c r="I27" s="146"/>
      <c r="J27" s="146"/>
      <c r="K27" s="146"/>
      <c r="L27" s="146"/>
      <c r="M27" s="146"/>
      <c r="N27" s="677"/>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8"/>
      <c r="CF27" s="148"/>
      <c r="CG27" s="148"/>
      <c r="CH27" s="146"/>
      <c r="CI27" s="146"/>
      <c r="CJ27" s="146"/>
      <c r="CK27" s="146"/>
      <c r="CL27" s="146"/>
      <c r="CM27" s="146"/>
      <c r="CN27" s="146"/>
      <c r="CO27" s="146"/>
      <c r="CP27" s="146"/>
      <c r="CQ27" s="146"/>
      <c r="CR27" s="146"/>
      <c r="CS27" s="146"/>
      <c r="CT27" s="526"/>
      <c r="CU27" s="526"/>
      <c r="CV27" s="526"/>
    </row>
    <row r="28" spans="1:100" ht="15" x14ac:dyDescent="0.25">
      <c r="A28" s="33"/>
      <c r="B28" s="185"/>
      <c r="C28" s="961"/>
      <c r="D28" s="186"/>
      <c r="E28" s="186"/>
      <c r="F28" s="187"/>
      <c r="G28" s="189">
        <v>83</v>
      </c>
      <c r="H28" s="189" t="s">
        <v>53</v>
      </c>
      <c r="I28" s="189"/>
      <c r="J28" s="189"/>
      <c r="K28" s="189"/>
      <c r="L28" s="189"/>
      <c r="M28" s="189"/>
      <c r="N28" s="678"/>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90"/>
      <c r="CF28" s="190"/>
      <c r="CG28" s="190"/>
      <c r="CH28" s="189"/>
      <c r="CI28" s="189"/>
      <c r="CJ28" s="189"/>
      <c r="CK28" s="189"/>
      <c r="CL28" s="189"/>
      <c r="CM28" s="189"/>
      <c r="CN28" s="189"/>
      <c r="CO28" s="189"/>
      <c r="CP28" s="189"/>
      <c r="CQ28" s="189"/>
      <c r="CR28" s="189"/>
      <c r="CS28" s="189"/>
      <c r="CT28" s="522"/>
      <c r="CU28" s="522"/>
      <c r="CV28" s="522"/>
    </row>
    <row r="29" spans="1:100" s="27" customFormat="1" ht="110.25" customHeight="1" x14ac:dyDescent="0.25">
      <c r="A29" s="33"/>
      <c r="B29" s="19"/>
      <c r="C29" s="929">
        <v>37</v>
      </c>
      <c r="D29" s="34" t="s">
        <v>54</v>
      </c>
      <c r="E29" s="35" t="s">
        <v>635</v>
      </c>
      <c r="F29" s="32">
        <v>0.6</v>
      </c>
      <c r="G29" s="928"/>
      <c r="H29" s="929">
        <v>246</v>
      </c>
      <c r="I29" s="928" t="s">
        <v>56</v>
      </c>
      <c r="J29" s="23" t="s">
        <v>30</v>
      </c>
      <c r="K29" s="23">
        <v>13</v>
      </c>
      <c r="L29" s="23">
        <v>13</v>
      </c>
      <c r="M29" s="24" t="s">
        <v>31</v>
      </c>
      <c r="N29" s="36" t="s">
        <v>57</v>
      </c>
      <c r="O29" s="928" t="s">
        <v>58</v>
      </c>
      <c r="P29" s="929" t="s">
        <v>38</v>
      </c>
      <c r="Q29" s="25">
        <v>0</v>
      </c>
      <c r="R29" s="25"/>
      <c r="S29" s="25"/>
      <c r="T29" s="25">
        <v>0</v>
      </c>
      <c r="U29" s="25"/>
      <c r="V29" s="25"/>
      <c r="W29" s="25">
        <v>0</v>
      </c>
      <c r="X29" s="25"/>
      <c r="Y29" s="25"/>
      <c r="Z29" s="25">
        <v>0</v>
      </c>
      <c r="AA29" s="25"/>
      <c r="AB29" s="25"/>
      <c r="AC29" s="25">
        <v>0</v>
      </c>
      <c r="AD29" s="25"/>
      <c r="AE29" s="25"/>
      <c r="AF29" s="25">
        <v>0</v>
      </c>
      <c r="AG29" s="25"/>
      <c r="AH29" s="25"/>
      <c r="AI29" s="25">
        <v>0</v>
      </c>
      <c r="AJ29" s="25"/>
      <c r="AK29" s="25"/>
      <c r="AL29" s="25"/>
      <c r="AM29" s="25"/>
      <c r="AN29" s="25"/>
      <c r="AO29" s="25"/>
      <c r="AP29" s="25"/>
      <c r="AQ29" s="25"/>
      <c r="AR29" s="25"/>
      <c r="AS29" s="25"/>
      <c r="AT29" s="25"/>
      <c r="AU29" s="25">
        <v>0</v>
      </c>
      <c r="AV29" s="25"/>
      <c r="AW29" s="25"/>
      <c r="AX29" s="25"/>
      <c r="AY29" s="25"/>
      <c r="AZ29" s="25"/>
      <c r="BA29" s="25">
        <v>0</v>
      </c>
      <c r="BB29" s="25"/>
      <c r="BC29" s="25"/>
      <c r="BD29" s="25">
        <v>0</v>
      </c>
      <c r="BE29" s="25"/>
      <c r="BF29" s="25"/>
      <c r="BG29" s="25"/>
      <c r="BH29" s="25"/>
      <c r="BI29" s="25"/>
      <c r="BJ29" s="25"/>
      <c r="BK29" s="25"/>
      <c r="BL29" s="25"/>
      <c r="BM29" s="25"/>
      <c r="BN29" s="25"/>
      <c r="BO29" s="25"/>
      <c r="BP29" s="25"/>
      <c r="BQ29" s="25"/>
      <c r="BR29" s="25"/>
      <c r="BS29" s="25"/>
      <c r="BT29" s="25"/>
      <c r="BU29" s="25"/>
      <c r="BV29" s="25"/>
      <c r="BW29" s="25"/>
      <c r="BX29" s="25"/>
      <c r="BY29" s="25">
        <v>0</v>
      </c>
      <c r="BZ29" s="25"/>
      <c r="CA29" s="25"/>
      <c r="CB29" s="25">
        <v>0</v>
      </c>
      <c r="CC29" s="26"/>
      <c r="CD29" s="26"/>
      <c r="CE29" s="112">
        <v>30000000</v>
      </c>
      <c r="CF29" s="112">
        <v>27420000</v>
      </c>
      <c r="CG29" s="112">
        <v>27078600</v>
      </c>
      <c r="CH29" s="9"/>
      <c r="CI29" s="9"/>
      <c r="CJ29" s="9"/>
      <c r="CK29" s="25">
        <v>0</v>
      </c>
      <c r="CL29" s="26"/>
      <c r="CM29" s="26"/>
      <c r="CN29" s="26">
        <v>0</v>
      </c>
      <c r="CO29" s="26"/>
      <c r="CP29" s="26"/>
      <c r="CQ29" s="26"/>
      <c r="CR29" s="26"/>
      <c r="CS29" s="26"/>
      <c r="CT29" s="25">
        <f>Q29+T29+W29+Z29+AC29+AF29+AI29+AL29+AO29+AR29+AU29+AX29+BA29+BD29+BG29+BJ29+BM29+BP29+BS29+BV29+BY29+CB29+CE29+CH29+CK29+CQ29+CN29</f>
        <v>30000000</v>
      </c>
      <c r="CU29" s="25">
        <f>R29+U29+X29+AA29+AD29+AG29+AJ29+AM29+AP29+AS29+AV29+AY29+BB29+BE29+BH29+BK29+BN29+BQ29+BT29+BW29+BZ29+CC29+CF29+CI29+CL29+CR29+CO29</f>
        <v>27420000</v>
      </c>
      <c r="CV29" s="25">
        <f>S29+V29+Y29+AB29+AE29+AH29+AK29+AN29+AQ29+AT29+AW29+AZ29+BC29+BF29+BI29+BL29+BO29+BR29+BU29+BX29+CA29+CD29+CG29+CJ29+CM29+CS29+CP29</f>
        <v>27078600</v>
      </c>
    </row>
    <row r="30" spans="1:100" ht="15" x14ac:dyDescent="0.25">
      <c r="A30" s="33"/>
      <c r="B30" s="19"/>
      <c r="C30" s="581"/>
      <c r="D30" s="153"/>
      <c r="E30" s="581"/>
      <c r="F30" s="581"/>
      <c r="G30" s="191"/>
      <c r="H30" s="192"/>
      <c r="I30" s="193"/>
      <c r="J30" s="194"/>
      <c r="K30" s="194"/>
      <c r="L30" s="194"/>
      <c r="M30" s="195"/>
      <c r="N30" s="196"/>
      <c r="O30" s="193"/>
      <c r="P30" s="192"/>
      <c r="Q30" s="197">
        <f t="shared" ref="Q30:CB30" si="9">SUM(Q29)</f>
        <v>0</v>
      </c>
      <c r="R30" s="197">
        <f t="shared" si="9"/>
        <v>0</v>
      </c>
      <c r="S30" s="197">
        <f t="shared" si="9"/>
        <v>0</v>
      </c>
      <c r="T30" s="197">
        <f t="shared" si="9"/>
        <v>0</v>
      </c>
      <c r="U30" s="197">
        <f t="shared" si="9"/>
        <v>0</v>
      </c>
      <c r="V30" s="197">
        <f t="shared" si="9"/>
        <v>0</v>
      </c>
      <c r="W30" s="197">
        <f t="shared" si="9"/>
        <v>0</v>
      </c>
      <c r="X30" s="197">
        <f t="shared" si="9"/>
        <v>0</v>
      </c>
      <c r="Y30" s="197">
        <f t="shared" si="9"/>
        <v>0</v>
      </c>
      <c r="Z30" s="197">
        <f t="shared" si="9"/>
        <v>0</v>
      </c>
      <c r="AA30" s="197">
        <f t="shared" si="9"/>
        <v>0</v>
      </c>
      <c r="AB30" s="197">
        <f t="shared" si="9"/>
        <v>0</v>
      </c>
      <c r="AC30" s="197">
        <f t="shared" si="9"/>
        <v>0</v>
      </c>
      <c r="AD30" s="197">
        <f t="shared" si="9"/>
        <v>0</v>
      </c>
      <c r="AE30" s="197">
        <f t="shared" si="9"/>
        <v>0</v>
      </c>
      <c r="AF30" s="197">
        <f t="shared" si="9"/>
        <v>0</v>
      </c>
      <c r="AG30" s="197">
        <f t="shared" si="9"/>
        <v>0</v>
      </c>
      <c r="AH30" s="197">
        <f t="shared" si="9"/>
        <v>0</v>
      </c>
      <c r="AI30" s="197">
        <f t="shared" si="9"/>
        <v>0</v>
      </c>
      <c r="AJ30" s="197">
        <f t="shared" si="9"/>
        <v>0</v>
      </c>
      <c r="AK30" s="197">
        <f t="shared" si="9"/>
        <v>0</v>
      </c>
      <c r="AL30" s="197">
        <f t="shared" si="9"/>
        <v>0</v>
      </c>
      <c r="AM30" s="197">
        <f t="shared" si="9"/>
        <v>0</v>
      </c>
      <c r="AN30" s="197">
        <f t="shared" si="9"/>
        <v>0</v>
      </c>
      <c r="AO30" s="197">
        <f t="shared" si="9"/>
        <v>0</v>
      </c>
      <c r="AP30" s="197">
        <f t="shared" si="9"/>
        <v>0</v>
      </c>
      <c r="AQ30" s="197">
        <f t="shared" si="9"/>
        <v>0</v>
      </c>
      <c r="AR30" s="197">
        <f t="shared" si="9"/>
        <v>0</v>
      </c>
      <c r="AS30" s="197">
        <f t="shared" si="9"/>
        <v>0</v>
      </c>
      <c r="AT30" s="197">
        <f t="shared" si="9"/>
        <v>0</v>
      </c>
      <c r="AU30" s="197">
        <f t="shared" si="9"/>
        <v>0</v>
      </c>
      <c r="AV30" s="197">
        <f t="shared" si="9"/>
        <v>0</v>
      </c>
      <c r="AW30" s="197">
        <f t="shared" si="9"/>
        <v>0</v>
      </c>
      <c r="AX30" s="197">
        <f t="shared" si="9"/>
        <v>0</v>
      </c>
      <c r="AY30" s="197">
        <f t="shared" si="9"/>
        <v>0</v>
      </c>
      <c r="AZ30" s="197">
        <f t="shared" si="9"/>
        <v>0</v>
      </c>
      <c r="BA30" s="197">
        <f t="shared" si="9"/>
        <v>0</v>
      </c>
      <c r="BB30" s="197">
        <f t="shared" si="9"/>
        <v>0</v>
      </c>
      <c r="BC30" s="197">
        <f t="shared" si="9"/>
        <v>0</v>
      </c>
      <c r="BD30" s="197">
        <f t="shared" si="9"/>
        <v>0</v>
      </c>
      <c r="BE30" s="197">
        <f t="shared" si="9"/>
        <v>0</v>
      </c>
      <c r="BF30" s="197">
        <f t="shared" si="9"/>
        <v>0</v>
      </c>
      <c r="BG30" s="197">
        <f t="shared" si="9"/>
        <v>0</v>
      </c>
      <c r="BH30" s="197">
        <f t="shared" si="9"/>
        <v>0</v>
      </c>
      <c r="BI30" s="197">
        <f t="shared" si="9"/>
        <v>0</v>
      </c>
      <c r="BJ30" s="197">
        <f t="shared" si="9"/>
        <v>0</v>
      </c>
      <c r="BK30" s="197">
        <f t="shared" si="9"/>
        <v>0</v>
      </c>
      <c r="BL30" s="197">
        <f t="shared" si="9"/>
        <v>0</v>
      </c>
      <c r="BM30" s="197">
        <f t="shared" si="9"/>
        <v>0</v>
      </c>
      <c r="BN30" s="197">
        <f t="shared" si="9"/>
        <v>0</v>
      </c>
      <c r="BO30" s="197">
        <f t="shared" si="9"/>
        <v>0</v>
      </c>
      <c r="BP30" s="197">
        <f t="shared" si="9"/>
        <v>0</v>
      </c>
      <c r="BQ30" s="197">
        <f t="shared" si="9"/>
        <v>0</v>
      </c>
      <c r="BR30" s="197">
        <f t="shared" si="9"/>
        <v>0</v>
      </c>
      <c r="BS30" s="197">
        <f t="shared" si="9"/>
        <v>0</v>
      </c>
      <c r="BT30" s="197">
        <f t="shared" si="9"/>
        <v>0</v>
      </c>
      <c r="BU30" s="197">
        <f t="shared" si="9"/>
        <v>0</v>
      </c>
      <c r="BV30" s="197">
        <f t="shared" si="9"/>
        <v>0</v>
      </c>
      <c r="BW30" s="197">
        <f t="shared" si="9"/>
        <v>0</v>
      </c>
      <c r="BX30" s="197">
        <f t="shared" si="9"/>
        <v>0</v>
      </c>
      <c r="BY30" s="197">
        <f t="shared" si="9"/>
        <v>0</v>
      </c>
      <c r="BZ30" s="197">
        <f t="shared" si="9"/>
        <v>0</v>
      </c>
      <c r="CA30" s="197">
        <f t="shared" si="9"/>
        <v>0</v>
      </c>
      <c r="CB30" s="197">
        <f t="shared" si="9"/>
        <v>0</v>
      </c>
      <c r="CC30" s="197">
        <f t="shared" ref="CC30:CS30" si="10">SUM(CC29)</f>
        <v>0</v>
      </c>
      <c r="CD30" s="197">
        <f t="shared" si="10"/>
        <v>0</v>
      </c>
      <c r="CE30" s="197">
        <f t="shared" si="10"/>
        <v>30000000</v>
      </c>
      <c r="CF30" s="197">
        <f t="shared" si="10"/>
        <v>27420000</v>
      </c>
      <c r="CG30" s="197">
        <f t="shared" si="10"/>
        <v>27078600</v>
      </c>
      <c r="CH30" s="197">
        <f t="shared" si="10"/>
        <v>0</v>
      </c>
      <c r="CI30" s="197">
        <f t="shared" si="10"/>
        <v>0</v>
      </c>
      <c r="CJ30" s="197">
        <f t="shared" si="10"/>
        <v>0</v>
      </c>
      <c r="CK30" s="197">
        <f t="shared" si="10"/>
        <v>0</v>
      </c>
      <c r="CL30" s="197">
        <f t="shared" si="10"/>
        <v>0</v>
      </c>
      <c r="CM30" s="197">
        <f t="shared" si="10"/>
        <v>0</v>
      </c>
      <c r="CN30" s="197">
        <f t="shared" si="10"/>
        <v>0</v>
      </c>
      <c r="CO30" s="197">
        <f t="shared" si="10"/>
        <v>0</v>
      </c>
      <c r="CP30" s="197">
        <f t="shared" si="10"/>
        <v>0</v>
      </c>
      <c r="CQ30" s="197">
        <f t="shared" si="10"/>
        <v>0</v>
      </c>
      <c r="CR30" s="197">
        <f t="shared" si="10"/>
        <v>0</v>
      </c>
      <c r="CS30" s="197">
        <f t="shared" si="10"/>
        <v>0</v>
      </c>
      <c r="CT30" s="197">
        <f>SUM(CT29)</f>
        <v>30000000</v>
      </c>
      <c r="CU30" s="197">
        <f>SUM(CU29)</f>
        <v>27420000</v>
      </c>
      <c r="CV30" s="197">
        <f>SUM(CV29)</f>
        <v>27078600</v>
      </c>
    </row>
    <row r="31" spans="1:100" s="27" customFormat="1" ht="15" x14ac:dyDescent="0.25">
      <c r="A31" s="33"/>
      <c r="B31" s="19"/>
      <c r="C31" s="929"/>
      <c r="D31" s="177"/>
      <c r="E31" s="949"/>
      <c r="F31" s="949"/>
      <c r="G31" s="177"/>
      <c r="H31" s="949"/>
      <c r="I31" s="177"/>
      <c r="J31" s="178"/>
      <c r="K31" s="178"/>
      <c r="L31" s="178"/>
      <c r="M31" s="178"/>
      <c r="N31" s="179"/>
      <c r="O31" s="177"/>
      <c r="P31" s="949"/>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1"/>
      <c r="BH31" s="181"/>
      <c r="BI31" s="181"/>
      <c r="BJ31" s="181"/>
      <c r="BK31" s="181"/>
      <c r="BL31" s="181"/>
      <c r="BM31" s="181"/>
      <c r="BN31" s="181"/>
      <c r="BO31" s="181"/>
      <c r="BP31" s="181"/>
      <c r="BQ31" s="181"/>
      <c r="BR31" s="181"/>
      <c r="BS31" s="181"/>
      <c r="BT31" s="181"/>
      <c r="BU31" s="181"/>
      <c r="BV31" s="181"/>
      <c r="BW31" s="181"/>
      <c r="BX31" s="181"/>
      <c r="BY31" s="180"/>
      <c r="BZ31" s="180"/>
      <c r="CA31" s="180"/>
      <c r="CB31" s="180"/>
      <c r="CC31" s="180"/>
      <c r="CD31" s="180"/>
      <c r="CE31" s="182"/>
      <c r="CF31" s="182"/>
      <c r="CG31" s="182"/>
      <c r="CH31" s="183"/>
      <c r="CI31" s="183"/>
      <c r="CJ31" s="183"/>
      <c r="CK31" s="180"/>
      <c r="CL31" s="180"/>
      <c r="CM31" s="180"/>
      <c r="CN31" s="180"/>
      <c r="CO31" s="180"/>
      <c r="CP31" s="180"/>
      <c r="CQ31" s="180"/>
      <c r="CR31" s="180"/>
      <c r="CS31" s="180"/>
      <c r="CT31" s="25"/>
      <c r="CU31" s="76"/>
      <c r="CV31" s="76"/>
    </row>
    <row r="32" spans="1:100" s="27" customFormat="1" ht="15" x14ac:dyDescent="0.25">
      <c r="A32" s="33"/>
      <c r="B32" s="19"/>
      <c r="C32" s="929"/>
      <c r="D32" s="177"/>
      <c r="E32" s="949"/>
      <c r="F32" s="949"/>
      <c r="G32" s="199">
        <v>84</v>
      </c>
      <c r="H32" s="199" t="s">
        <v>59</v>
      </c>
      <c r="I32" s="199"/>
      <c r="J32" s="199"/>
      <c r="K32" s="199"/>
      <c r="L32" s="199"/>
      <c r="M32" s="199"/>
      <c r="N32" s="67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200"/>
      <c r="CF32" s="200"/>
      <c r="CG32" s="200"/>
      <c r="CH32" s="199"/>
      <c r="CI32" s="199"/>
      <c r="CJ32" s="199"/>
      <c r="CK32" s="199"/>
      <c r="CL32" s="199"/>
      <c r="CM32" s="199"/>
      <c r="CN32" s="199"/>
      <c r="CO32" s="199"/>
      <c r="CP32" s="199"/>
      <c r="CQ32" s="199"/>
      <c r="CR32" s="199"/>
      <c r="CS32" s="199"/>
      <c r="CT32" s="735"/>
      <c r="CU32" s="735"/>
      <c r="CV32" s="735"/>
    </row>
    <row r="33" spans="1:100" s="27" customFormat="1" ht="114" customHeight="1" x14ac:dyDescent="0.25">
      <c r="A33" s="33"/>
      <c r="B33" s="19"/>
      <c r="C33" s="927">
        <v>37</v>
      </c>
      <c r="D33" s="928" t="s">
        <v>54</v>
      </c>
      <c r="E33" s="35" t="s">
        <v>635</v>
      </c>
      <c r="F33" s="32">
        <v>0.6</v>
      </c>
      <c r="G33" s="928"/>
      <c r="H33" s="929">
        <v>248</v>
      </c>
      <c r="I33" s="928" t="s">
        <v>60</v>
      </c>
      <c r="J33" s="23" t="s">
        <v>30</v>
      </c>
      <c r="K33" s="23">
        <v>12</v>
      </c>
      <c r="L33" s="23">
        <v>12</v>
      </c>
      <c r="M33" s="24" t="s">
        <v>31</v>
      </c>
      <c r="N33" s="36" t="s">
        <v>61</v>
      </c>
      <c r="O33" s="928" t="s">
        <v>62</v>
      </c>
      <c r="P33" s="929" t="s">
        <v>38</v>
      </c>
      <c r="Q33" s="25">
        <v>0</v>
      </c>
      <c r="R33" s="25"/>
      <c r="S33" s="25"/>
      <c r="T33" s="25">
        <v>0</v>
      </c>
      <c r="U33" s="25"/>
      <c r="V33" s="25"/>
      <c r="W33" s="25">
        <v>0</v>
      </c>
      <c r="X33" s="25"/>
      <c r="Y33" s="25"/>
      <c r="Z33" s="25">
        <v>0</v>
      </c>
      <c r="AA33" s="25"/>
      <c r="AB33" s="25"/>
      <c r="AC33" s="25">
        <v>0</v>
      </c>
      <c r="AD33" s="25"/>
      <c r="AE33" s="25"/>
      <c r="AF33" s="25">
        <v>0</v>
      </c>
      <c r="AG33" s="25"/>
      <c r="AH33" s="25"/>
      <c r="AI33" s="25">
        <v>0</v>
      </c>
      <c r="AJ33" s="25"/>
      <c r="AK33" s="25"/>
      <c r="AL33" s="25"/>
      <c r="AM33" s="25"/>
      <c r="AN33" s="25"/>
      <c r="AO33" s="25"/>
      <c r="AP33" s="25"/>
      <c r="AQ33" s="25"/>
      <c r="AR33" s="25"/>
      <c r="AS33" s="25"/>
      <c r="AT33" s="25"/>
      <c r="AU33" s="25">
        <v>0</v>
      </c>
      <c r="AV33" s="25"/>
      <c r="AW33" s="25"/>
      <c r="AX33" s="25"/>
      <c r="AY33" s="25"/>
      <c r="AZ33" s="25"/>
      <c r="BA33" s="25">
        <v>0</v>
      </c>
      <c r="BB33" s="25"/>
      <c r="BC33" s="25"/>
      <c r="BD33" s="25">
        <v>0</v>
      </c>
      <c r="BE33" s="25"/>
      <c r="BF33" s="25"/>
      <c r="BG33" s="25"/>
      <c r="BH33" s="25"/>
      <c r="BI33" s="25"/>
      <c r="BJ33" s="25"/>
      <c r="BK33" s="25"/>
      <c r="BL33" s="25"/>
      <c r="BM33" s="25"/>
      <c r="BN33" s="25"/>
      <c r="BO33" s="25"/>
      <c r="BP33" s="25"/>
      <c r="BQ33" s="25"/>
      <c r="BR33" s="25"/>
      <c r="BS33" s="25"/>
      <c r="BT33" s="25"/>
      <c r="BU33" s="25"/>
      <c r="BV33" s="25"/>
      <c r="BW33" s="25"/>
      <c r="BX33" s="25"/>
      <c r="BY33" s="25">
        <v>0</v>
      </c>
      <c r="BZ33" s="25"/>
      <c r="CA33" s="25"/>
      <c r="CB33" s="25">
        <v>0</v>
      </c>
      <c r="CC33" s="25"/>
      <c r="CD33" s="25"/>
      <c r="CE33" s="110">
        <v>40000000</v>
      </c>
      <c r="CF33" s="110">
        <v>12000000</v>
      </c>
      <c r="CG33" s="110">
        <v>3324000</v>
      </c>
      <c r="CH33" s="13"/>
      <c r="CI33" s="13"/>
      <c r="CJ33" s="13"/>
      <c r="CK33" s="25">
        <v>0</v>
      </c>
      <c r="CL33" s="26"/>
      <c r="CM33" s="26"/>
      <c r="CN33" s="26">
        <v>0</v>
      </c>
      <c r="CO33" s="26"/>
      <c r="CP33" s="26"/>
      <c r="CQ33" s="26"/>
      <c r="CR33" s="26"/>
      <c r="CS33" s="26"/>
      <c r="CT33" s="25">
        <f>Q33+T33+W33+Z33+AC33+AF33+AI33+AL33+AO33+AR33+AU33+AX33+BA33+BD33+BG33+BJ33+BM33+BP33+BS33+BV33+BY33+CB33+CE33+CH33+CK33+CQ33+CN33</f>
        <v>40000000</v>
      </c>
      <c r="CU33" s="25">
        <f>R33+U33+X33+AA33+AD33+AG33+AJ33+AM33+AP33+AS33+AV33+AY33+BB33+BE33+BH33+BK33+BN33+BQ33+BT33+BW33+BZ33+CC33+CF33+CI33+CL33+CR33+CO33</f>
        <v>12000000</v>
      </c>
      <c r="CV33" s="25">
        <f>S33+V33+Y33+AB33+AE33+AH33+AK33+AN33+AQ33+AT33+AW33+AZ33+BC33+BF33+BI33+BL33+BO33+BR33+BU33+BX33+CA33+CD33+CG33+CJ33+CM33+CS33+CP33</f>
        <v>3324000</v>
      </c>
    </row>
    <row r="34" spans="1:100" s="46" customFormat="1" ht="20.25" x14ac:dyDescent="0.25">
      <c r="A34" s="33"/>
      <c r="B34" s="152"/>
      <c r="C34" s="927"/>
      <c r="D34" s="153"/>
      <c r="E34" s="581"/>
      <c r="F34" s="581"/>
      <c r="G34" s="154"/>
      <c r="H34" s="155"/>
      <c r="I34" s="154"/>
      <c r="J34" s="156"/>
      <c r="K34" s="156"/>
      <c r="L34" s="156"/>
      <c r="M34" s="156"/>
      <c r="N34" s="157"/>
      <c r="O34" s="154"/>
      <c r="P34" s="155"/>
      <c r="Q34" s="158">
        <f>Q33</f>
        <v>0</v>
      </c>
      <c r="R34" s="158">
        <f t="shared" ref="R34:CC34" si="11">R33</f>
        <v>0</v>
      </c>
      <c r="S34" s="158">
        <f t="shared" si="11"/>
        <v>0</v>
      </c>
      <c r="T34" s="158">
        <f t="shared" si="11"/>
        <v>0</v>
      </c>
      <c r="U34" s="158">
        <f t="shared" si="11"/>
        <v>0</v>
      </c>
      <c r="V34" s="158">
        <f t="shared" si="11"/>
        <v>0</v>
      </c>
      <c r="W34" s="158">
        <f t="shared" si="11"/>
        <v>0</v>
      </c>
      <c r="X34" s="158">
        <f t="shared" si="11"/>
        <v>0</v>
      </c>
      <c r="Y34" s="158">
        <f t="shared" si="11"/>
        <v>0</v>
      </c>
      <c r="Z34" s="158">
        <f t="shared" si="11"/>
        <v>0</v>
      </c>
      <c r="AA34" s="158">
        <f t="shared" si="11"/>
        <v>0</v>
      </c>
      <c r="AB34" s="158">
        <f t="shared" si="11"/>
        <v>0</v>
      </c>
      <c r="AC34" s="158">
        <f t="shared" si="11"/>
        <v>0</v>
      </c>
      <c r="AD34" s="158">
        <f t="shared" si="11"/>
        <v>0</v>
      </c>
      <c r="AE34" s="158">
        <f t="shared" si="11"/>
        <v>0</v>
      </c>
      <c r="AF34" s="158">
        <f t="shared" si="11"/>
        <v>0</v>
      </c>
      <c r="AG34" s="158">
        <f t="shared" si="11"/>
        <v>0</v>
      </c>
      <c r="AH34" s="158">
        <f t="shared" si="11"/>
        <v>0</v>
      </c>
      <c r="AI34" s="158">
        <f t="shared" si="11"/>
        <v>0</v>
      </c>
      <c r="AJ34" s="158">
        <f t="shared" si="11"/>
        <v>0</v>
      </c>
      <c r="AK34" s="158">
        <f t="shared" si="11"/>
        <v>0</v>
      </c>
      <c r="AL34" s="158">
        <f t="shared" si="11"/>
        <v>0</v>
      </c>
      <c r="AM34" s="158">
        <f t="shared" si="11"/>
        <v>0</v>
      </c>
      <c r="AN34" s="158">
        <f t="shared" si="11"/>
        <v>0</v>
      </c>
      <c r="AO34" s="158">
        <f t="shared" si="11"/>
        <v>0</v>
      </c>
      <c r="AP34" s="158">
        <f t="shared" si="11"/>
        <v>0</v>
      </c>
      <c r="AQ34" s="158">
        <f t="shared" si="11"/>
        <v>0</v>
      </c>
      <c r="AR34" s="158">
        <f t="shared" si="11"/>
        <v>0</v>
      </c>
      <c r="AS34" s="158">
        <f t="shared" si="11"/>
        <v>0</v>
      </c>
      <c r="AT34" s="158">
        <f t="shared" si="11"/>
        <v>0</v>
      </c>
      <c r="AU34" s="158">
        <f t="shared" si="11"/>
        <v>0</v>
      </c>
      <c r="AV34" s="158">
        <f t="shared" si="11"/>
        <v>0</v>
      </c>
      <c r="AW34" s="158">
        <f t="shared" si="11"/>
        <v>0</v>
      </c>
      <c r="AX34" s="158">
        <f t="shared" si="11"/>
        <v>0</v>
      </c>
      <c r="AY34" s="158">
        <f t="shared" si="11"/>
        <v>0</v>
      </c>
      <c r="AZ34" s="158">
        <f t="shared" si="11"/>
        <v>0</v>
      </c>
      <c r="BA34" s="158">
        <f t="shared" si="11"/>
        <v>0</v>
      </c>
      <c r="BB34" s="158">
        <f t="shared" si="11"/>
        <v>0</v>
      </c>
      <c r="BC34" s="158">
        <f t="shared" si="11"/>
        <v>0</v>
      </c>
      <c r="BD34" s="158">
        <f t="shared" si="11"/>
        <v>0</v>
      </c>
      <c r="BE34" s="158">
        <f t="shared" si="11"/>
        <v>0</v>
      </c>
      <c r="BF34" s="158">
        <f t="shared" si="11"/>
        <v>0</v>
      </c>
      <c r="BG34" s="158">
        <f t="shared" si="11"/>
        <v>0</v>
      </c>
      <c r="BH34" s="158">
        <f t="shared" si="11"/>
        <v>0</v>
      </c>
      <c r="BI34" s="158">
        <f t="shared" si="11"/>
        <v>0</v>
      </c>
      <c r="BJ34" s="158">
        <f t="shared" si="11"/>
        <v>0</v>
      </c>
      <c r="BK34" s="158">
        <f t="shared" si="11"/>
        <v>0</v>
      </c>
      <c r="BL34" s="158">
        <f t="shared" si="11"/>
        <v>0</v>
      </c>
      <c r="BM34" s="158">
        <f t="shared" si="11"/>
        <v>0</v>
      </c>
      <c r="BN34" s="158">
        <f t="shared" si="11"/>
        <v>0</v>
      </c>
      <c r="BO34" s="158">
        <f t="shared" si="11"/>
        <v>0</v>
      </c>
      <c r="BP34" s="158">
        <f t="shared" si="11"/>
        <v>0</v>
      </c>
      <c r="BQ34" s="158">
        <f t="shared" si="11"/>
        <v>0</v>
      </c>
      <c r="BR34" s="158">
        <f t="shared" si="11"/>
        <v>0</v>
      </c>
      <c r="BS34" s="158">
        <f t="shared" si="11"/>
        <v>0</v>
      </c>
      <c r="BT34" s="158">
        <f t="shared" si="11"/>
        <v>0</v>
      </c>
      <c r="BU34" s="158">
        <f t="shared" si="11"/>
        <v>0</v>
      </c>
      <c r="BV34" s="158">
        <f t="shared" si="11"/>
        <v>0</v>
      </c>
      <c r="BW34" s="158">
        <f t="shared" si="11"/>
        <v>0</v>
      </c>
      <c r="BX34" s="158">
        <f t="shared" si="11"/>
        <v>0</v>
      </c>
      <c r="BY34" s="158">
        <f t="shared" si="11"/>
        <v>0</v>
      </c>
      <c r="BZ34" s="158">
        <f t="shared" si="11"/>
        <v>0</v>
      </c>
      <c r="CA34" s="158">
        <f t="shared" si="11"/>
        <v>0</v>
      </c>
      <c r="CB34" s="158">
        <f t="shared" si="11"/>
        <v>0</v>
      </c>
      <c r="CC34" s="158">
        <f t="shared" si="11"/>
        <v>0</v>
      </c>
      <c r="CD34" s="158">
        <f t="shared" ref="CD34:CS34" si="12">CD33</f>
        <v>0</v>
      </c>
      <c r="CE34" s="158">
        <f t="shared" si="12"/>
        <v>40000000</v>
      </c>
      <c r="CF34" s="158">
        <f t="shared" si="12"/>
        <v>12000000</v>
      </c>
      <c r="CG34" s="158">
        <f t="shared" si="12"/>
        <v>3324000</v>
      </c>
      <c r="CH34" s="158">
        <f t="shared" si="12"/>
        <v>0</v>
      </c>
      <c r="CI34" s="158">
        <f t="shared" si="12"/>
        <v>0</v>
      </c>
      <c r="CJ34" s="158">
        <f t="shared" si="12"/>
        <v>0</v>
      </c>
      <c r="CK34" s="158">
        <f t="shared" si="12"/>
        <v>0</v>
      </c>
      <c r="CL34" s="158">
        <f t="shared" si="12"/>
        <v>0</v>
      </c>
      <c r="CM34" s="158">
        <f t="shared" si="12"/>
        <v>0</v>
      </c>
      <c r="CN34" s="158">
        <f t="shared" si="12"/>
        <v>0</v>
      </c>
      <c r="CO34" s="158">
        <f t="shared" si="12"/>
        <v>0</v>
      </c>
      <c r="CP34" s="158">
        <f t="shared" si="12"/>
        <v>0</v>
      </c>
      <c r="CQ34" s="158">
        <f t="shared" si="12"/>
        <v>0</v>
      </c>
      <c r="CR34" s="158">
        <f t="shared" si="12"/>
        <v>0</v>
      </c>
      <c r="CS34" s="158">
        <f t="shared" si="12"/>
        <v>0</v>
      </c>
      <c r="CT34" s="158">
        <f>CT33</f>
        <v>40000000</v>
      </c>
      <c r="CU34" s="158">
        <f>CU33</f>
        <v>12000000</v>
      </c>
      <c r="CV34" s="158">
        <f>CV33</f>
        <v>3324000</v>
      </c>
    </row>
    <row r="35" spans="1:100" ht="15" x14ac:dyDescent="0.25">
      <c r="A35" s="33"/>
      <c r="B35" s="201"/>
      <c r="C35" s="202"/>
      <c r="D35" s="201"/>
      <c r="E35" s="202"/>
      <c r="F35" s="202"/>
      <c r="G35" s="201"/>
      <c r="H35" s="202"/>
      <c r="I35" s="201"/>
      <c r="J35" s="203"/>
      <c r="K35" s="203"/>
      <c r="L35" s="203"/>
      <c r="M35" s="204"/>
      <c r="N35" s="205"/>
      <c r="O35" s="201"/>
      <c r="P35" s="202"/>
      <c r="Q35" s="206">
        <f>Q30+Q34</f>
        <v>0</v>
      </c>
      <c r="R35" s="206">
        <f t="shared" ref="R35:CC35" si="13">R30+R34</f>
        <v>0</v>
      </c>
      <c r="S35" s="206">
        <f t="shared" si="13"/>
        <v>0</v>
      </c>
      <c r="T35" s="206">
        <f t="shared" si="13"/>
        <v>0</v>
      </c>
      <c r="U35" s="206">
        <f t="shared" si="13"/>
        <v>0</v>
      </c>
      <c r="V35" s="206">
        <f t="shared" si="13"/>
        <v>0</v>
      </c>
      <c r="W35" s="206">
        <f t="shared" si="13"/>
        <v>0</v>
      </c>
      <c r="X35" s="206">
        <f t="shared" si="13"/>
        <v>0</v>
      </c>
      <c r="Y35" s="206">
        <f t="shared" si="13"/>
        <v>0</v>
      </c>
      <c r="Z35" s="206">
        <f t="shared" si="13"/>
        <v>0</v>
      </c>
      <c r="AA35" s="206">
        <f t="shared" si="13"/>
        <v>0</v>
      </c>
      <c r="AB35" s="206">
        <f t="shared" si="13"/>
        <v>0</v>
      </c>
      <c r="AC35" s="206">
        <f t="shared" si="13"/>
        <v>0</v>
      </c>
      <c r="AD35" s="206">
        <f t="shared" si="13"/>
        <v>0</v>
      </c>
      <c r="AE35" s="206">
        <f t="shared" si="13"/>
        <v>0</v>
      </c>
      <c r="AF35" s="206">
        <f t="shared" si="13"/>
        <v>0</v>
      </c>
      <c r="AG35" s="206">
        <f t="shared" si="13"/>
        <v>0</v>
      </c>
      <c r="AH35" s="206">
        <f t="shared" si="13"/>
        <v>0</v>
      </c>
      <c r="AI35" s="206">
        <f t="shared" si="13"/>
        <v>0</v>
      </c>
      <c r="AJ35" s="206">
        <f t="shared" si="13"/>
        <v>0</v>
      </c>
      <c r="AK35" s="206">
        <f t="shared" si="13"/>
        <v>0</v>
      </c>
      <c r="AL35" s="206">
        <f t="shared" si="13"/>
        <v>0</v>
      </c>
      <c r="AM35" s="206">
        <f t="shared" si="13"/>
        <v>0</v>
      </c>
      <c r="AN35" s="206">
        <f t="shared" si="13"/>
        <v>0</v>
      </c>
      <c r="AO35" s="206">
        <f t="shared" si="13"/>
        <v>0</v>
      </c>
      <c r="AP35" s="206">
        <f t="shared" si="13"/>
        <v>0</v>
      </c>
      <c r="AQ35" s="206">
        <f t="shared" si="13"/>
        <v>0</v>
      </c>
      <c r="AR35" s="206">
        <f t="shared" si="13"/>
        <v>0</v>
      </c>
      <c r="AS35" s="206">
        <f t="shared" si="13"/>
        <v>0</v>
      </c>
      <c r="AT35" s="206">
        <f t="shared" si="13"/>
        <v>0</v>
      </c>
      <c r="AU35" s="206">
        <f t="shared" si="13"/>
        <v>0</v>
      </c>
      <c r="AV35" s="206">
        <f t="shared" si="13"/>
        <v>0</v>
      </c>
      <c r="AW35" s="206">
        <f t="shared" si="13"/>
        <v>0</v>
      </c>
      <c r="AX35" s="206">
        <f t="shared" si="13"/>
        <v>0</v>
      </c>
      <c r="AY35" s="206">
        <f t="shared" si="13"/>
        <v>0</v>
      </c>
      <c r="AZ35" s="206">
        <f t="shared" si="13"/>
        <v>0</v>
      </c>
      <c r="BA35" s="206">
        <f t="shared" si="13"/>
        <v>0</v>
      </c>
      <c r="BB35" s="206">
        <f t="shared" si="13"/>
        <v>0</v>
      </c>
      <c r="BC35" s="206">
        <f t="shared" si="13"/>
        <v>0</v>
      </c>
      <c r="BD35" s="206">
        <f t="shared" si="13"/>
        <v>0</v>
      </c>
      <c r="BE35" s="206">
        <f t="shared" si="13"/>
        <v>0</v>
      </c>
      <c r="BF35" s="206">
        <f t="shared" si="13"/>
        <v>0</v>
      </c>
      <c r="BG35" s="206">
        <f t="shared" si="13"/>
        <v>0</v>
      </c>
      <c r="BH35" s="206">
        <f t="shared" si="13"/>
        <v>0</v>
      </c>
      <c r="BI35" s="206">
        <f t="shared" si="13"/>
        <v>0</v>
      </c>
      <c r="BJ35" s="206">
        <f t="shared" si="13"/>
        <v>0</v>
      </c>
      <c r="BK35" s="206">
        <f t="shared" si="13"/>
        <v>0</v>
      </c>
      <c r="BL35" s="206">
        <f t="shared" si="13"/>
        <v>0</v>
      </c>
      <c r="BM35" s="206">
        <f t="shared" si="13"/>
        <v>0</v>
      </c>
      <c r="BN35" s="206">
        <f t="shared" si="13"/>
        <v>0</v>
      </c>
      <c r="BO35" s="206">
        <f t="shared" si="13"/>
        <v>0</v>
      </c>
      <c r="BP35" s="206">
        <f t="shared" si="13"/>
        <v>0</v>
      </c>
      <c r="BQ35" s="206">
        <f t="shared" si="13"/>
        <v>0</v>
      </c>
      <c r="BR35" s="206">
        <f t="shared" si="13"/>
        <v>0</v>
      </c>
      <c r="BS35" s="206">
        <f t="shared" si="13"/>
        <v>0</v>
      </c>
      <c r="BT35" s="206">
        <f t="shared" si="13"/>
        <v>0</v>
      </c>
      <c r="BU35" s="206">
        <f t="shared" si="13"/>
        <v>0</v>
      </c>
      <c r="BV35" s="206">
        <f t="shared" si="13"/>
        <v>0</v>
      </c>
      <c r="BW35" s="206">
        <f t="shared" si="13"/>
        <v>0</v>
      </c>
      <c r="BX35" s="206">
        <f t="shared" si="13"/>
        <v>0</v>
      </c>
      <c r="BY35" s="206">
        <f t="shared" si="13"/>
        <v>0</v>
      </c>
      <c r="BZ35" s="206">
        <f t="shared" si="13"/>
        <v>0</v>
      </c>
      <c r="CA35" s="206">
        <f t="shared" si="13"/>
        <v>0</v>
      </c>
      <c r="CB35" s="206">
        <f t="shared" si="13"/>
        <v>0</v>
      </c>
      <c r="CC35" s="206">
        <f t="shared" si="13"/>
        <v>0</v>
      </c>
      <c r="CD35" s="206">
        <f t="shared" ref="CD35:CS35" si="14">CD30+CD34</f>
        <v>0</v>
      </c>
      <c r="CE35" s="206">
        <f t="shared" si="14"/>
        <v>70000000</v>
      </c>
      <c r="CF35" s="206">
        <f t="shared" si="14"/>
        <v>39420000</v>
      </c>
      <c r="CG35" s="206">
        <f t="shared" si="14"/>
        <v>30402600</v>
      </c>
      <c r="CH35" s="206">
        <f t="shared" si="14"/>
        <v>0</v>
      </c>
      <c r="CI35" s="206">
        <f t="shared" si="14"/>
        <v>0</v>
      </c>
      <c r="CJ35" s="206">
        <f t="shared" si="14"/>
        <v>0</v>
      </c>
      <c r="CK35" s="206">
        <f t="shared" si="14"/>
        <v>0</v>
      </c>
      <c r="CL35" s="206">
        <f t="shared" si="14"/>
        <v>0</v>
      </c>
      <c r="CM35" s="206">
        <f t="shared" si="14"/>
        <v>0</v>
      </c>
      <c r="CN35" s="206">
        <f t="shared" si="14"/>
        <v>0</v>
      </c>
      <c r="CO35" s="206">
        <f t="shared" si="14"/>
        <v>0</v>
      </c>
      <c r="CP35" s="206">
        <f t="shared" si="14"/>
        <v>0</v>
      </c>
      <c r="CQ35" s="206">
        <f t="shared" si="14"/>
        <v>0</v>
      </c>
      <c r="CR35" s="206">
        <f t="shared" si="14"/>
        <v>0</v>
      </c>
      <c r="CS35" s="206">
        <f t="shared" si="14"/>
        <v>0</v>
      </c>
      <c r="CT35" s="165">
        <f>CT30+CT34</f>
        <v>70000000</v>
      </c>
      <c r="CU35" s="165">
        <f>CU30+CU34</f>
        <v>39420000</v>
      </c>
      <c r="CV35" s="165">
        <f>CV30+CV34</f>
        <v>30402600</v>
      </c>
    </row>
    <row r="36" spans="1:100" s="27" customFormat="1" ht="15" x14ac:dyDescent="0.25">
      <c r="A36" s="33"/>
      <c r="B36" s="177"/>
      <c r="C36" s="949"/>
      <c r="D36" s="177"/>
      <c r="E36" s="949"/>
      <c r="F36" s="949"/>
      <c r="G36" s="177"/>
      <c r="H36" s="949"/>
      <c r="I36" s="177"/>
      <c r="J36" s="178"/>
      <c r="K36" s="178"/>
      <c r="L36" s="178"/>
      <c r="M36" s="207"/>
      <c r="N36" s="179"/>
      <c r="O36" s="177"/>
      <c r="P36" s="949"/>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1"/>
      <c r="BH36" s="181"/>
      <c r="BI36" s="181"/>
      <c r="BJ36" s="181"/>
      <c r="BK36" s="181"/>
      <c r="BL36" s="181"/>
      <c r="BM36" s="181"/>
      <c r="BN36" s="181"/>
      <c r="BO36" s="181"/>
      <c r="BP36" s="181"/>
      <c r="BQ36" s="181"/>
      <c r="BR36" s="181"/>
      <c r="BS36" s="181"/>
      <c r="BT36" s="181"/>
      <c r="BU36" s="181"/>
      <c r="BV36" s="181"/>
      <c r="BW36" s="181"/>
      <c r="BX36" s="181"/>
      <c r="BY36" s="180"/>
      <c r="BZ36" s="180"/>
      <c r="CA36" s="180"/>
      <c r="CB36" s="180"/>
      <c r="CC36" s="180"/>
      <c r="CD36" s="180"/>
      <c r="CE36" s="182"/>
      <c r="CF36" s="182"/>
      <c r="CG36" s="182"/>
      <c r="CH36" s="180"/>
      <c r="CI36" s="180"/>
      <c r="CJ36" s="180"/>
      <c r="CK36" s="180"/>
      <c r="CL36" s="180"/>
      <c r="CM36" s="180"/>
      <c r="CN36" s="180"/>
      <c r="CO36" s="180"/>
      <c r="CP36" s="180"/>
      <c r="CQ36" s="180"/>
      <c r="CR36" s="180"/>
      <c r="CS36" s="180"/>
      <c r="CT36" s="25"/>
      <c r="CU36" s="76"/>
      <c r="CV36" s="76"/>
    </row>
    <row r="37" spans="1:100" ht="15" x14ac:dyDescent="0.25">
      <c r="A37" s="33"/>
      <c r="B37" s="145">
        <v>27</v>
      </c>
      <c r="C37" s="145" t="s">
        <v>63</v>
      </c>
      <c r="D37" s="146"/>
      <c r="E37" s="146"/>
      <c r="F37" s="146"/>
      <c r="G37" s="146"/>
      <c r="H37" s="147"/>
      <c r="I37" s="146"/>
      <c r="J37" s="146"/>
      <c r="K37" s="146"/>
      <c r="L37" s="146"/>
      <c r="M37" s="146"/>
      <c r="N37" s="677"/>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8"/>
      <c r="CF37" s="148"/>
      <c r="CG37" s="148"/>
      <c r="CH37" s="146"/>
      <c r="CI37" s="146"/>
      <c r="CJ37" s="146"/>
      <c r="CK37" s="146"/>
      <c r="CL37" s="146"/>
      <c r="CM37" s="146"/>
      <c r="CN37" s="146"/>
      <c r="CO37" s="146"/>
      <c r="CP37" s="146"/>
      <c r="CQ37" s="146"/>
      <c r="CR37" s="146"/>
      <c r="CS37" s="146"/>
      <c r="CT37" s="526"/>
      <c r="CU37" s="526"/>
      <c r="CV37" s="526"/>
    </row>
    <row r="38" spans="1:100" ht="15" x14ac:dyDescent="0.25">
      <c r="A38" s="33"/>
      <c r="B38" s="208"/>
      <c r="C38" s="209"/>
      <c r="D38" s="210"/>
      <c r="E38" s="210"/>
      <c r="F38" s="211"/>
      <c r="G38" s="188">
        <v>85</v>
      </c>
      <c r="H38" s="189" t="s">
        <v>64</v>
      </c>
      <c r="I38" s="189"/>
      <c r="J38" s="189"/>
      <c r="K38" s="189"/>
      <c r="L38" s="189"/>
      <c r="M38" s="189"/>
      <c r="N38" s="678"/>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90"/>
      <c r="CF38" s="190"/>
      <c r="CG38" s="190"/>
      <c r="CH38" s="189"/>
      <c r="CI38" s="189"/>
      <c r="CJ38" s="189"/>
      <c r="CK38" s="189"/>
      <c r="CL38" s="189"/>
      <c r="CM38" s="189"/>
      <c r="CN38" s="189"/>
      <c r="CO38" s="189"/>
      <c r="CP38" s="189"/>
      <c r="CQ38" s="189"/>
      <c r="CR38" s="189"/>
      <c r="CS38" s="189"/>
      <c r="CT38" s="522"/>
      <c r="CU38" s="522"/>
      <c r="CV38" s="522"/>
    </row>
    <row r="39" spans="1:100" s="27" customFormat="1" ht="97.5" customHeight="1" x14ac:dyDescent="0.25">
      <c r="A39" s="33"/>
      <c r="B39" s="28"/>
      <c r="C39" s="927">
        <v>37</v>
      </c>
      <c r="D39" s="928" t="s">
        <v>54</v>
      </c>
      <c r="E39" s="35" t="s">
        <v>635</v>
      </c>
      <c r="F39" s="32">
        <v>0.6</v>
      </c>
      <c r="G39" s="917"/>
      <c r="H39" s="914">
        <v>249</v>
      </c>
      <c r="I39" s="928" t="s">
        <v>65</v>
      </c>
      <c r="J39" s="23">
        <v>1</v>
      </c>
      <c r="K39" s="23">
        <v>1</v>
      </c>
      <c r="L39" s="23">
        <v>1</v>
      </c>
      <c r="M39" s="24" t="s">
        <v>66</v>
      </c>
      <c r="N39" s="36" t="s">
        <v>67</v>
      </c>
      <c r="O39" s="928" t="s">
        <v>68</v>
      </c>
      <c r="P39" s="929" t="s">
        <v>38</v>
      </c>
      <c r="Q39" s="25">
        <v>0</v>
      </c>
      <c r="R39" s="25"/>
      <c r="S39" s="25"/>
      <c r="T39" s="25">
        <v>0</v>
      </c>
      <c r="U39" s="25"/>
      <c r="V39" s="25"/>
      <c r="W39" s="25">
        <v>0</v>
      </c>
      <c r="X39" s="25"/>
      <c r="Y39" s="25"/>
      <c r="Z39" s="25">
        <v>0</v>
      </c>
      <c r="AA39" s="25"/>
      <c r="AB39" s="25"/>
      <c r="AC39" s="25">
        <v>0</v>
      </c>
      <c r="AD39" s="25"/>
      <c r="AE39" s="25"/>
      <c r="AF39" s="25">
        <v>0</v>
      </c>
      <c r="AG39" s="25"/>
      <c r="AH39" s="25"/>
      <c r="AI39" s="25">
        <v>0</v>
      </c>
      <c r="AJ39" s="25"/>
      <c r="AK39" s="25"/>
      <c r="AL39" s="25"/>
      <c r="AM39" s="25"/>
      <c r="AN39" s="25"/>
      <c r="AO39" s="25"/>
      <c r="AP39" s="25"/>
      <c r="AQ39" s="25"/>
      <c r="AR39" s="25"/>
      <c r="AS39" s="25"/>
      <c r="AT39" s="25"/>
      <c r="AU39" s="25">
        <v>0</v>
      </c>
      <c r="AV39" s="25"/>
      <c r="AW39" s="25"/>
      <c r="AX39" s="25"/>
      <c r="AY39" s="25"/>
      <c r="AZ39" s="25"/>
      <c r="BA39" s="25">
        <v>0</v>
      </c>
      <c r="BB39" s="25"/>
      <c r="BC39" s="25"/>
      <c r="BD39" s="25">
        <v>0</v>
      </c>
      <c r="BE39" s="25"/>
      <c r="BF39" s="25"/>
      <c r="BG39" s="25"/>
      <c r="BH39" s="25"/>
      <c r="BI39" s="25"/>
      <c r="BJ39" s="25"/>
      <c r="BK39" s="25"/>
      <c r="BL39" s="25"/>
      <c r="BM39" s="25"/>
      <c r="BN39" s="25"/>
      <c r="BO39" s="25"/>
      <c r="BP39" s="25"/>
      <c r="BQ39" s="25"/>
      <c r="BR39" s="25"/>
      <c r="BS39" s="25"/>
      <c r="BT39" s="25"/>
      <c r="BU39" s="25"/>
      <c r="BV39" s="25"/>
      <c r="BW39" s="25"/>
      <c r="BX39" s="25"/>
      <c r="BY39" s="25">
        <v>0</v>
      </c>
      <c r="BZ39" s="25"/>
      <c r="CA39" s="25"/>
      <c r="CB39" s="25">
        <v>0</v>
      </c>
      <c r="CC39" s="25"/>
      <c r="CD39" s="25"/>
      <c r="CE39" s="110">
        <f>120000000+20000000</f>
        <v>140000000</v>
      </c>
      <c r="CF39" s="110">
        <v>112952716</v>
      </c>
      <c r="CG39" s="110">
        <v>112952716</v>
      </c>
      <c r="CH39" s="37"/>
      <c r="CI39" s="37"/>
      <c r="CJ39" s="37"/>
      <c r="CK39" s="25">
        <v>0</v>
      </c>
      <c r="CL39" s="26"/>
      <c r="CM39" s="26"/>
      <c r="CN39" s="26">
        <v>0</v>
      </c>
      <c r="CO39" s="26"/>
      <c r="CP39" s="26"/>
      <c r="CQ39" s="26"/>
      <c r="CR39" s="26"/>
      <c r="CS39" s="26"/>
      <c r="CT39" s="25">
        <f>Q39+T39+W39+Z39+AC39+AF39+AI39+AL39+AO39+AR39+AU39+AX39+BA39+BD39+BG39+BJ39+BM39+BP39+BS39+BV39+BY39+CB39+CE39+CH39+CK39+CQ39+CN39</f>
        <v>140000000</v>
      </c>
      <c r="CU39" s="25">
        <f>R39+U39+X39+AA39+AD39+AG39+AJ39+AM39+AP39+AS39+AV39+AY39+BB39+BE39+BH39+BK39+BN39+BQ39+BT39+BW39+BZ39+CC39+CF39+CI39+CL39+CR39+CO39</f>
        <v>112952716</v>
      </c>
      <c r="CV39" s="25">
        <f>S39+V39+Y39+AB39+AE39+AH39+AK39+AN39+AQ39+AT39+AW39+AZ39+BC39+BF39+BI39+BL39+BO39+BR39+BU39+BX39+CA39+CD39+CG39+CJ39+CM39+CS39+CP39</f>
        <v>112952716</v>
      </c>
    </row>
    <row r="40" spans="1:100" ht="15" x14ac:dyDescent="0.25">
      <c r="A40" s="33"/>
      <c r="B40" s="212"/>
      <c r="C40" s="213"/>
      <c r="D40" s="153"/>
      <c r="E40" s="581"/>
      <c r="F40" s="581"/>
      <c r="G40" s="214"/>
      <c r="H40" s="215"/>
      <c r="I40" s="154"/>
      <c r="J40" s="156"/>
      <c r="K40" s="156"/>
      <c r="L40" s="156"/>
      <c r="M40" s="156"/>
      <c r="N40" s="157"/>
      <c r="O40" s="154"/>
      <c r="P40" s="155"/>
      <c r="Q40" s="158">
        <f t="shared" ref="Q40:CB40" si="15">SUM(Q39)</f>
        <v>0</v>
      </c>
      <c r="R40" s="158">
        <f t="shared" si="15"/>
        <v>0</v>
      </c>
      <c r="S40" s="158">
        <f t="shared" si="15"/>
        <v>0</v>
      </c>
      <c r="T40" s="158">
        <f t="shared" si="15"/>
        <v>0</v>
      </c>
      <c r="U40" s="158">
        <f t="shared" si="15"/>
        <v>0</v>
      </c>
      <c r="V40" s="158">
        <f t="shared" si="15"/>
        <v>0</v>
      </c>
      <c r="W40" s="158">
        <f t="shared" si="15"/>
        <v>0</v>
      </c>
      <c r="X40" s="158">
        <f t="shared" si="15"/>
        <v>0</v>
      </c>
      <c r="Y40" s="158">
        <f t="shared" si="15"/>
        <v>0</v>
      </c>
      <c r="Z40" s="158">
        <f t="shared" si="15"/>
        <v>0</v>
      </c>
      <c r="AA40" s="158">
        <f t="shared" si="15"/>
        <v>0</v>
      </c>
      <c r="AB40" s="158">
        <f t="shared" si="15"/>
        <v>0</v>
      </c>
      <c r="AC40" s="158">
        <f t="shared" si="15"/>
        <v>0</v>
      </c>
      <c r="AD40" s="158">
        <f t="shared" si="15"/>
        <v>0</v>
      </c>
      <c r="AE40" s="158">
        <f t="shared" si="15"/>
        <v>0</v>
      </c>
      <c r="AF40" s="158">
        <f t="shared" si="15"/>
        <v>0</v>
      </c>
      <c r="AG40" s="158">
        <f t="shared" si="15"/>
        <v>0</v>
      </c>
      <c r="AH40" s="158">
        <f t="shared" si="15"/>
        <v>0</v>
      </c>
      <c r="AI40" s="158">
        <f t="shared" si="15"/>
        <v>0</v>
      </c>
      <c r="AJ40" s="158">
        <f t="shared" si="15"/>
        <v>0</v>
      </c>
      <c r="AK40" s="158">
        <f t="shared" si="15"/>
        <v>0</v>
      </c>
      <c r="AL40" s="158">
        <f t="shared" si="15"/>
        <v>0</v>
      </c>
      <c r="AM40" s="158">
        <f t="shared" si="15"/>
        <v>0</v>
      </c>
      <c r="AN40" s="158">
        <f t="shared" si="15"/>
        <v>0</v>
      </c>
      <c r="AO40" s="158">
        <f t="shared" si="15"/>
        <v>0</v>
      </c>
      <c r="AP40" s="158">
        <f t="shared" si="15"/>
        <v>0</v>
      </c>
      <c r="AQ40" s="158">
        <f t="shared" si="15"/>
        <v>0</v>
      </c>
      <c r="AR40" s="158">
        <f t="shared" si="15"/>
        <v>0</v>
      </c>
      <c r="AS40" s="158">
        <f t="shared" si="15"/>
        <v>0</v>
      </c>
      <c r="AT40" s="158">
        <f t="shared" si="15"/>
        <v>0</v>
      </c>
      <c r="AU40" s="158">
        <f t="shared" si="15"/>
        <v>0</v>
      </c>
      <c r="AV40" s="158">
        <f t="shared" si="15"/>
        <v>0</v>
      </c>
      <c r="AW40" s="158">
        <f t="shared" si="15"/>
        <v>0</v>
      </c>
      <c r="AX40" s="158">
        <f t="shared" si="15"/>
        <v>0</v>
      </c>
      <c r="AY40" s="158">
        <f t="shared" si="15"/>
        <v>0</v>
      </c>
      <c r="AZ40" s="158">
        <f t="shared" si="15"/>
        <v>0</v>
      </c>
      <c r="BA40" s="158">
        <f t="shared" si="15"/>
        <v>0</v>
      </c>
      <c r="BB40" s="158">
        <f t="shared" si="15"/>
        <v>0</v>
      </c>
      <c r="BC40" s="158">
        <f t="shared" si="15"/>
        <v>0</v>
      </c>
      <c r="BD40" s="158">
        <f t="shared" si="15"/>
        <v>0</v>
      </c>
      <c r="BE40" s="158">
        <f t="shared" si="15"/>
        <v>0</v>
      </c>
      <c r="BF40" s="158">
        <f t="shared" si="15"/>
        <v>0</v>
      </c>
      <c r="BG40" s="158">
        <f t="shared" si="15"/>
        <v>0</v>
      </c>
      <c r="BH40" s="158">
        <f t="shared" si="15"/>
        <v>0</v>
      </c>
      <c r="BI40" s="158">
        <f t="shared" si="15"/>
        <v>0</v>
      </c>
      <c r="BJ40" s="158">
        <f t="shared" si="15"/>
        <v>0</v>
      </c>
      <c r="BK40" s="158">
        <f t="shared" si="15"/>
        <v>0</v>
      </c>
      <c r="BL40" s="158">
        <f t="shared" si="15"/>
        <v>0</v>
      </c>
      <c r="BM40" s="158">
        <f t="shared" si="15"/>
        <v>0</v>
      </c>
      <c r="BN40" s="158">
        <f t="shared" si="15"/>
        <v>0</v>
      </c>
      <c r="BO40" s="158">
        <f t="shared" si="15"/>
        <v>0</v>
      </c>
      <c r="BP40" s="158">
        <f t="shared" si="15"/>
        <v>0</v>
      </c>
      <c r="BQ40" s="158">
        <f t="shared" si="15"/>
        <v>0</v>
      </c>
      <c r="BR40" s="158">
        <f t="shared" si="15"/>
        <v>0</v>
      </c>
      <c r="BS40" s="158">
        <f t="shared" si="15"/>
        <v>0</v>
      </c>
      <c r="BT40" s="158">
        <f t="shared" si="15"/>
        <v>0</v>
      </c>
      <c r="BU40" s="158">
        <f t="shared" si="15"/>
        <v>0</v>
      </c>
      <c r="BV40" s="158">
        <f t="shared" si="15"/>
        <v>0</v>
      </c>
      <c r="BW40" s="158">
        <f t="shared" si="15"/>
        <v>0</v>
      </c>
      <c r="BX40" s="158">
        <f t="shared" si="15"/>
        <v>0</v>
      </c>
      <c r="BY40" s="158">
        <f t="shared" si="15"/>
        <v>0</v>
      </c>
      <c r="BZ40" s="158">
        <f t="shared" si="15"/>
        <v>0</v>
      </c>
      <c r="CA40" s="158">
        <f t="shared" si="15"/>
        <v>0</v>
      </c>
      <c r="CB40" s="158">
        <f t="shared" si="15"/>
        <v>0</v>
      </c>
      <c r="CC40" s="158">
        <f t="shared" ref="CC40:CS40" si="16">SUM(CC39)</f>
        <v>0</v>
      </c>
      <c r="CD40" s="158">
        <f t="shared" si="16"/>
        <v>0</v>
      </c>
      <c r="CE40" s="158">
        <f t="shared" si="16"/>
        <v>140000000</v>
      </c>
      <c r="CF40" s="158">
        <f t="shared" si="16"/>
        <v>112952716</v>
      </c>
      <c r="CG40" s="158">
        <f t="shared" si="16"/>
        <v>112952716</v>
      </c>
      <c r="CH40" s="158">
        <f t="shared" si="16"/>
        <v>0</v>
      </c>
      <c r="CI40" s="158">
        <f t="shared" si="16"/>
        <v>0</v>
      </c>
      <c r="CJ40" s="158">
        <f t="shared" si="16"/>
        <v>0</v>
      </c>
      <c r="CK40" s="158">
        <f t="shared" si="16"/>
        <v>0</v>
      </c>
      <c r="CL40" s="158">
        <f t="shared" si="16"/>
        <v>0</v>
      </c>
      <c r="CM40" s="158">
        <f t="shared" si="16"/>
        <v>0</v>
      </c>
      <c r="CN40" s="158">
        <f t="shared" si="16"/>
        <v>0</v>
      </c>
      <c r="CO40" s="158">
        <f t="shared" si="16"/>
        <v>0</v>
      </c>
      <c r="CP40" s="158">
        <f t="shared" si="16"/>
        <v>0</v>
      </c>
      <c r="CQ40" s="158">
        <f t="shared" si="16"/>
        <v>0</v>
      </c>
      <c r="CR40" s="158">
        <f t="shared" si="16"/>
        <v>0</v>
      </c>
      <c r="CS40" s="158">
        <f t="shared" si="16"/>
        <v>0</v>
      </c>
      <c r="CT40" s="158">
        <f>SUM(CT39)</f>
        <v>140000000</v>
      </c>
      <c r="CU40" s="158">
        <f>SUM(CU39)</f>
        <v>112952716</v>
      </c>
      <c r="CV40" s="158">
        <f>SUM(CV39)</f>
        <v>112952716</v>
      </c>
    </row>
    <row r="41" spans="1:100" ht="15" x14ac:dyDescent="0.25">
      <c r="A41" s="33"/>
      <c r="B41" s="216"/>
      <c r="C41" s="217"/>
      <c r="D41" s="201"/>
      <c r="E41" s="202"/>
      <c r="F41" s="218"/>
      <c r="G41" s="219"/>
      <c r="H41" s="220"/>
      <c r="I41" s="161"/>
      <c r="J41" s="163"/>
      <c r="K41" s="163"/>
      <c r="L41" s="163"/>
      <c r="M41" s="163"/>
      <c r="N41" s="164"/>
      <c r="O41" s="161"/>
      <c r="P41" s="162"/>
      <c r="Q41" s="165">
        <f t="shared" ref="Q41:CB41" si="17">Q40</f>
        <v>0</v>
      </c>
      <c r="R41" s="165">
        <f t="shared" si="17"/>
        <v>0</v>
      </c>
      <c r="S41" s="165">
        <f t="shared" si="17"/>
        <v>0</v>
      </c>
      <c r="T41" s="165">
        <f t="shared" si="17"/>
        <v>0</v>
      </c>
      <c r="U41" s="165">
        <f t="shared" si="17"/>
        <v>0</v>
      </c>
      <c r="V41" s="165">
        <f t="shared" si="17"/>
        <v>0</v>
      </c>
      <c r="W41" s="165">
        <f t="shared" si="17"/>
        <v>0</v>
      </c>
      <c r="X41" s="165">
        <f t="shared" si="17"/>
        <v>0</v>
      </c>
      <c r="Y41" s="165">
        <f t="shared" si="17"/>
        <v>0</v>
      </c>
      <c r="Z41" s="165">
        <f t="shared" si="17"/>
        <v>0</v>
      </c>
      <c r="AA41" s="165">
        <f t="shared" si="17"/>
        <v>0</v>
      </c>
      <c r="AB41" s="165">
        <f t="shared" si="17"/>
        <v>0</v>
      </c>
      <c r="AC41" s="165">
        <f t="shared" si="17"/>
        <v>0</v>
      </c>
      <c r="AD41" s="165">
        <f t="shared" si="17"/>
        <v>0</v>
      </c>
      <c r="AE41" s="165">
        <f t="shared" si="17"/>
        <v>0</v>
      </c>
      <c r="AF41" s="165">
        <f t="shared" si="17"/>
        <v>0</v>
      </c>
      <c r="AG41" s="165">
        <f t="shared" si="17"/>
        <v>0</v>
      </c>
      <c r="AH41" s="165">
        <f t="shared" si="17"/>
        <v>0</v>
      </c>
      <c r="AI41" s="165">
        <f t="shared" si="17"/>
        <v>0</v>
      </c>
      <c r="AJ41" s="165">
        <f t="shared" si="17"/>
        <v>0</v>
      </c>
      <c r="AK41" s="165">
        <f t="shared" si="17"/>
        <v>0</v>
      </c>
      <c r="AL41" s="165">
        <f t="shared" si="17"/>
        <v>0</v>
      </c>
      <c r="AM41" s="165">
        <f t="shared" si="17"/>
        <v>0</v>
      </c>
      <c r="AN41" s="165">
        <f t="shared" si="17"/>
        <v>0</v>
      </c>
      <c r="AO41" s="165">
        <f t="shared" si="17"/>
        <v>0</v>
      </c>
      <c r="AP41" s="165">
        <f t="shared" si="17"/>
        <v>0</v>
      </c>
      <c r="AQ41" s="165">
        <f t="shared" si="17"/>
        <v>0</v>
      </c>
      <c r="AR41" s="165">
        <f t="shared" si="17"/>
        <v>0</v>
      </c>
      <c r="AS41" s="165">
        <f t="shared" si="17"/>
        <v>0</v>
      </c>
      <c r="AT41" s="165">
        <f t="shared" si="17"/>
        <v>0</v>
      </c>
      <c r="AU41" s="165">
        <f t="shared" si="17"/>
        <v>0</v>
      </c>
      <c r="AV41" s="165">
        <f t="shared" si="17"/>
        <v>0</v>
      </c>
      <c r="AW41" s="165">
        <f t="shared" si="17"/>
        <v>0</v>
      </c>
      <c r="AX41" s="165">
        <f t="shared" si="17"/>
        <v>0</v>
      </c>
      <c r="AY41" s="165">
        <f t="shared" si="17"/>
        <v>0</v>
      </c>
      <c r="AZ41" s="165">
        <f t="shared" si="17"/>
        <v>0</v>
      </c>
      <c r="BA41" s="165">
        <f t="shared" si="17"/>
        <v>0</v>
      </c>
      <c r="BB41" s="165">
        <f t="shared" si="17"/>
        <v>0</v>
      </c>
      <c r="BC41" s="165">
        <f t="shared" si="17"/>
        <v>0</v>
      </c>
      <c r="BD41" s="165">
        <f t="shared" si="17"/>
        <v>0</v>
      </c>
      <c r="BE41" s="165">
        <f t="shared" si="17"/>
        <v>0</v>
      </c>
      <c r="BF41" s="165">
        <f t="shared" si="17"/>
        <v>0</v>
      </c>
      <c r="BG41" s="165">
        <f t="shared" si="17"/>
        <v>0</v>
      </c>
      <c r="BH41" s="165">
        <f t="shared" si="17"/>
        <v>0</v>
      </c>
      <c r="BI41" s="165">
        <f t="shared" si="17"/>
        <v>0</v>
      </c>
      <c r="BJ41" s="165">
        <f t="shared" si="17"/>
        <v>0</v>
      </c>
      <c r="BK41" s="165">
        <f t="shared" si="17"/>
        <v>0</v>
      </c>
      <c r="BL41" s="165">
        <f t="shared" si="17"/>
        <v>0</v>
      </c>
      <c r="BM41" s="165">
        <f t="shared" si="17"/>
        <v>0</v>
      </c>
      <c r="BN41" s="165">
        <f t="shared" si="17"/>
        <v>0</v>
      </c>
      <c r="BO41" s="165">
        <f t="shared" si="17"/>
        <v>0</v>
      </c>
      <c r="BP41" s="165">
        <f t="shared" si="17"/>
        <v>0</v>
      </c>
      <c r="BQ41" s="165">
        <f t="shared" si="17"/>
        <v>0</v>
      </c>
      <c r="BR41" s="165">
        <f t="shared" si="17"/>
        <v>0</v>
      </c>
      <c r="BS41" s="165">
        <f t="shared" si="17"/>
        <v>0</v>
      </c>
      <c r="BT41" s="165">
        <f t="shared" si="17"/>
        <v>0</v>
      </c>
      <c r="BU41" s="165">
        <f t="shared" si="17"/>
        <v>0</v>
      </c>
      <c r="BV41" s="165">
        <f t="shared" si="17"/>
        <v>0</v>
      </c>
      <c r="BW41" s="165">
        <f t="shared" si="17"/>
        <v>0</v>
      </c>
      <c r="BX41" s="165">
        <f t="shared" si="17"/>
        <v>0</v>
      </c>
      <c r="BY41" s="165">
        <f t="shared" si="17"/>
        <v>0</v>
      </c>
      <c r="BZ41" s="165">
        <f t="shared" si="17"/>
        <v>0</v>
      </c>
      <c r="CA41" s="165">
        <f t="shared" si="17"/>
        <v>0</v>
      </c>
      <c r="CB41" s="165">
        <f t="shared" si="17"/>
        <v>0</v>
      </c>
      <c r="CC41" s="165">
        <f t="shared" ref="CC41:CS41" si="18">CC40</f>
        <v>0</v>
      </c>
      <c r="CD41" s="165">
        <f t="shared" si="18"/>
        <v>0</v>
      </c>
      <c r="CE41" s="165">
        <f t="shared" si="18"/>
        <v>140000000</v>
      </c>
      <c r="CF41" s="165">
        <f t="shared" si="18"/>
        <v>112952716</v>
      </c>
      <c r="CG41" s="165">
        <f t="shared" si="18"/>
        <v>112952716</v>
      </c>
      <c r="CH41" s="165">
        <f t="shared" si="18"/>
        <v>0</v>
      </c>
      <c r="CI41" s="165">
        <f t="shared" si="18"/>
        <v>0</v>
      </c>
      <c r="CJ41" s="165">
        <f t="shared" si="18"/>
        <v>0</v>
      </c>
      <c r="CK41" s="165">
        <f t="shared" si="18"/>
        <v>0</v>
      </c>
      <c r="CL41" s="165">
        <f t="shared" si="18"/>
        <v>0</v>
      </c>
      <c r="CM41" s="165">
        <f t="shared" si="18"/>
        <v>0</v>
      </c>
      <c r="CN41" s="165">
        <f t="shared" si="18"/>
        <v>0</v>
      </c>
      <c r="CO41" s="165">
        <f t="shared" si="18"/>
        <v>0</v>
      </c>
      <c r="CP41" s="165">
        <f t="shared" si="18"/>
        <v>0</v>
      </c>
      <c r="CQ41" s="165">
        <f t="shared" si="18"/>
        <v>0</v>
      </c>
      <c r="CR41" s="165">
        <f t="shared" si="18"/>
        <v>0</v>
      </c>
      <c r="CS41" s="165">
        <f t="shared" si="18"/>
        <v>0</v>
      </c>
      <c r="CT41" s="165">
        <f>CT40</f>
        <v>140000000</v>
      </c>
      <c r="CU41" s="165">
        <f>CU40</f>
        <v>112952716</v>
      </c>
      <c r="CV41" s="165">
        <f>CV40</f>
        <v>112952716</v>
      </c>
    </row>
    <row r="42" spans="1:100" ht="15" x14ac:dyDescent="0.25">
      <c r="A42" s="33"/>
      <c r="B42" s="177"/>
      <c r="C42" s="949"/>
      <c r="D42" s="177"/>
      <c r="E42" s="949"/>
      <c r="F42" s="949"/>
      <c r="G42" s="221"/>
      <c r="H42" s="930"/>
      <c r="I42" s="177"/>
      <c r="J42" s="178"/>
      <c r="K42" s="178"/>
      <c r="L42" s="178"/>
      <c r="M42" s="178"/>
      <c r="N42" s="179"/>
      <c r="O42" s="177"/>
      <c r="P42" s="949"/>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1"/>
      <c r="BH42" s="181"/>
      <c r="BI42" s="181"/>
      <c r="BJ42" s="181"/>
      <c r="BK42" s="181"/>
      <c r="BL42" s="181"/>
      <c r="BM42" s="181"/>
      <c r="BN42" s="181"/>
      <c r="BO42" s="181"/>
      <c r="BP42" s="181"/>
      <c r="BQ42" s="181"/>
      <c r="BR42" s="181"/>
      <c r="BS42" s="181"/>
      <c r="BT42" s="181"/>
      <c r="BU42" s="181"/>
      <c r="BV42" s="181"/>
      <c r="BW42" s="181"/>
      <c r="BX42" s="181"/>
      <c r="BY42" s="180"/>
      <c r="BZ42" s="180"/>
      <c r="CA42" s="180"/>
      <c r="CB42" s="180"/>
      <c r="CC42" s="180"/>
      <c r="CD42" s="180"/>
      <c r="CE42" s="182"/>
      <c r="CF42" s="182"/>
      <c r="CG42" s="182"/>
      <c r="CH42" s="183"/>
      <c r="CI42" s="183"/>
      <c r="CJ42" s="183"/>
      <c r="CK42" s="180"/>
      <c r="CL42" s="180"/>
      <c r="CM42" s="180"/>
      <c r="CN42" s="180"/>
      <c r="CO42" s="180"/>
      <c r="CP42" s="180"/>
      <c r="CQ42" s="180"/>
      <c r="CR42" s="180"/>
      <c r="CS42" s="180"/>
      <c r="CT42" s="25"/>
      <c r="CU42" s="516"/>
      <c r="CV42" s="516"/>
    </row>
    <row r="43" spans="1:100" ht="15" x14ac:dyDescent="0.25">
      <c r="A43" s="33"/>
      <c r="B43" s="222">
        <v>28</v>
      </c>
      <c r="C43" s="993" t="s">
        <v>27</v>
      </c>
      <c r="D43" s="146"/>
      <c r="E43" s="146"/>
      <c r="F43" s="146"/>
      <c r="G43" s="146"/>
      <c r="H43" s="147"/>
      <c r="I43" s="146"/>
      <c r="J43" s="146"/>
      <c r="K43" s="146"/>
      <c r="L43" s="146"/>
      <c r="M43" s="146"/>
      <c r="N43" s="677"/>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8"/>
      <c r="CF43" s="148"/>
      <c r="CG43" s="148"/>
      <c r="CH43" s="146"/>
      <c r="CI43" s="146"/>
      <c r="CJ43" s="146"/>
      <c r="CK43" s="146"/>
      <c r="CL43" s="146"/>
      <c r="CM43" s="146"/>
      <c r="CN43" s="146"/>
      <c r="CO43" s="146"/>
      <c r="CP43" s="146"/>
      <c r="CQ43" s="146"/>
      <c r="CR43" s="146"/>
      <c r="CS43" s="146"/>
      <c r="CT43" s="526"/>
      <c r="CU43" s="526"/>
      <c r="CV43" s="526"/>
    </row>
    <row r="44" spans="1:100" ht="15" x14ac:dyDescent="0.25">
      <c r="A44" s="33"/>
      <c r="B44" s="22"/>
      <c r="C44" s="929"/>
      <c r="D44" s="928"/>
      <c r="E44" s="929"/>
      <c r="F44" s="929"/>
      <c r="G44" s="994">
        <v>87</v>
      </c>
      <c r="H44" s="223" t="s">
        <v>69</v>
      </c>
      <c r="I44" s="224"/>
      <c r="J44" s="224"/>
      <c r="K44" s="224"/>
      <c r="L44" s="224"/>
      <c r="M44" s="224"/>
      <c r="N44" s="680"/>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5"/>
      <c r="CF44" s="225"/>
      <c r="CG44" s="225"/>
      <c r="CH44" s="224"/>
      <c r="CI44" s="224"/>
      <c r="CJ44" s="224"/>
      <c r="CK44" s="224"/>
      <c r="CL44" s="224"/>
      <c r="CM44" s="224"/>
      <c r="CN44" s="224"/>
      <c r="CO44" s="224"/>
      <c r="CP44" s="224"/>
      <c r="CQ44" s="224"/>
      <c r="CR44" s="224"/>
      <c r="CS44" s="224"/>
      <c r="CT44" s="736"/>
      <c r="CU44" s="736"/>
      <c r="CV44" s="736"/>
    </row>
    <row r="45" spans="1:100" s="27" customFormat="1" ht="60.75" customHeight="1" x14ac:dyDescent="0.25">
      <c r="A45" s="33"/>
      <c r="B45" s="28"/>
      <c r="C45" s="1021">
        <v>38</v>
      </c>
      <c r="D45" s="1012" t="s">
        <v>39</v>
      </c>
      <c r="E45" s="1021">
        <v>0</v>
      </c>
      <c r="F45" s="1021">
        <v>2</v>
      </c>
      <c r="G45" s="28"/>
      <c r="H45" s="929">
        <v>257</v>
      </c>
      <c r="I45" s="928" t="s">
        <v>70</v>
      </c>
      <c r="J45" s="10">
        <v>0</v>
      </c>
      <c r="K45" s="10">
        <v>1</v>
      </c>
      <c r="L45" s="23">
        <v>1</v>
      </c>
      <c r="M45" s="1137" t="s">
        <v>31</v>
      </c>
      <c r="N45" s="1017" t="s">
        <v>71</v>
      </c>
      <c r="O45" s="1166" t="s">
        <v>72</v>
      </c>
      <c r="P45" s="38" t="s">
        <v>38</v>
      </c>
      <c r="Q45" s="25">
        <v>0</v>
      </c>
      <c r="R45" s="25"/>
      <c r="S45" s="25"/>
      <c r="T45" s="25">
        <v>0</v>
      </c>
      <c r="U45" s="25"/>
      <c r="V45" s="25"/>
      <c r="W45" s="25">
        <v>0</v>
      </c>
      <c r="X45" s="25"/>
      <c r="Y45" s="25"/>
      <c r="Z45" s="25">
        <v>0</v>
      </c>
      <c r="AA45" s="25"/>
      <c r="AB45" s="25"/>
      <c r="AC45" s="25">
        <v>0</v>
      </c>
      <c r="AD45" s="25"/>
      <c r="AE45" s="25"/>
      <c r="AF45" s="25">
        <v>0</v>
      </c>
      <c r="AG45" s="25"/>
      <c r="AH45" s="25"/>
      <c r="AI45" s="25">
        <v>0</v>
      </c>
      <c r="AJ45" s="25"/>
      <c r="AK45" s="25"/>
      <c r="AL45" s="25"/>
      <c r="AM45" s="25"/>
      <c r="AN45" s="25"/>
      <c r="AO45" s="25"/>
      <c r="AP45" s="25"/>
      <c r="AQ45" s="25"/>
      <c r="AR45" s="25"/>
      <c r="AS45" s="25"/>
      <c r="AT45" s="25"/>
      <c r="AU45" s="25">
        <v>0</v>
      </c>
      <c r="AV45" s="25"/>
      <c r="AW45" s="25"/>
      <c r="AX45" s="25"/>
      <c r="AY45" s="25"/>
      <c r="AZ45" s="25"/>
      <c r="BA45" s="25">
        <v>0</v>
      </c>
      <c r="BB45" s="25"/>
      <c r="BC45" s="25"/>
      <c r="BD45" s="25">
        <v>0</v>
      </c>
      <c r="BE45" s="25"/>
      <c r="BF45" s="25"/>
      <c r="BG45" s="25"/>
      <c r="BH45" s="25"/>
      <c r="BI45" s="25"/>
      <c r="BJ45" s="25"/>
      <c r="BK45" s="25"/>
      <c r="BL45" s="25"/>
      <c r="BM45" s="25"/>
      <c r="BN45" s="25"/>
      <c r="BO45" s="25"/>
      <c r="BP45" s="25"/>
      <c r="BQ45" s="25"/>
      <c r="BR45" s="25"/>
      <c r="BS45" s="25"/>
      <c r="BT45" s="25"/>
      <c r="BU45" s="25"/>
      <c r="BV45" s="25"/>
      <c r="BW45" s="25"/>
      <c r="BX45" s="25"/>
      <c r="BY45" s="25">
        <v>0</v>
      </c>
      <c r="BZ45" s="25"/>
      <c r="CA45" s="25"/>
      <c r="CB45" s="25">
        <v>0</v>
      </c>
      <c r="CC45" s="25"/>
      <c r="CD45" s="25"/>
      <c r="CE45" s="110">
        <v>120200000</v>
      </c>
      <c r="CF45" s="110">
        <v>118002000</v>
      </c>
      <c r="CG45" s="110">
        <v>118002000</v>
      </c>
      <c r="CH45" s="13"/>
      <c r="CI45" s="13"/>
      <c r="CJ45" s="13"/>
      <c r="CK45" s="25">
        <v>0</v>
      </c>
      <c r="CL45" s="26"/>
      <c r="CM45" s="26"/>
      <c r="CN45" s="26">
        <v>0</v>
      </c>
      <c r="CO45" s="26"/>
      <c r="CP45" s="26"/>
      <c r="CQ45" s="26"/>
      <c r="CR45" s="26"/>
      <c r="CS45" s="26"/>
      <c r="CT45" s="25">
        <f t="shared" ref="CT45:CV62" si="19">Q45+T45+W45+Z45+AC45+AF45+AI45+AL45+AO45+AR45+AU45+AX45+BA45+BD45+BG45+BJ45+BM45+BP45+BS45+BV45+BY45+CB45+CE45+CH45+CK45+CQ45+CN45</f>
        <v>120200000</v>
      </c>
      <c r="CU45" s="25">
        <f t="shared" si="19"/>
        <v>118002000</v>
      </c>
      <c r="CV45" s="25">
        <f t="shared" si="19"/>
        <v>118002000</v>
      </c>
    </row>
    <row r="46" spans="1:100" s="27" customFormat="1" ht="87.75" customHeight="1" x14ac:dyDescent="0.25">
      <c r="A46" s="33"/>
      <c r="B46" s="28"/>
      <c r="C46" s="1023"/>
      <c r="D46" s="1020"/>
      <c r="E46" s="1023"/>
      <c r="F46" s="1023"/>
      <c r="G46" s="28"/>
      <c r="H46" s="929">
        <v>258</v>
      </c>
      <c r="I46" s="928" t="s">
        <v>73</v>
      </c>
      <c r="J46" s="10">
        <v>0</v>
      </c>
      <c r="K46" s="10">
        <v>1</v>
      </c>
      <c r="L46" s="10">
        <v>1</v>
      </c>
      <c r="M46" s="1138"/>
      <c r="N46" s="1018"/>
      <c r="O46" s="1167"/>
      <c r="P46" s="38" t="s">
        <v>38</v>
      </c>
      <c r="Q46" s="25">
        <v>0</v>
      </c>
      <c r="R46" s="25"/>
      <c r="S46" s="25"/>
      <c r="T46" s="25">
        <v>0</v>
      </c>
      <c r="U46" s="25"/>
      <c r="V46" s="25"/>
      <c r="W46" s="25">
        <v>0</v>
      </c>
      <c r="X46" s="25"/>
      <c r="Y46" s="25"/>
      <c r="Z46" s="25">
        <v>0</v>
      </c>
      <c r="AA46" s="25"/>
      <c r="AB46" s="25"/>
      <c r="AC46" s="25">
        <v>0</v>
      </c>
      <c r="AD46" s="25"/>
      <c r="AE46" s="25"/>
      <c r="AF46" s="25">
        <v>0</v>
      </c>
      <c r="AG46" s="25"/>
      <c r="AH46" s="25"/>
      <c r="AI46" s="25">
        <v>0</v>
      </c>
      <c r="AJ46" s="25"/>
      <c r="AK46" s="25"/>
      <c r="AL46" s="25"/>
      <c r="AM46" s="25"/>
      <c r="AN46" s="25"/>
      <c r="AO46" s="25"/>
      <c r="AP46" s="25"/>
      <c r="AQ46" s="25"/>
      <c r="AR46" s="25"/>
      <c r="AS46" s="25"/>
      <c r="AT46" s="25"/>
      <c r="AU46" s="25">
        <v>0</v>
      </c>
      <c r="AV46" s="25"/>
      <c r="AW46" s="25"/>
      <c r="AX46" s="25"/>
      <c r="AY46" s="25"/>
      <c r="AZ46" s="25"/>
      <c r="BA46" s="25">
        <v>0</v>
      </c>
      <c r="BB46" s="25"/>
      <c r="BC46" s="25"/>
      <c r="BD46" s="25">
        <v>0</v>
      </c>
      <c r="BE46" s="25"/>
      <c r="BF46" s="25"/>
      <c r="BG46" s="25"/>
      <c r="BH46" s="25"/>
      <c r="BI46" s="25"/>
      <c r="BJ46" s="25"/>
      <c r="BK46" s="25"/>
      <c r="BL46" s="25"/>
      <c r="BM46" s="25"/>
      <c r="BN46" s="25"/>
      <c r="BO46" s="25"/>
      <c r="BP46" s="25"/>
      <c r="BQ46" s="25"/>
      <c r="BR46" s="25"/>
      <c r="BS46" s="25"/>
      <c r="BT46" s="25"/>
      <c r="BU46" s="25"/>
      <c r="BV46" s="25"/>
      <c r="BW46" s="25"/>
      <c r="BX46" s="25"/>
      <c r="BY46" s="25">
        <v>0</v>
      </c>
      <c r="BZ46" s="25"/>
      <c r="CA46" s="25"/>
      <c r="CB46" s="25">
        <v>0</v>
      </c>
      <c r="CC46" s="25"/>
      <c r="CD46" s="25"/>
      <c r="CE46" s="110">
        <v>20000000</v>
      </c>
      <c r="CF46" s="110">
        <v>20000000</v>
      </c>
      <c r="CG46" s="110">
        <v>20000000</v>
      </c>
      <c r="CH46" s="13"/>
      <c r="CI46" s="13"/>
      <c r="CJ46" s="13"/>
      <c r="CK46" s="25">
        <v>0</v>
      </c>
      <c r="CL46" s="26"/>
      <c r="CM46" s="26"/>
      <c r="CN46" s="26">
        <v>0</v>
      </c>
      <c r="CO46" s="26"/>
      <c r="CP46" s="26"/>
      <c r="CQ46" s="26"/>
      <c r="CR46" s="26"/>
      <c r="CS46" s="26"/>
      <c r="CT46" s="25">
        <f t="shared" si="19"/>
        <v>20000000</v>
      </c>
      <c r="CU46" s="25">
        <f t="shared" si="19"/>
        <v>20000000</v>
      </c>
      <c r="CV46" s="25">
        <f t="shared" si="19"/>
        <v>20000000</v>
      </c>
    </row>
    <row r="47" spans="1:100" s="27" customFormat="1" ht="72" customHeight="1" x14ac:dyDescent="0.25">
      <c r="A47" s="33"/>
      <c r="B47" s="28"/>
      <c r="C47" s="1023"/>
      <c r="D47" s="1020"/>
      <c r="E47" s="1023"/>
      <c r="F47" s="1023"/>
      <c r="G47" s="28"/>
      <c r="H47" s="929">
        <v>259</v>
      </c>
      <c r="I47" s="928" t="s">
        <v>74</v>
      </c>
      <c r="J47" s="23">
        <v>1</v>
      </c>
      <c r="K47" s="23">
        <v>1</v>
      </c>
      <c r="L47" s="23">
        <v>1</v>
      </c>
      <c r="M47" s="1138"/>
      <c r="N47" s="1018"/>
      <c r="O47" s="1167"/>
      <c r="P47" s="38" t="s">
        <v>38</v>
      </c>
      <c r="Q47" s="25">
        <v>0</v>
      </c>
      <c r="R47" s="25"/>
      <c r="S47" s="25"/>
      <c r="T47" s="25">
        <v>0</v>
      </c>
      <c r="U47" s="25"/>
      <c r="V47" s="25"/>
      <c r="W47" s="25">
        <v>0</v>
      </c>
      <c r="X47" s="25"/>
      <c r="Y47" s="25"/>
      <c r="Z47" s="25">
        <v>0</v>
      </c>
      <c r="AA47" s="25"/>
      <c r="AB47" s="25"/>
      <c r="AC47" s="25">
        <v>0</v>
      </c>
      <c r="AD47" s="25"/>
      <c r="AE47" s="25"/>
      <c r="AF47" s="25">
        <v>0</v>
      </c>
      <c r="AG47" s="25"/>
      <c r="AH47" s="25"/>
      <c r="AI47" s="25">
        <v>0</v>
      </c>
      <c r="AJ47" s="25"/>
      <c r="AK47" s="25"/>
      <c r="AL47" s="25"/>
      <c r="AM47" s="25"/>
      <c r="AN47" s="25"/>
      <c r="AO47" s="25"/>
      <c r="AP47" s="25"/>
      <c r="AQ47" s="25"/>
      <c r="AR47" s="25"/>
      <c r="AS47" s="25"/>
      <c r="AT47" s="25"/>
      <c r="AU47" s="25">
        <v>0</v>
      </c>
      <c r="AV47" s="25"/>
      <c r="AW47" s="25"/>
      <c r="AX47" s="25"/>
      <c r="AY47" s="25"/>
      <c r="AZ47" s="25"/>
      <c r="BA47" s="25">
        <v>0</v>
      </c>
      <c r="BB47" s="25"/>
      <c r="BC47" s="25"/>
      <c r="BD47" s="25">
        <v>0</v>
      </c>
      <c r="BE47" s="25"/>
      <c r="BF47" s="25"/>
      <c r="BG47" s="25"/>
      <c r="BH47" s="25"/>
      <c r="BI47" s="25"/>
      <c r="BJ47" s="25"/>
      <c r="BK47" s="25"/>
      <c r="BL47" s="25"/>
      <c r="BM47" s="25"/>
      <c r="BN47" s="25"/>
      <c r="BO47" s="25"/>
      <c r="BP47" s="25"/>
      <c r="BQ47" s="25"/>
      <c r="BR47" s="25"/>
      <c r="BS47" s="25"/>
      <c r="BT47" s="25"/>
      <c r="BU47" s="25"/>
      <c r="BV47" s="25"/>
      <c r="BW47" s="25"/>
      <c r="BX47" s="25"/>
      <c r="BY47" s="25">
        <v>0</v>
      </c>
      <c r="BZ47" s="25"/>
      <c r="CA47" s="25"/>
      <c r="CB47" s="25">
        <v>0</v>
      </c>
      <c r="CC47" s="25"/>
      <c r="CD47" s="25"/>
      <c r="CE47" s="111">
        <v>9000000</v>
      </c>
      <c r="CF47" s="111">
        <v>5633333</v>
      </c>
      <c r="CG47" s="111">
        <v>5633333</v>
      </c>
      <c r="CH47" s="39"/>
      <c r="CI47" s="39"/>
      <c r="CJ47" s="39"/>
      <c r="CK47" s="25">
        <v>0</v>
      </c>
      <c r="CL47" s="26"/>
      <c r="CM47" s="26"/>
      <c r="CN47" s="26">
        <v>0</v>
      </c>
      <c r="CO47" s="26"/>
      <c r="CP47" s="26"/>
      <c r="CQ47" s="26"/>
      <c r="CR47" s="26"/>
      <c r="CS47" s="26"/>
      <c r="CT47" s="25">
        <f t="shared" si="19"/>
        <v>9000000</v>
      </c>
      <c r="CU47" s="25">
        <f t="shared" si="19"/>
        <v>5633333</v>
      </c>
      <c r="CV47" s="25">
        <f t="shared" si="19"/>
        <v>5633333</v>
      </c>
    </row>
    <row r="48" spans="1:100" s="27" customFormat="1" ht="52.5" customHeight="1" x14ac:dyDescent="0.25">
      <c r="A48" s="33"/>
      <c r="B48" s="28"/>
      <c r="C48" s="1023"/>
      <c r="D48" s="1020"/>
      <c r="E48" s="1023"/>
      <c r="F48" s="1023"/>
      <c r="G48" s="28"/>
      <c r="H48" s="929">
        <v>263</v>
      </c>
      <c r="I48" s="928" t="s">
        <v>75</v>
      </c>
      <c r="J48" s="23">
        <v>1</v>
      </c>
      <c r="K48" s="23">
        <v>1</v>
      </c>
      <c r="L48" s="23">
        <v>1</v>
      </c>
      <c r="M48" s="1138"/>
      <c r="N48" s="1018"/>
      <c r="O48" s="1167"/>
      <c r="P48" s="38" t="s">
        <v>38</v>
      </c>
      <c r="Q48" s="25">
        <v>0</v>
      </c>
      <c r="R48" s="25"/>
      <c r="S48" s="25"/>
      <c r="T48" s="25">
        <v>0</v>
      </c>
      <c r="U48" s="25"/>
      <c r="V48" s="25"/>
      <c r="W48" s="25">
        <v>0</v>
      </c>
      <c r="X48" s="25"/>
      <c r="Y48" s="25"/>
      <c r="Z48" s="25">
        <v>0</v>
      </c>
      <c r="AA48" s="25"/>
      <c r="AB48" s="25"/>
      <c r="AC48" s="25">
        <v>0</v>
      </c>
      <c r="AD48" s="25"/>
      <c r="AE48" s="25"/>
      <c r="AF48" s="25">
        <v>0</v>
      </c>
      <c r="AG48" s="25"/>
      <c r="AH48" s="25"/>
      <c r="AI48" s="25">
        <v>0</v>
      </c>
      <c r="AJ48" s="25"/>
      <c r="AK48" s="25"/>
      <c r="AL48" s="25"/>
      <c r="AM48" s="25"/>
      <c r="AN48" s="25"/>
      <c r="AO48" s="25"/>
      <c r="AP48" s="25"/>
      <c r="AQ48" s="25"/>
      <c r="AR48" s="25"/>
      <c r="AS48" s="25"/>
      <c r="AT48" s="25"/>
      <c r="AU48" s="25">
        <v>0</v>
      </c>
      <c r="AV48" s="25"/>
      <c r="AW48" s="25"/>
      <c r="AX48" s="25"/>
      <c r="AY48" s="25"/>
      <c r="AZ48" s="25"/>
      <c r="BA48" s="25">
        <v>0</v>
      </c>
      <c r="BB48" s="25"/>
      <c r="BC48" s="25"/>
      <c r="BD48" s="25">
        <v>0</v>
      </c>
      <c r="BE48" s="25"/>
      <c r="BF48" s="25"/>
      <c r="BG48" s="25"/>
      <c r="BH48" s="25"/>
      <c r="BI48" s="25"/>
      <c r="BJ48" s="25"/>
      <c r="BK48" s="25"/>
      <c r="BL48" s="25"/>
      <c r="BM48" s="25"/>
      <c r="BN48" s="25"/>
      <c r="BO48" s="25"/>
      <c r="BP48" s="25"/>
      <c r="BQ48" s="25"/>
      <c r="BR48" s="25"/>
      <c r="BS48" s="25"/>
      <c r="BT48" s="25"/>
      <c r="BU48" s="25"/>
      <c r="BV48" s="25"/>
      <c r="BW48" s="25"/>
      <c r="BX48" s="25"/>
      <c r="BY48" s="25">
        <v>0</v>
      </c>
      <c r="BZ48" s="25"/>
      <c r="CA48" s="25"/>
      <c r="CB48" s="25">
        <v>0</v>
      </c>
      <c r="CC48" s="25"/>
      <c r="CD48" s="25"/>
      <c r="CE48" s="111">
        <v>86500000</v>
      </c>
      <c r="CF48" s="111">
        <v>84568477</v>
      </c>
      <c r="CG48" s="111">
        <v>84568477</v>
      </c>
      <c r="CH48" s="39"/>
      <c r="CI48" s="39"/>
      <c r="CJ48" s="39"/>
      <c r="CK48" s="25">
        <v>0</v>
      </c>
      <c r="CL48" s="26"/>
      <c r="CM48" s="26"/>
      <c r="CN48" s="26">
        <v>0</v>
      </c>
      <c r="CO48" s="26"/>
      <c r="CP48" s="26"/>
      <c r="CQ48" s="26"/>
      <c r="CR48" s="26"/>
      <c r="CS48" s="26"/>
      <c r="CT48" s="25">
        <f t="shared" si="19"/>
        <v>86500000</v>
      </c>
      <c r="CU48" s="25">
        <f t="shared" si="19"/>
        <v>84568477</v>
      </c>
      <c r="CV48" s="25">
        <f t="shared" si="19"/>
        <v>84568477</v>
      </c>
    </row>
    <row r="49" spans="1:100" s="27" customFormat="1" ht="61.5" customHeight="1" x14ac:dyDescent="0.25">
      <c r="A49" s="33"/>
      <c r="B49" s="28"/>
      <c r="C49" s="1022"/>
      <c r="D49" s="1013"/>
      <c r="E49" s="1022"/>
      <c r="F49" s="1022"/>
      <c r="G49" s="28"/>
      <c r="H49" s="929">
        <v>261</v>
      </c>
      <c r="I49" s="928" t="s">
        <v>76</v>
      </c>
      <c r="J49" s="23">
        <v>1</v>
      </c>
      <c r="K49" s="23">
        <v>2</v>
      </c>
      <c r="L49" s="23">
        <v>1.5</v>
      </c>
      <c r="M49" s="1139"/>
      <c r="N49" s="1019"/>
      <c r="O49" s="1168"/>
      <c r="P49" s="38" t="s">
        <v>38</v>
      </c>
      <c r="Q49" s="25">
        <v>0</v>
      </c>
      <c r="R49" s="25"/>
      <c r="S49" s="25"/>
      <c r="T49" s="25">
        <v>0</v>
      </c>
      <c r="U49" s="25"/>
      <c r="V49" s="25"/>
      <c r="W49" s="25">
        <v>0</v>
      </c>
      <c r="X49" s="25"/>
      <c r="Y49" s="25"/>
      <c r="Z49" s="25">
        <v>0</v>
      </c>
      <c r="AA49" s="25"/>
      <c r="AB49" s="25"/>
      <c r="AC49" s="25">
        <v>0</v>
      </c>
      <c r="AD49" s="25"/>
      <c r="AE49" s="25"/>
      <c r="AF49" s="25">
        <v>0</v>
      </c>
      <c r="AG49" s="25"/>
      <c r="AH49" s="25"/>
      <c r="AI49" s="25">
        <v>0</v>
      </c>
      <c r="AJ49" s="25"/>
      <c r="AK49" s="25"/>
      <c r="AL49" s="25"/>
      <c r="AM49" s="25"/>
      <c r="AN49" s="25"/>
      <c r="AO49" s="25"/>
      <c r="AP49" s="25"/>
      <c r="AQ49" s="25"/>
      <c r="AR49" s="25"/>
      <c r="AS49" s="25"/>
      <c r="AT49" s="25"/>
      <c r="AU49" s="25">
        <v>0</v>
      </c>
      <c r="AV49" s="25"/>
      <c r="AW49" s="25"/>
      <c r="AX49" s="25"/>
      <c r="AY49" s="25"/>
      <c r="AZ49" s="25"/>
      <c r="BA49" s="25">
        <v>0</v>
      </c>
      <c r="BB49" s="25"/>
      <c r="BC49" s="25"/>
      <c r="BD49" s="25">
        <v>0</v>
      </c>
      <c r="BE49" s="25"/>
      <c r="BF49" s="25"/>
      <c r="BG49" s="25"/>
      <c r="BH49" s="25"/>
      <c r="BI49" s="25"/>
      <c r="BJ49" s="25"/>
      <c r="BK49" s="25"/>
      <c r="BL49" s="25"/>
      <c r="BM49" s="25"/>
      <c r="BN49" s="25"/>
      <c r="BO49" s="25"/>
      <c r="BP49" s="25"/>
      <c r="BQ49" s="25"/>
      <c r="BR49" s="25"/>
      <c r="BS49" s="25"/>
      <c r="BT49" s="25"/>
      <c r="BU49" s="25"/>
      <c r="BV49" s="25"/>
      <c r="BW49" s="25"/>
      <c r="BX49" s="25"/>
      <c r="BY49" s="25">
        <v>0</v>
      </c>
      <c r="BZ49" s="25"/>
      <c r="CA49" s="25"/>
      <c r="CB49" s="25">
        <v>0</v>
      </c>
      <c r="CC49" s="26"/>
      <c r="CD49" s="26"/>
      <c r="CE49" s="112">
        <v>25000000</v>
      </c>
      <c r="CF49" s="112">
        <v>25000000</v>
      </c>
      <c r="CG49" s="112">
        <v>25000000</v>
      </c>
      <c r="CH49" s="9"/>
      <c r="CI49" s="9"/>
      <c r="CJ49" s="9"/>
      <c r="CK49" s="25">
        <v>0</v>
      </c>
      <c r="CL49" s="26"/>
      <c r="CM49" s="26"/>
      <c r="CN49" s="26">
        <v>0</v>
      </c>
      <c r="CO49" s="26"/>
      <c r="CP49" s="26"/>
      <c r="CQ49" s="26"/>
      <c r="CR49" s="26"/>
      <c r="CS49" s="26"/>
      <c r="CT49" s="25">
        <f t="shared" si="19"/>
        <v>25000000</v>
      </c>
      <c r="CU49" s="25">
        <f t="shared" si="19"/>
        <v>25000000</v>
      </c>
      <c r="CV49" s="25">
        <f t="shared" si="19"/>
        <v>25000000</v>
      </c>
    </row>
    <row r="50" spans="1:100" s="27" customFormat="1" ht="92.25" customHeight="1" x14ac:dyDescent="0.25">
      <c r="A50" s="33"/>
      <c r="B50" s="28"/>
      <c r="C50" s="914">
        <v>38</v>
      </c>
      <c r="D50" s="917" t="s">
        <v>39</v>
      </c>
      <c r="E50" s="929">
        <v>0</v>
      </c>
      <c r="F50" s="929">
        <v>2</v>
      </c>
      <c r="G50" s="28"/>
      <c r="H50" s="929">
        <v>262</v>
      </c>
      <c r="I50" s="928" t="s">
        <v>77</v>
      </c>
      <c r="J50" s="23">
        <v>1</v>
      </c>
      <c r="K50" s="23">
        <v>1</v>
      </c>
      <c r="L50" s="23">
        <v>1</v>
      </c>
      <c r="M50" s="928" t="s">
        <v>31</v>
      </c>
      <c r="N50" s="36" t="s">
        <v>78</v>
      </c>
      <c r="O50" s="928" t="s">
        <v>79</v>
      </c>
      <c r="P50" s="38" t="s">
        <v>38</v>
      </c>
      <c r="Q50" s="25">
        <v>0</v>
      </c>
      <c r="R50" s="25"/>
      <c r="S50" s="25"/>
      <c r="T50" s="25">
        <v>0</v>
      </c>
      <c r="U50" s="25"/>
      <c r="V50" s="25"/>
      <c r="W50" s="25">
        <v>0</v>
      </c>
      <c r="X50" s="25"/>
      <c r="Y50" s="25"/>
      <c r="Z50" s="25">
        <v>0</v>
      </c>
      <c r="AA50" s="25"/>
      <c r="AB50" s="25"/>
      <c r="AC50" s="25">
        <v>0</v>
      </c>
      <c r="AD50" s="25"/>
      <c r="AE50" s="25"/>
      <c r="AF50" s="25">
        <v>0</v>
      </c>
      <c r="AG50" s="25"/>
      <c r="AH50" s="25"/>
      <c r="AI50" s="25">
        <v>0</v>
      </c>
      <c r="AJ50" s="25"/>
      <c r="AK50" s="25"/>
      <c r="AL50" s="25"/>
      <c r="AM50" s="25"/>
      <c r="AN50" s="25"/>
      <c r="AO50" s="25"/>
      <c r="AP50" s="25"/>
      <c r="AQ50" s="25"/>
      <c r="AR50" s="25"/>
      <c r="AS50" s="25"/>
      <c r="AT50" s="25"/>
      <c r="AU50" s="25">
        <v>0</v>
      </c>
      <c r="AV50" s="25"/>
      <c r="AW50" s="25"/>
      <c r="AX50" s="25"/>
      <c r="AY50" s="25"/>
      <c r="AZ50" s="25"/>
      <c r="BA50" s="25">
        <v>0</v>
      </c>
      <c r="BB50" s="25"/>
      <c r="BC50" s="25"/>
      <c r="BD50" s="25">
        <v>0</v>
      </c>
      <c r="BE50" s="25"/>
      <c r="BF50" s="25"/>
      <c r="BG50" s="25"/>
      <c r="BH50" s="25"/>
      <c r="BI50" s="25"/>
      <c r="BJ50" s="25"/>
      <c r="BK50" s="25"/>
      <c r="BL50" s="25"/>
      <c r="BM50" s="25"/>
      <c r="BN50" s="25"/>
      <c r="BO50" s="25"/>
      <c r="BP50" s="25"/>
      <c r="BQ50" s="25"/>
      <c r="BR50" s="25"/>
      <c r="BS50" s="25"/>
      <c r="BT50" s="25"/>
      <c r="BU50" s="25"/>
      <c r="BV50" s="25"/>
      <c r="BW50" s="25"/>
      <c r="BX50" s="25"/>
      <c r="BY50" s="25">
        <v>0</v>
      </c>
      <c r="BZ50" s="25"/>
      <c r="CA50" s="25"/>
      <c r="CB50" s="25">
        <v>0</v>
      </c>
      <c r="CC50" s="25"/>
      <c r="CD50" s="25"/>
      <c r="CE50" s="110">
        <v>25000000</v>
      </c>
      <c r="CF50" s="110">
        <v>24710000</v>
      </c>
      <c r="CG50" s="110">
        <v>24710000</v>
      </c>
      <c r="CH50" s="37"/>
      <c r="CI50" s="37"/>
      <c r="CJ50" s="37"/>
      <c r="CK50" s="25">
        <v>0</v>
      </c>
      <c r="CL50" s="26"/>
      <c r="CM50" s="26"/>
      <c r="CN50" s="26">
        <v>0</v>
      </c>
      <c r="CO50" s="26"/>
      <c r="CP50" s="26"/>
      <c r="CQ50" s="26"/>
      <c r="CR50" s="26"/>
      <c r="CS50" s="26"/>
      <c r="CT50" s="25">
        <f t="shared" si="19"/>
        <v>25000000</v>
      </c>
      <c r="CU50" s="25">
        <f t="shared" si="19"/>
        <v>24710000</v>
      </c>
      <c r="CV50" s="25">
        <f t="shared" si="19"/>
        <v>24710000</v>
      </c>
    </row>
    <row r="51" spans="1:100" s="27" customFormat="1" ht="96.75" customHeight="1" x14ac:dyDescent="0.25">
      <c r="A51" s="33"/>
      <c r="B51" s="28"/>
      <c r="C51" s="914">
        <v>38</v>
      </c>
      <c r="D51" s="917" t="s">
        <v>39</v>
      </c>
      <c r="E51" s="929">
        <v>0</v>
      </c>
      <c r="F51" s="929">
        <v>2</v>
      </c>
      <c r="G51" s="28"/>
      <c r="H51" s="929">
        <v>264</v>
      </c>
      <c r="I51" s="928" t="s">
        <v>80</v>
      </c>
      <c r="J51" s="23">
        <v>0</v>
      </c>
      <c r="K51" s="23">
        <v>1</v>
      </c>
      <c r="L51" s="23">
        <v>1</v>
      </c>
      <c r="M51" s="928" t="s">
        <v>31</v>
      </c>
      <c r="N51" s="36" t="s">
        <v>81</v>
      </c>
      <c r="O51" s="928" t="s">
        <v>82</v>
      </c>
      <c r="P51" s="38" t="s">
        <v>38</v>
      </c>
      <c r="Q51" s="25">
        <v>0</v>
      </c>
      <c r="R51" s="25"/>
      <c r="S51" s="25"/>
      <c r="T51" s="25">
        <v>0</v>
      </c>
      <c r="U51" s="25"/>
      <c r="V51" s="25"/>
      <c r="W51" s="25">
        <v>0</v>
      </c>
      <c r="X51" s="25"/>
      <c r="Y51" s="25"/>
      <c r="Z51" s="25">
        <v>0</v>
      </c>
      <c r="AA51" s="25"/>
      <c r="AB51" s="25"/>
      <c r="AC51" s="25">
        <v>0</v>
      </c>
      <c r="AD51" s="25"/>
      <c r="AE51" s="25"/>
      <c r="AF51" s="25">
        <v>0</v>
      </c>
      <c r="AG51" s="25"/>
      <c r="AH51" s="25"/>
      <c r="AI51" s="25">
        <v>0</v>
      </c>
      <c r="AJ51" s="25"/>
      <c r="AK51" s="25"/>
      <c r="AL51" s="25"/>
      <c r="AM51" s="25"/>
      <c r="AN51" s="25"/>
      <c r="AO51" s="25"/>
      <c r="AP51" s="25"/>
      <c r="AQ51" s="25"/>
      <c r="AR51" s="25"/>
      <c r="AS51" s="25"/>
      <c r="AT51" s="25"/>
      <c r="AU51" s="25">
        <v>0</v>
      </c>
      <c r="AV51" s="25"/>
      <c r="AW51" s="25"/>
      <c r="AX51" s="25"/>
      <c r="AY51" s="25"/>
      <c r="AZ51" s="25"/>
      <c r="BA51" s="25">
        <v>0</v>
      </c>
      <c r="BB51" s="25"/>
      <c r="BC51" s="25"/>
      <c r="BD51" s="25">
        <v>0</v>
      </c>
      <c r="BE51" s="25"/>
      <c r="BF51" s="25"/>
      <c r="BG51" s="25"/>
      <c r="BH51" s="25"/>
      <c r="BI51" s="25"/>
      <c r="BJ51" s="25"/>
      <c r="BK51" s="25"/>
      <c r="BL51" s="25"/>
      <c r="BM51" s="25"/>
      <c r="BN51" s="25"/>
      <c r="BO51" s="25"/>
      <c r="BP51" s="25"/>
      <c r="BQ51" s="25"/>
      <c r="BR51" s="25"/>
      <c r="BS51" s="25"/>
      <c r="BT51" s="25"/>
      <c r="BU51" s="25"/>
      <c r="BV51" s="25"/>
      <c r="BW51" s="25"/>
      <c r="BX51" s="25"/>
      <c r="BY51" s="25">
        <v>0</v>
      </c>
      <c r="BZ51" s="25"/>
      <c r="CA51" s="25"/>
      <c r="CB51" s="25">
        <v>0</v>
      </c>
      <c r="CC51" s="25"/>
      <c r="CD51" s="25"/>
      <c r="CE51" s="110">
        <f>25000000+150000000+40000000</f>
        <v>215000000</v>
      </c>
      <c r="CF51" s="110">
        <v>214444749.22999999</v>
      </c>
      <c r="CG51" s="110">
        <v>214444749.22999999</v>
      </c>
      <c r="CH51" s="37"/>
      <c r="CI51" s="37"/>
      <c r="CJ51" s="37"/>
      <c r="CK51" s="25">
        <v>0</v>
      </c>
      <c r="CL51" s="26"/>
      <c r="CM51" s="26"/>
      <c r="CN51" s="26">
        <v>0</v>
      </c>
      <c r="CO51" s="26"/>
      <c r="CP51" s="26"/>
      <c r="CQ51" s="26"/>
      <c r="CR51" s="26"/>
      <c r="CS51" s="26"/>
      <c r="CT51" s="25">
        <f t="shared" si="19"/>
        <v>215000000</v>
      </c>
      <c r="CU51" s="25">
        <f t="shared" si="19"/>
        <v>214444749.22999999</v>
      </c>
      <c r="CV51" s="25">
        <f t="shared" si="19"/>
        <v>214444749.22999999</v>
      </c>
    </row>
    <row r="52" spans="1:100" s="27" customFormat="1" ht="72" customHeight="1" x14ac:dyDescent="0.25">
      <c r="A52" s="33"/>
      <c r="B52" s="28"/>
      <c r="C52" s="914">
        <v>38</v>
      </c>
      <c r="D52" s="917" t="s">
        <v>39</v>
      </c>
      <c r="E52" s="929">
        <v>0</v>
      </c>
      <c r="F52" s="929">
        <v>2</v>
      </c>
      <c r="G52" s="28"/>
      <c r="H52" s="929">
        <v>265</v>
      </c>
      <c r="I52" s="928" t="s">
        <v>83</v>
      </c>
      <c r="J52" s="10">
        <v>0</v>
      </c>
      <c r="K52" s="10">
        <v>1</v>
      </c>
      <c r="L52" s="23">
        <v>1</v>
      </c>
      <c r="M52" s="10" t="s">
        <v>84</v>
      </c>
      <c r="N52" s="36" t="s">
        <v>85</v>
      </c>
      <c r="O52" s="928" t="s">
        <v>86</v>
      </c>
      <c r="P52" s="38" t="s">
        <v>38</v>
      </c>
      <c r="Q52" s="25">
        <v>0</v>
      </c>
      <c r="R52" s="25"/>
      <c r="S52" s="25"/>
      <c r="T52" s="25">
        <v>0</v>
      </c>
      <c r="U52" s="25"/>
      <c r="V52" s="25"/>
      <c r="W52" s="25">
        <v>0</v>
      </c>
      <c r="X52" s="25"/>
      <c r="Y52" s="25"/>
      <c r="Z52" s="25">
        <v>0</v>
      </c>
      <c r="AA52" s="25"/>
      <c r="AB52" s="25"/>
      <c r="AC52" s="25">
        <v>0</v>
      </c>
      <c r="AD52" s="25"/>
      <c r="AE52" s="25"/>
      <c r="AF52" s="25">
        <v>0</v>
      </c>
      <c r="AG52" s="25"/>
      <c r="AH52" s="25"/>
      <c r="AI52" s="25">
        <v>0</v>
      </c>
      <c r="AJ52" s="25"/>
      <c r="AK52" s="25"/>
      <c r="AL52" s="25"/>
      <c r="AM52" s="25"/>
      <c r="AN52" s="25"/>
      <c r="AO52" s="25"/>
      <c r="AP52" s="25"/>
      <c r="AQ52" s="25"/>
      <c r="AR52" s="25"/>
      <c r="AS52" s="25"/>
      <c r="AT52" s="25"/>
      <c r="AU52" s="25">
        <v>0</v>
      </c>
      <c r="AV52" s="25"/>
      <c r="AW52" s="25"/>
      <c r="AX52" s="25"/>
      <c r="AY52" s="25"/>
      <c r="AZ52" s="25"/>
      <c r="BA52" s="25">
        <v>0</v>
      </c>
      <c r="BB52" s="25"/>
      <c r="BC52" s="25"/>
      <c r="BD52" s="25">
        <v>0</v>
      </c>
      <c r="BE52" s="25"/>
      <c r="BF52" s="25"/>
      <c r="BG52" s="25"/>
      <c r="BH52" s="25"/>
      <c r="BI52" s="25"/>
      <c r="BJ52" s="25"/>
      <c r="BK52" s="25"/>
      <c r="BL52" s="25"/>
      <c r="BM52" s="25"/>
      <c r="BN52" s="25"/>
      <c r="BO52" s="25"/>
      <c r="BP52" s="25"/>
      <c r="BQ52" s="25"/>
      <c r="BR52" s="25"/>
      <c r="BS52" s="25"/>
      <c r="BT52" s="25"/>
      <c r="BU52" s="25"/>
      <c r="BV52" s="25"/>
      <c r="BW52" s="25"/>
      <c r="BX52" s="25"/>
      <c r="BY52" s="25">
        <v>0</v>
      </c>
      <c r="BZ52" s="25"/>
      <c r="CA52" s="25"/>
      <c r="CB52" s="25">
        <v>0</v>
      </c>
      <c r="CC52" s="25"/>
      <c r="CD52" s="25"/>
      <c r="CE52" s="113">
        <f>100000000+500000000+45000000</f>
        <v>645000000</v>
      </c>
      <c r="CF52" s="113">
        <v>550120319</v>
      </c>
      <c r="CG52" s="113">
        <v>350120319</v>
      </c>
      <c r="CH52" s="40"/>
      <c r="CI52" s="40"/>
      <c r="CJ52" s="40"/>
      <c r="CK52" s="25">
        <v>0</v>
      </c>
      <c r="CL52" s="26"/>
      <c r="CM52" s="26"/>
      <c r="CN52" s="26">
        <v>0</v>
      </c>
      <c r="CO52" s="26"/>
      <c r="CP52" s="26"/>
      <c r="CQ52" s="26"/>
      <c r="CR52" s="26"/>
      <c r="CS52" s="26"/>
      <c r="CT52" s="25">
        <f t="shared" si="19"/>
        <v>645000000</v>
      </c>
      <c r="CU52" s="25">
        <f t="shared" si="19"/>
        <v>550120319</v>
      </c>
      <c r="CV52" s="25">
        <f t="shared" si="19"/>
        <v>350120319</v>
      </c>
    </row>
    <row r="53" spans="1:100" s="27" customFormat="1" ht="85.5" customHeight="1" x14ac:dyDescent="0.25">
      <c r="A53" s="33"/>
      <c r="B53" s="28"/>
      <c r="C53" s="929">
        <v>38</v>
      </c>
      <c r="D53" s="928" t="s">
        <v>39</v>
      </c>
      <c r="E53" s="929">
        <v>0</v>
      </c>
      <c r="F53" s="929">
        <v>2</v>
      </c>
      <c r="G53" s="28"/>
      <c r="H53" s="929">
        <v>266</v>
      </c>
      <c r="I53" s="928" t="s">
        <v>87</v>
      </c>
      <c r="J53" s="23">
        <v>1</v>
      </c>
      <c r="K53" s="23">
        <v>1</v>
      </c>
      <c r="L53" s="23">
        <v>1</v>
      </c>
      <c r="M53" s="928" t="s">
        <v>31</v>
      </c>
      <c r="N53" s="36" t="s">
        <v>88</v>
      </c>
      <c r="O53" s="928" t="s">
        <v>89</v>
      </c>
      <c r="P53" s="38" t="s">
        <v>38</v>
      </c>
      <c r="Q53" s="25">
        <v>0</v>
      </c>
      <c r="R53" s="25"/>
      <c r="S53" s="25"/>
      <c r="T53" s="25">
        <v>0</v>
      </c>
      <c r="U53" s="25"/>
      <c r="V53" s="25"/>
      <c r="W53" s="25">
        <v>0</v>
      </c>
      <c r="X53" s="25"/>
      <c r="Y53" s="25"/>
      <c r="Z53" s="25">
        <v>0</v>
      </c>
      <c r="AA53" s="25"/>
      <c r="AB53" s="25"/>
      <c r="AC53" s="25">
        <v>0</v>
      </c>
      <c r="AD53" s="25"/>
      <c r="AE53" s="25"/>
      <c r="AF53" s="25">
        <v>0</v>
      </c>
      <c r="AG53" s="25"/>
      <c r="AH53" s="25"/>
      <c r="AI53" s="25">
        <v>0</v>
      </c>
      <c r="AJ53" s="25"/>
      <c r="AK53" s="25"/>
      <c r="AL53" s="25"/>
      <c r="AM53" s="25"/>
      <c r="AN53" s="25"/>
      <c r="AO53" s="25"/>
      <c r="AP53" s="25"/>
      <c r="AQ53" s="25"/>
      <c r="AR53" s="25"/>
      <c r="AS53" s="25"/>
      <c r="AT53" s="25"/>
      <c r="AU53" s="25">
        <v>0</v>
      </c>
      <c r="AV53" s="25"/>
      <c r="AW53" s="25"/>
      <c r="AX53" s="25"/>
      <c r="AY53" s="25"/>
      <c r="AZ53" s="25"/>
      <c r="BA53" s="25">
        <v>0</v>
      </c>
      <c r="BB53" s="25"/>
      <c r="BC53" s="25"/>
      <c r="BD53" s="25">
        <v>0</v>
      </c>
      <c r="BE53" s="25"/>
      <c r="BF53" s="25"/>
      <c r="BG53" s="25"/>
      <c r="BH53" s="25"/>
      <c r="BI53" s="25"/>
      <c r="BJ53" s="25"/>
      <c r="BK53" s="25"/>
      <c r="BL53" s="25"/>
      <c r="BM53" s="25"/>
      <c r="BN53" s="25"/>
      <c r="BO53" s="25"/>
      <c r="BP53" s="25"/>
      <c r="BQ53" s="25"/>
      <c r="BR53" s="25"/>
      <c r="BS53" s="25"/>
      <c r="BT53" s="25"/>
      <c r="BU53" s="25"/>
      <c r="BV53" s="25"/>
      <c r="BW53" s="25"/>
      <c r="BX53" s="25"/>
      <c r="BY53" s="25">
        <v>0</v>
      </c>
      <c r="BZ53" s="25"/>
      <c r="CA53" s="25"/>
      <c r="CB53" s="25">
        <v>0</v>
      </c>
      <c r="CC53" s="25"/>
      <c r="CD53" s="25"/>
      <c r="CE53" s="113">
        <f>16000000+20000000</f>
        <v>36000000</v>
      </c>
      <c r="CF53" s="113">
        <v>31951333</v>
      </c>
      <c r="CG53" s="113">
        <v>31951333</v>
      </c>
      <c r="CH53" s="40"/>
      <c r="CI53" s="40"/>
      <c r="CJ53" s="40"/>
      <c r="CK53" s="25">
        <v>0</v>
      </c>
      <c r="CL53" s="26"/>
      <c r="CM53" s="26"/>
      <c r="CN53" s="26">
        <v>0</v>
      </c>
      <c r="CO53" s="26"/>
      <c r="CP53" s="26"/>
      <c r="CQ53" s="26"/>
      <c r="CR53" s="26"/>
      <c r="CS53" s="26"/>
      <c r="CT53" s="25">
        <f t="shared" si="19"/>
        <v>36000000</v>
      </c>
      <c r="CU53" s="25">
        <f t="shared" si="19"/>
        <v>31951333</v>
      </c>
      <c r="CV53" s="25">
        <f t="shared" si="19"/>
        <v>31951333</v>
      </c>
    </row>
    <row r="54" spans="1:100" s="27" customFormat="1" ht="48.75" customHeight="1" x14ac:dyDescent="0.25">
      <c r="A54" s="33"/>
      <c r="B54" s="28"/>
      <c r="C54" s="1021">
        <v>38</v>
      </c>
      <c r="D54" s="1012" t="s">
        <v>39</v>
      </c>
      <c r="E54" s="1021">
        <v>0</v>
      </c>
      <c r="F54" s="1021">
        <v>2</v>
      </c>
      <c r="G54" s="28"/>
      <c r="H54" s="929">
        <v>267</v>
      </c>
      <c r="I54" s="928" t="s">
        <v>90</v>
      </c>
      <c r="J54" s="23">
        <v>1</v>
      </c>
      <c r="K54" s="23">
        <v>1</v>
      </c>
      <c r="L54" s="23">
        <v>1</v>
      </c>
      <c r="M54" s="1158" t="s">
        <v>31</v>
      </c>
      <c r="N54" s="1017" t="s">
        <v>91</v>
      </c>
      <c r="O54" s="1012" t="s">
        <v>92</v>
      </c>
      <c r="P54" s="38" t="s">
        <v>38</v>
      </c>
      <c r="Q54" s="25">
        <v>0</v>
      </c>
      <c r="R54" s="25"/>
      <c r="S54" s="25"/>
      <c r="T54" s="25">
        <v>0</v>
      </c>
      <c r="U54" s="25"/>
      <c r="V54" s="25"/>
      <c r="W54" s="25">
        <v>0</v>
      </c>
      <c r="X54" s="25"/>
      <c r="Y54" s="25"/>
      <c r="Z54" s="25">
        <v>0</v>
      </c>
      <c r="AA54" s="25"/>
      <c r="AB54" s="25"/>
      <c r="AC54" s="25">
        <v>0</v>
      </c>
      <c r="AD54" s="25"/>
      <c r="AE54" s="25"/>
      <c r="AF54" s="25">
        <v>0</v>
      </c>
      <c r="AG54" s="25"/>
      <c r="AH54" s="25"/>
      <c r="AI54" s="25">
        <v>0</v>
      </c>
      <c r="AJ54" s="25"/>
      <c r="AK54" s="25"/>
      <c r="AL54" s="25"/>
      <c r="AM54" s="25"/>
      <c r="AN54" s="25"/>
      <c r="AO54" s="25"/>
      <c r="AP54" s="25"/>
      <c r="AQ54" s="25"/>
      <c r="AR54" s="25"/>
      <c r="AS54" s="25"/>
      <c r="AT54" s="25"/>
      <c r="AU54" s="25">
        <v>0</v>
      </c>
      <c r="AV54" s="25"/>
      <c r="AW54" s="25"/>
      <c r="AX54" s="25"/>
      <c r="AY54" s="25"/>
      <c r="AZ54" s="25"/>
      <c r="BA54" s="25">
        <v>0</v>
      </c>
      <c r="BB54" s="25"/>
      <c r="BC54" s="25"/>
      <c r="BD54" s="25">
        <v>0</v>
      </c>
      <c r="BE54" s="25"/>
      <c r="BF54" s="25"/>
      <c r="BG54" s="25"/>
      <c r="BH54" s="25"/>
      <c r="BI54" s="25"/>
      <c r="BJ54" s="25"/>
      <c r="BK54" s="25"/>
      <c r="BL54" s="25"/>
      <c r="BM54" s="25"/>
      <c r="BN54" s="25"/>
      <c r="BO54" s="25"/>
      <c r="BP54" s="25"/>
      <c r="BQ54" s="25"/>
      <c r="BR54" s="25"/>
      <c r="BS54" s="25"/>
      <c r="BT54" s="25"/>
      <c r="BU54" s="25"/>
      <c r="BV54" s="25"/>
      <c r="BW54" s="25"/>
      <c r="BX54" s="25"/>
      <c r="BY54" s="25">
        <v>0</v>
      </c>
      <c r="BZ54" s="25"/>
      <c r="CA54" s="25"/>
      <c r="CB54" s="25">
        <v>0</v>
      </c>
      <c r="CC54" s="25"/>
      <c r="CD54" s="25"/>
      <c r="CE54" s="110">
        <v>12000000</v>
      </c>
      <c r="CF54" s="110">
        <v>3436000</v>
      </c>
      <c r="CG54" s="110">
        <v>3436000</v>
      </c>
      <c r="CH54" s="13"/>
      <c r="CI54" s="13"/>
      <c r="CJ54" s="13"/>
      <c r="CK54" s="25">
        <v>0</v>
      </c>
      <c r="CL54" s="26"/>
      <c r="CM54" s="26"/>
      <c r="CN54" s="26">
        <v>0</v>
      </c>
      <c r="CO54" s="26"/>
      <c r="CP54" s="26"/>
      <c r="CQ54" s="26"/>
      <c r="CR54" s="26"/>
      <c r="CS54" s="26"/>
      <c r="CT54" s="25">
        <f t="shared" si="19"/>
        <v>12000000</v>
      </c>
      <c r="CU54" s="25">
        <f t="shared" si="19"/>
        <v>3436000</v>
      </c>
      <c r="CV54" s="25">
        <f t="shared" si="19"/>
        <v>3436000</v>
      </c>
    </row>
    <row r="55" spans="1:100" s="27" customFormat="1" ht="85.5" x14ac:dyDescent="0.25">
      <c r="A55" s="33"/>
      <c r="B55" s="28"/>
      <c r="C55" s="1023"/>
      <c r="D55" s="1020"/>
      <c r="E55" s="1023"/>
      <c r="F55" s="1023"/>
      <c r="G55" s="28"/>
      <c r="H55" s="929">
        <v>268</v>
      </c>
      <c r="I55" s="928" t="s">
        <v>93</v>
      </c>
      <c r="J55" s="23">
        <v>12</v>
      </c>
      <c r="K55" s="23">
        <v>12</v>
      </c>
      <c r="L55" s="23">
        <v>12</v>
      </c>
      <c r="M55" s="1159"/>
      <c r="N55" s="1018"/>
      <c r="O55" s="1020"/>
      <c r="P55" s="38" t="s">
        <v>38</v>
      </c>
      <c r="Q55" s="25">
        <v>0</v>
      </c>
      <c r="R55" s="25"/>
      <c r="S55" s="25"/>
      <c r="T55" s="25">
        <v>0</v>
      </c>
      <c r="U55" s="25"/>
      <c r="V55" s="25"/>
      <c r="W55" s="25">
        <v>0</v>
      </c>
      <c r="X55" s="25"/>
      <c r="Y55" s="25"/>
      <c r="Z55" s="25">
        <v>0</v>
      </c>
      <c r="AA55" s="25"/>
      <c r="AB55" s="25"/>
      <c r="AC55" s="25">
        <v>0</v>
      </c>
      <c r="AD55" s="25"/>
      <c r="AE55" s="25"/>
      <c r="AF55" s="25">
        <v>0</v>
      </c>
      <c r="AG55" s="25"/>
      <c r="AH55" s="25"/>
      <c r="AI55" s="25">
        <v>0</v>
      </c>
      <c r="AJ55" s="25"/>
      <c r="AK55" s="25"/>
      <c r="AL55" s="25"/>
      <c r="AM55" s="25"/>
      <c r="AN55" s="25"/>
      <c r="AO55" s="25"/>
      <c r="AP55" s="25"/>
      <c r="AQ55" s="25"/>
      <c r="AR55" s="25"/>
      <c r="AS55" s="25"/>
      <c r="AT55" s="25"/>
      <c r="AU55" s="25">
        <v>0</v>
      </c>
      <c r="AV55" s="25"/>
      <c r="AW55" s="25"/>
      <c r="AX55" s="25"/>
      <c r="AY55" s="25"/>
      <c r="AZ55" s="25"/>
      <c r="BA55" s="25">
        <v>0</v>
      </c>
      <c r="BB55" s="25"/>
      <c r="BC55" s="25"/>
      <c r="BD55" s="25">
        <v>0</v>
      </c>
      <c r="BE55" s="25"/>
      <c r="BF55" s="25"/>
      <c r="BG55" s="25"/>
      <c r="BH55" s="25"/>
      <c r="BI55" s="25"/>
      <c r="BJ55" s="25"/>
      <c r="BK55" s="25"/>
      <c r="BL55" s="25"/>
      <c r="BM55" s="25"/>
      <c r="BN55" s="25"/>
      <c r="BO55" s="25"/>
      <c r="BP55" s="25"/>
      <c r="BQ55" s="25"/>
      <c r="BR55" s="25"/>
      <c r="BS55" s="25"/>
      <c r="BT55" s="25"/>
      <c r="BU55" s="25"/>
      <c r="BV55" s="25"/>
      <c r="BW55" s="25"/>
      <c r="BX55" s="25"/>
      <c r="BY55" s="25">
        <v>0</v>
      </c>
      <c r="BZ55" s="25"/>
      <c r="CA55" s="25"/>
      <c r="CB55" s="25">
        <v>0</v>
      </c>
      <c r="CC55" s="25"/>
      <c r="CD55" s="25"/>
      <c r="CE55" s="110">
        <v>12000000</v>
      </c>
      <c r="CF55" s="110">
        <v>11560000</v>
      </c>
      <c r="CG55" s="110">
        <v>11560000</v>
      </c>
      <c r="CH55" s="13"/>
      <c r="CI55" s="13"/>
      <c r="CJ55" s="13"/>
      <c r="CK55" s="25">
        <v>0</v>
      </c>
      <c r="CL55" s="26"/>
      <c r="CM55" s="26"/>
      <c r="CN55" s="26">
        <v>0</v>
      </c>
      <c r="CO55" s="26"/>
      <c r="CP55" s="26"/>
      <c r="CQ55" s="26"/>
      <c r="CR55" s="26"/>
      <c r="CS55" s="26"/>
      <c r="CT55" s="25">
        <f t="shared" si="19"/>
        <v>12000000</v>
      </c>
      <c r="CU55" s="25">
        <f t="shared" si="19"/>
        <v>11560000</v>
      </c>
      <c r="CV55" s="25">
        <f t="shared" si="19"/>
        <v>11560000</v>
      </c>
    </row>
    <row r="56" spans="1:100" s="27" customFormat="1" ht="85.5" x14ac:dyDescent="0.25">
      <c r="A56" s="33"/>
      <c r="B56" s="28"/>
      <c r="C56" s="1023"/>
      <c r="D56" s="1020"/>
      <c r="E56" s="1023"/>
      <c r="F56" s="1023"/>
      <c r="G56" s="28"/>
      <c r="H56" s="929">
        <v>269</v>
      </c>
      <c r="I56" s="928" t="s">
        <v>94</v>
      </c>
      <c r="J56" s="23">
        <v>12</v>
      </c>
      <c r="K56" s="23">
        <v>12</v>
      </c>
      <c r="L56" s="23">
        <v>12</v>
      </c>
      <c r="M56" s="1159"/>
      <c r="N56" s="1018"/>
      <c r="O56" s="1020"/>
      <c r="P56" s="38" t="s">
        <v>38</v>
      </c>
      <c r="Q56" s="25">
        <v>0</v>
      </c>
      <c r="R56" s="25"/>
      <c r="S56" s="25"/>
      <c r="T56" s="25">
        <v>0</v>
      </c>
      <c r="U56" s="25"/>
      <c r="V56" s="25"/>
      <c r="W56" s="25">
        <v>0</v>
      </c>
      <c r="X56" s="25"/>
      <c r="Y56" s="25"/>
      <c r="Z56" s="25">
        <v>0</v>
      </c>
      <c r="AA56" s="25"/>
      <c r="AB56" s="25"/>
      <c r="AC56" s="25">
        <v>0</v>
      </c>
      <c r="AD56" s="25"/>
      <c r="AE56" s="25"/>
      <c r="AF56" s="25">
        <v>0</v>
      </c>
      <c r="AG56" s="25"/>
      <c r="AH56" s="25"/>
      <c r="AI56" s="25">
        <v>0</v>
      </c>
      <c r="AJ56" s="25"/>
      <c r="AK56" s="25"/>
      <c r="AL56" s="25"/>
      <c r="AM56" s="25"/>
      <c r="AN56" s="25"/>
      <c r="AO56" s="25"/>
      <c r="AP56" s="25"/>
      <c r="AQ56" s="25"/>
      <c r="AR56" s="25"/>
      <c r="AS56" s="25"/>
      <c r="AT56" s="25"/>
      <c r="AU56" s="25">
        <v>0</v>
      </c>
      <c r="AV56" s="25"/>
      <c r="AW56" s="25"/>
      <c r="AX56" s="25"/>
      <c r="AY56" s="25"/>
      <c r="AZ56" s="25"/>
      <c r="BA56" s="25">
        <v>0</v>
      </c>
      <c r="BB56" s="25"/>
      <c r="BC56" s="25"/>
      <c r="BD56" s="25">
        <v>0</v>
      </c>
      <c r="BE56" s="25"/>
      <c r="BF56" s="25"/>
      <c r="BG56" s="25"/>
      <c r="BH56" s="25"/>
      <c r="BI56" s="25"/>
      <c r="BJ56" s="25"/>
      <c r="BK56" s="25"/>
      <c r="BL56" s="25"/>
      <c r="BM56" s="25"/>
      <c r="BN56" s="25"/>
      <c r="BO56" s="25"/>
      <c r="BP56" s="25"/>
      <c r="BQ56" s="25"/>
      <c r="BR56" s="25"/>
      <c r="BS56" s="25"/>
      <c r="BT56" s="25"/>
      <c r="BU56" s="25"/>
      <c r="BV56" s="25"/>
      <c r="BW56" s="25"/>
      <c r="BX56" s="25"/>
      <c r="BY56" s="25">
        <v>0</v>
      </c>
      <c r="BZ56" s="25"/>
      <c r="CA56" s="25"/>
      <c r="CB56" s="25">
        <v>0</v>
      </c>
      <c r="CC56" s="25"/>
      <c r="CD56" s="25"/>
      <c r="CE56" s="110">
        <f>12000000+15210000</f>
        <v>27210000</v>
      </c>
      <c r="CF56" s="110">
        <v>27210000</v>
      </c>
      <c r="CG56" s="110">
        <v>27210000</v>
      </c>
      <c r="CH56" s="13"/>
      <c r="CI56" s="13"/>
      <c r="CJ56" s="13"/>
      <c r="CK56" s="25">
        <v>0</v>
      </c>
      <c r="CL56" s="26"/>
      <c r="CM56" s="26"/>
      <c r="CN56" s="26">
        <v>0</v>
      </c>
      <c r="CO56" s="26"/>
      <c r="CP56" s="26"/>
      <c r="CQ56" s="26"/>
      <c r="CR56" s="26"/>
      <c r="CS56" s="26"/>
      <c r="CT56" s="25">
        <f t="shared" si="19"/>
        <v>27210000</v>
      </c>
      <c r="CU56" s="25">
        <f t="shared" si="19"/>
        <v>27210000</v>
      </c>
      <c r="CV56" s="25">
        <f t="shared" si="19"/>
        <v>27210000</v>
      </c>
    </row>
    <row r="57" spans="1:100" s="27" customFormat="1" ht="99.75" x14ac:dyDescent="0.25">
      <c r="A57" s="33"/>
      <c r="B57" s="28"/>
      <c r="C57" s="1023"/>
      <c r="D57" s="1020"/>
      <c r="E57" s="1023"/>
      <c r="F57" s="1023"/>
      <c r="G57" s="28"/>
      <c r="H57" s="929">
        <v>270</v>
      </c>
      <c r="I57" s="928" t="s">
        <v>95</v>
      </c>
      <c r="J57" s="23" t="s">
        <v>30</v>
      </c>
      <c r="K57" s="23">
        <v>12</v>
      </c>
      <c r="L57" s="23">
        <v>12</v>
      </c>
      <c r="M57" s="1159"/>
      <c r="N57" s="1018"/>
      <c r="O57" s="1020"/>
      <c r="P57" s="38" t="s">
        <v>38</v>
      </c>
      <c r="Q57" s="25">
        <v>0</v>
      </c>
      <c r="R57" s="25"/>
      <c r="S57" s="25"/>
      <c r="T57" s="25">
        <v>0</v>
      </c>
      <c r="U57" s="25"/>
      <c r="V57" s="25"/>
      <c r="W57" s="25">
        <v>0</v>
      </c>
      <c r="X57" s="25"/>
      <c r="Y57" s="25"/>
      <c r="Z57" s="25">
        <v>0</v>
      </c>
      <c r="AA57" s="25"/>
      <c r="AB57" s="25"/>
      <c r="AC57" s="25">
        <v>0</v>
      </c>
      <c r="AD57" s="25"/>
      <c r="AE57" s="25"/>
      <c r="AF57" s="25">
        <v>0</v>
      </c>
      <c r="AG57" s="25"/>
      <c r="AH57" s="25"/>
      <c r="AI57" s="25">
        <v>0</v>
      </c>
      <c r="AJ57" s="25"/>
      <c r="AK57" s="25"/>
      <c r="AL57" s="25"/>
      <c r="AM57" s="25"/>
      <c r="AN57" s="25"/>
      <c r="AO57" s="25"/>
      <c r="AP57" s="25"/>
      <c r="AQ57" s="25"/>
      <c r="AR57" s="25"/>
      <c r="AS57" s="25"/>
      <c r="AT57" s="25"/>
      <c r="AU57" s="25">
        <v>0</v>
      </c>
      <c r="AV57" s="25"/>
      <c r="AW57" s="25"/>
      <c r="AX57" s="25"/>
      <c r="AY57" s="25"/>
      <c r="AZ57" s="25"/>
      <c r="BA57" s="25">
        <v>0</v>
      </c>
      <c r="BB57" s="25"/>
      <c r="BC57" s="25"/>
      <c r="BD57" s="25">
        <v>0</v>
      </c>
      <c r="BE57" s="25"/>
      <c r="BF57" s="25"/>
      <c r="BG57" s="25"/>
      <c r="BH57" s="25"/>
      <c r="BI57" s="25"/>
      <c r="BJ57" s="25"/>
      <c r="BK57" s="25"/>
      <c r="BL57" s="25"/>
      <c r="BM57" s="25"/>
      <c r="BN57" s="25"/>
      <c r="BO57" s="25"/>
      <c r="BP57" s="25"/>
      <c r="BQ57" s="25"/>
      <c r="BR57" s="25"/>
      <c r="BS57" s="25"/>
      <c r="BT57" s="25"/>
      <c r="BU57" s="25"/>
      <c r="BV57" s="25"/>
      <c r="BW57" s="25"/>
      <c r="BX57" s="25"/>
      <c r="BY57" s="25">
        <v>0</v>
      </c>
      <c r="BZ57" s="25"/>
      <c r="CA57" s="25"/>
      <c r="CB57" s="25">
        <v>0</v>
      </c>
      <c r="CC57" s="25"/>
      <c r="CD57" s="25"/>
      <c r="CE57" s="110">
        <v>15000000</v>
      </c>
      <c r="CF57" s="110">
        <v>11080000</v>
      </c>
      <c r="CG57" s="110">
        <v>11080000</v>
      </c>
      <c r="CH57" s="13"/>
      <c r="CI57" s="13"/>
      <c r="CJ57" s="13"/>
      <c r="CK57" s="25">
        <v>0</v>
      </c>
      <c r="CL57" s="26"/>
      <c r="CM57" s="26"/>
      <c r="CN57" s="26">
        <v>0</v>
      </c>
      <c r="CO57" s="26"/>
      <c r="CP57" s="26"/>
      <c r="CQ57" s="26"/>
      <c r="CR57" s="26"/>
      <c r="CS57" s="26"/>
      <c r="CT57" s="25">
        <f t="shared" si="19"/>
        <v>15000000</v>
      </c>
      <c r="CU57" s="25">
        <f t="shared" si="19"/>
        <v>11080000</v>
      </c>
      <c r="CV57" s="25">
        <f t="shared" si="19"/>
        <v>11080000</v>
      </c>
    </row>
    <row r="58" spans="1:100" s="27" customFormat="1" ht="114" x14ac:dyDescent="0.25">
      <c r="A58" s="33"/>
      <c r="B58" s="28"/>
      <c r="C58" s="1023"/>
      <c r="D58" s="1020"/>
      <c r="E58" s="1023"/>
      <c r="F58" s="1023"/>
      <c r="G58" s="28"/>
      <c r="H58" s="929">
        <v>271</v>
      </c>
      <c r="I58" s="928" t="s">
        <v>96</v>
      </c>
      <c r="J58" s="23">
        <v>12</v>
      </c>
      <c r="K58" s="23">
        <v>12</v>
      </c>
      <c r="L58" s="23">
        <v>12</v>
      </c>
      <c r="M58" s="1159"/>
      <c r="N58" s="1018"/>
      <c r="O58" s="1020"/>
      <c r="P58" s="38" t="s">
        <v>38</v>
      </c>
      <c r="Q58" s="25">
        <v>0</v>
      </c>
      <c r="R58" s="25"/>
      <c r="S58" s="25"/>
      <c r="T58" s="25">
        <v>0</v>
      </c>
      <c r="U58" s="25"/>
      <c r="V58" s="25"/>
      <c r="W58" s="25">
        <v>0</v>
      </c>
      <c r="X58" s="25"/>
      <c r="Y58" s="25"/>
      <c r="Z58" s="25">
        <v>0</v>
      </c>
      <c r="AA58" s="25"/>
      <c r="AB58" s="25"/>
      <c r="AC58" s="25">
        <v>0</v>
      </c>
      <c r="AD58" s="25"/>
      <c r="AE58" s="25"/>
      <c r="AF58" s="25">
        <v>0</v>
      </c>
      <c r="AG58" s="25"/>
      <c r="AH58" s="25"/>
      <c r="AI58" s="25">
        <v>0</v>
      </c>
      <c r="AJ58" s="25"/>
      <c r="AK58" s="25"/>
      <c r="AL58" s="25"/>
      <c r="AM58" s="25"/>
      <c r="AN58" s="25"/>
      <c r="AO58" s="25"/>
      <c r="AP58" s="25"/>
      <c r="AQ58" s="25"/>
      <c r="AR58" s="25"/>
      <c r="AS58" s="25"/>
      <c r="AT58" s="25"/>
      <c r="AU58" s="25">
        <v>0</v>
      </c>
      <c r="AV58" s="25"/>
      <c r="AW58" s="25"/>
      <c r="AX58" s="25"/>
      <c r="AY58" s="25"/>
      <c r="AZ58" s="25"/>
      <c r="BA58" s="25">
        <v>0</v>
      </c>
      <c r="BB58" s="25"/>
      <c r="BC58" s="25"/>
      <c r="BD58" s="25">
        <v>0</v>
      </c>
      <c r="BE58" s="25"/>
      <c r="BF58" s="25"/>
      <c r="BG58" s="25"/>
      <c r="BH58" s="25"/>
      <c r="BI58" s="25"/>
      <c r="BJ58" s="25"/>
      <c r="BK58" s="25"/>
      <c r="BL58" s="25"/>
      <c r="BM58" s="25"/>
      <c r="BN58" s="25"/>
      <c r="BO58" s="25"/>
      <c r="BP58" s="25"/>
      <c r="BQ58" s="25"/>
      <c r="BR58" s="25"/>
      <c r="BS58" s="25"/>
      <c r="BT58" s="25"/>
      <c r="BU58" s="25"/>
      <c r="BV58" s="25"/>
      <c r="BW58" s="25"/>
      <c r="BX58" s="25"/>
      <c r="BY58" s="25">
        <v>0</v>
      </c>
      <c r="BZ58" s="25"/>
      <c r="CA58" s="25"/>
      <c r="CB58" s="25">
        <v>0</v>
      </c>
      <c r="CC58" s="25"/>
      <c r="CD58" s="25"/>
      <c r="CE58" s="110">
        <f>28492500+17500000-10088307</f>
        <v>35904193</v>
      </c>
      <c r="CF58" s="110">
        <v>35904193</v>
      </c>
      <c r="CG58" s="110">
        <v>35904193</v>
      </c>
      <c r="CH58" s="13"/>
      <c r="CI58" s="13"/>
      <c r="CJ58" s="13"/>
      <c r="CK58" s="25">
        <v>0</v>
      </c>
      <c r="CL58" s="26"/>
      <c r="CM58" s="26"/>
      <c r="CN58" s="26">
        <v>0</v>
      </c>
      <c r="CO58" s="26"/>
      <c r="CP58" s="26"/>
      <c r="CQ58" s="26"/>
      <c r="CR58" s="26"/>
      <c r="CS58" s="26"/>
      <c r="CT58" s="25">
        <f t="shared" si="19"/>
        <v>35904193</v>
      </c>
      <c r="CU58" s="25">
        <f t="shared" si="19"/>
        <v>35904193</v>
      </c>
      <c r="CV58" s="25">
        <f t="shared" si="19"/>
        <v>35904193</v>
      </c>
    </row>
    <row r="59" spans="1:100" s="27" customFormat="1" ht="113.25" customHeight="1" x14ac:dyDescent="0.25">
      <c r="A59" s="33"/>
      <c r="B59" s="28"/>
      <c r="C59" s="1023"/>
      <c r="D59" s="1020"/>
      <c r="E59" s="1023"/>
      <c r="F59" s="1023"/>
      <c r="G59" s="28"/>
      <c r="H59" s="929">
        <v>272</v>
      </c>
      <c r="I59" s="928" t="s">
        <v>97</v>
      </c>
      <c r="J59" s="23" t="s">
        <v>30</v>
      </c>
      <c r="K59" s="23">
        <v>12</v>
      </c>
      <c r="L59" s="23">
        <v>12</v>
      </c>
      <c r="M59" s="1159"/>
      <c r="N59" s="1018"/>
      <c r="O59" s="1020"/>
      <c r="P59" s="38" t="s">
        <v>38</v>
      </c>
      <c r="Q59" s="25">
        <v>0</v>
      </c>
      <c r="R59" s="25"/>
      <c r="S59" s="25"/>
      <c r="T59" s="25">
        <v>0</v>
      </c>
      <c r="U59" s="25"/>
      <c r="V59" s="25"/>
      <c r="W59" s="25">
        <v>0</v>
      </c>
      <c r="X59" s="25"/>
      <c r="Y59" s="25"/>
      <c r="Z59" s="25">
        <v>0</v>
      </c>
      <c r="AA59" s="25"/>
      <c r="AB59" s="25"/>
      <c r="AC59" s="25">
        <v>0</v>
      </c>
      <c r="AD59" s="25"/>
      <c r="AE59" s="25"/>
      <c r="AF59" s="25">
        <v>0</v>
      </c>
      <c r="AG59" s="25"/>
      <c r="AH59" s="25"/>
      <c r="AI59" s="25">
        <v>0</v>
      </c>
      <c r="AJ59" s="25"/>
      <c r="AK59" s="25"/>
      <c r="AL59" s="25"/>
      <c r="AM59" s="25"/>
      <c r="AN59" s="25"/>
      <c r="AO59" s="25"/>
      <c r="AP59" s="25"/>
      <c r="AQ59" s="25"/>
      <c r="AR59" s="25"/>
      <c r="AS59" s="25"/>
      <c r="AT59" s="25"/>
      <c r="AU59" s="25">
        <v>0</v>
      </c>
      <c r="AV59" s="25"/>
      <c r="AW59" s="25"/>
      <c r="AX59" s="25"/>
      <c r="AY59" s="25"/>
      <c r="AZ59" s="25"/>
      <c r="BA59" s="25">
        <v>0</v>
      </c>
      <c r="BB59" s="25"/>
      <c r="BC59" s="25"/>
      <c r="BD59" s="25">
        <v>0</v>
      </c>
      <c r="BE59" s="25"/>
      <c r="BF59" s="25"/>
      <c r="BG59" s="25"/>
      <c r="BH59" s="25"/>
      <c r="BI59" s="25"/>
      <c r="BJ59" s="25"/>
      <c r="BK59" s="25"/>
      <c r="BL59" s="25"/>
      <c r="BM59" s="25"/>
      <c r="BN59" s="25"/>
      <c r="BO59" s="25"/>
      <c r="BP59" s="25"/>
      <c r="BQ59" s="25"/>
      <c r="BR59" s="25"/>
      <c r="BS59" s="25"/>
      <c r="BT59" s="25"/>
      <c r="BU59" s="25"/>
      <c r="BV59" s="25"/>
      <c r="BW59" s="25"/>
      <c r="BX59" s="25"/>
      <c r="BY59" s="25">
        <v>0</v>
      </c>
      <c r="BZ59" s="25"/>
      <c r="CA59" s="25"/>
      <c r="CB59" s="25">
        <v>0</v>
      </c>
      <c r="CC59" s="25"/>
      <c r="CD59" s="25"/>
      <c r="CE59" s="110">
        <f>15000000+17500000</f>
        <v>32500000</v>
      </c>
      <c r="CF59" s="110">
        <v>32458666</v>
      </c>
      <c r="CG59" s="110">
        <v>32458666</v>
      </c>
      <c r="CH59" s="13"/>
      <c r="CI59" s="13"/>
      <c r="CJ59" s="13"/>
      <c r="CK59" s="25">
        <v>0</v>
      </c>
      <c r="CL59" s="26"/>
      <c r="CM59" s="26"/>
      <c r="CN59" s="26">
        <v>0</v>
      </c>
      <c r="CO59" s="26"/>
      <c r="CP59" s="26"/>
      <c r="CQ59" s="26"/>
      <c r="CR59" s="26"/>
      <c r="CS59" s="26"/>
      <c r="CT59" s="25">
        <f t="shared" si="19"/>
        <v>32500000</v>
      </c>
      <c r="CU59" s="25">
        <f t="shared" si="19"/>
        <v>32458666</v>
      </c>
      <c r="CV59" s="25">
        <f t="shared" si="19"/>
        <v>32458666</v>
      </c>
    </row>
    <row r="60" spans="1:100" s="27" customFormat="1" ht="126.75" customHeight="1" x14ac:dyDescent="0.25">
      <c r="A60" s="33"/>
      <c r="B60" s="28"/>
      <c r="C60" s="1023"/>
      <c r="D60" s="1020"/>
      <c r="E60" s="1023"/>
      <c r="F60" s="1023"/>
      <c r="G60" s="28"/>
      <c r="H60" s="929">
        <v>273</v>
      </c>
      <c r="I60" s="928" t="s">
        <v>98</v>
      </c>
      <c r="J60" s="23">
        <v>12</v>
      </c>
      <c r="K60" s="23">
        <v>12</v>
      </c>
      <c r="L60" s="23">
        <v>12</v>
      </c>
      <c r="M60" s="1159"/>
      <c r="N60" s="1018"/>
      <c r="O60" s="1020"/>
      <c r="P60" s="38" t="s">
        <v>38</v>
      </c>
      <c r="Q60" s="25">
        <v>0</v>
      </c>
      <c r="R60" s="25"/>
      <c r="S60" s="25"/>
      <c r="T60" s="25">
        <v>0</v>
      </c>
      <c r="U60" s="25"/>
      <c r="V60" s="25"/>
      <c r="W60" s="25">
        <v>0</v>
      </c>
      <c r="X60" s="25"/>
      <c r="Y60" s="25"/>
      <c r="Z60" s="25">
        <v>0</v>
      </c>
      <c r="AA60" s="25"/>
      <c r="AB60" s="25"/>
      <c r="AC60" s="25">
        <v>0</v>
      </c>
      <c r="AD60" s="25"/>
      <c r="AE60" s="25"/>
      <c r="AF60" s="25">
        <v>0</v>
      </c>
      <c r="AG60" s="25"/>
      <c r="AH60" s="25"/>
      <c r="AI60" s="25">
        <v>0</v>
      </c>
      <c r="AJ60" s="25"/>
      <c r="AK60" s="25"/>
      <c r="AL60" s="25"/>
      <c r="AM60" s="25"/>
      <c r="AN60" s="25"/>
      <c r="AO60" s="25"/>
      <c r="AP60" s="25"/>
      <c r="AQ60" s="25"/>
      <c r="AR60" s="25"/>
      <c r="AS60" s="25"/>
      <c r="AT60" s="25"/>
      <c r="AU60" s="25">
        <v>0</v>
      </c>
      <c r="AV60" s="25"/>
      <c r="AW60" s="25"/>
      <c r="AX60" s="25"/>
      <c r="AY60" s="25"/>
      <c r="AZ60" s="25"/>
      <c r="BA60" s="25">
        <v>0</v>
      </c>
      <c r="BB60" s="25"/>
      <c r="BC60" s="25"/>
      <c r="BD60" s="25">
        <v>0</v>
      </c>
      <c r="BE60" s="25"/>
      <c r="BF60" s="25"/>
      <c r="BG60" s="25"/>
      <c r="BH60" s="25"/>
      <c r="BI60" s="25"/>
      <c r="BJ60" s="25"/>
      <c r="BK60" s="25"/>
      <c r="BL60" s="25"/>
      <c r="BM60" s="25"/>
      <c r="BN60" s="25"/>
      <c r="BO60" s="25"/>
      <c r="BP60" s="25"/>
      <c r="BQ60" s="25"/>
      <c r="BR60" s="25"/>
      <c r="BS60" s="25"/>
      <c r="BT60" s="25"/>
      <c r="BU60" s="25"/>
      <c r="BV60" s="25"/>
      <c r="BW60" s="25"/>
      <c r="BX60" s="25"/>
      <c r="BY60" s="25">
        <v>0</v>
      </c>
      <c r="BZ60" s="25"/>
      <c r="CA60" s="25"/>
      <c r="CB60" s="25">
        <v>0</v>
      </c>
      <c r="CC60" s="25"/>
      <c r="CD60" s="25"/>
      <c r="CE60" s="110">
        <v>2672500</v>
      </c>
      <c r="CF60" s="110">
        <v>2672500</v>
      </c>
      <c r="CG60" s="110">
        <v>2672500</v>
      </c>
      <c r="CH60" s="13"/>
      <c r="CI60" s="13"/>
      <c r="CJ60" s="13"/>
      <c r="CK60" s="25">
        <v>0</v>
      </c>
      <c r="CL60" s="26"/>
      <c r="CM60" s="26"/>
      <c r="CN60" s="26">
        <v>0</v>
      </c>
      <c r="CO60" s="26"/>
      <c r="CP60" s="26"/>
      <c r="CQ60" s="26"/>
      <c r="CR60" s="26"/>
      <c r="CS60" s="26"/>
      <c r="CT60" s="25">
        <f t="shared" si="19"/>
        <v>2672500</v>
      </c>
      <c r="CU60" s="25">
        <f t="shared" si="19"/>
        <v>2672500</v>
      </c>
      <c r="CV60" s="25">
        <f t="shared" si="19"/>
        <v>2672500</v>
      </c>
    </row>
    <row r="61" spans="1:100" s="27" customFormat="1" ht="94.5" customHeight="1" x14ac:dyDescent="0.25">
      <c r="A61" s="33"/>
      <c r="B61" s="28"/>
      <c r="C61" s="1023"/>
      <c r="D61" s="1020"/>
      <c r="E61" s="1023"/>
      <c r="F61" s="1023"/>
      <c r="G61" s="28"/>
      <c r="H61" s="929">
        <v>274</v>
      </c>
      <c r="I61" s="928" t="s">
        <v>99</v>
      </c>
      <c r="J61" s="23" t="s">
        <v>30</v>
      </c>
      <c r="K61" s="23">
        <v>12</v>
      </c>
      <c r="L61" s="23">
        <v>12</v>
      </c>
      <c r="M61" s="1159"/>
      <c r="N61" s="1018"/>
      <c r="O61" s="1020"/>
      <c r="P61" s="38" t="s">
        <v>38</v>
      </c>
      <c r="Q61" s="25">
        <v>0</v>
      </c>
      <c r="R61" s="25"/>
      <c r="S61" s="25"/>
      <c r="T61" s="25">
        <v>0</v>
      </c>
      <c r="U61" s="25"/>
      <c r="V61" s="25"/>
      <c r="W61" s="25">
        <v>0</v>
      </c>
      <c r="X61" s="25"/>
      <c r="Y61" s="25"/>
      <c r="Z61" s="25">
        <v>0</v>
      </c>
      <c r="AA61" s="25"/>
      <c r="AB61" s="25"/>
      <c r="AC61" s="25">
        <v>0</v>
      </c>
      <c r="AD61" s="25"/>
      <c r="AE61" s="25"/>
      <c r="AF61" s="25">
        <v>0</v>
      </c>
      <c r="AG61" s="25"/>
      <c r="AH61" s="25"/>
      <c r="AI61" s="25">
        <v>0</v>
      </c>
      <c r="AJ61" s="25"/>
      <c r="AK61" s="25"/>
      <c r="AL61" s="25"/>
      <c r="AM61" s="25"/>
      <c r="AN61" s="25"/>
      <c r="AO61" s="25"/>
      <c r="AP61" s="25"/>
      <c r="AQ61" s="25"/>
      <c r="AR61" s="25"/>
      <c r="AS61" s="25"/>
      <c r="AT61" s="25"/>
      <c r="AU61" s="25">
        <v>0</v>
      </c>
      <c r="AV61" s="25"/>
      <c r="AW61" s="25"/>
      <c r="AX61" s="25"/>
      <c r="AY61" s="25"/>
      <c r="AZ61" s="25"/>
      <c r="BA61" s="25">
        <v>0</v>
      </c>
      <c r="BB61" s="25"/>
      <c r="BC61" s="25"/>
      <c r="BD61" s="25">
        <v>0</v>
      </c>
      <c r="BE61" s="25"/>
      <c r="BF61" s="25"/>
      <c r="BG61" s="25"/>
      <c r="BH61" s="25"/>
      <c r="BI61" s="25"/>
      <c r="BJ61" s="25"/>
      <c r="BK61" s="25"/>
      <c r="BL61" s="25"/>
      <c r="BM61" s="25"/>
      <c r="BN61" s="25"/>
      <c r="BO61" s="25"/>
      <c r="BP61" s="25"/>
      <c r="BQ61" s="25"/>
      <c r="BR61" s="25"/>
      <c r="BS61" s="25"/>
      <c r="BT61" s="25"/>
      <c r="BU61" s="25"/>
      <c r="BV61" s="25"/>
      <c r="BW61" s="25"/>
      <c r="BX61" s="25"/>
      <c r="BY61" s="25">
        <v>0</v>
      </c>
      <c r="BZ61" s="25"/>
      <c r="CA61" s="25"/>
      <c r="CB61" s="25">
        <v>0</v>
      </c>
      <c r="CC61" s="25"/>
      <c r="CD61" s="25"/>
      <c r="CE61" s="110">
        <v>14135000</v>
      </c>
      <c r="CF61" s="110">
        <v>935000</v>
      </c>
      <c r="CG61" s="110">
        <v>935000</v>
      </c>
      <c r="CH61" s="13"/>
      <c r="CI61" s="13"/>
      <c r="CJ61" s="13"/>
      <c r="CK61" s="25">
        <v>0</v>
      </c>
      <c r="CL61" s="26"/>
      <c r="CM61" s="26"/>
      <c r="CN61" s="26">
        <v>0</v>
      </c>
      <c r="CO61" s="26"/>
      <c r="CP61" s="26"/>
      <c r="CQ61" s="26"/>
      <c r="CR61" s="26"/>
      <c r="CS61" s="26"/>
      <c r="CT61" s="25">
        <f t="shared" si="19"/>
        <v>14135000</v>
      </c>
      <c r="CU61" s="25">
        <f t="shared" si="19"/>
        <v>935000</v>
      </c>
      <c r="CV61" s="25">
        <f t="shared" si="19"/>
        <v>935000</v>
      </c>
    </row>
    <row r="62" spans="1:100" s="27" customFormat="1" ht="96" customHeight="1" x14ac:dyDescent="0.25">
      <c r="A62" s="33"/>
      <c r="B62" s="28"/>
      <c r="C62" s="1022"/>
      <c r="D62" s="1013"/>
      <c r="E62" s="1022"/>
      <c r="F62" s="1022"/>
      <c r="G62" s="29"/>
      <c r="H62" s="929">
        <v>260</v>
      </c>
      <c r="I62" s="928" t="s">
        <v>100</v>
      </c>
      <c r="J62" s="23">
        <v>12</v>
      </c>
      <c r="K62" s="23">
        <v>12</v>
      </c>
      <c r="L62" s="23">
        <v>12</v>
      </c>
      <c r="M62" s="1160"/>
      <c r="N62" s="1019"/>
      <c r="O62" s="1013"/>
      <c r="P62" s="38" t="s">
        <v>38</v>
      </c>
      <c r="Q62" s="25">
        <v>0</v>
      </c>
      <c r="R62" s="25"/>
      <c r="S62" s="25"/>
      <c r="T62" s="25">
        <v>0</v>
      </c>
      <c r="U62" s="25"/>
      <c r="V62" s="25"/>
      <c r="W62" s="25">
        <v>0</v>
      </c>
      <c r="X62" s="25"/>
      <c r="Y62" s="25"/>
      <c r="Z62" s="25">
        <v>0</v>
      </c>
      <c r="AA62" s="25"/>
      <c r="AB62" s="25"/>
      <c r="AC62" s="25">
        <v>0</v>
      </c>
      <c r="AD62" s="25"/>
      <c r="AE62" s="25"/>
      <c r="AF62" s="25">
        <v>0</v>
      </c>
      <c r="AG62" s="25"/>
      <c r="AH62" s="25"/>
      <c r="AI62" s="25">
        <v>0</v>
      </c>
      <c r="AJ62" s="25"/>
      <c r="AK62" s="25"/>
      <c r="AL62" s="25"/>
      <c r="AM62" s="25"/>
      <c r="AN62" s="25"/>
      <c r="AO62" s="25"/>
      <c r="AP62" s="25"/>
      <c r="AQ62" s="25"/>
      <c r="AR62" s="25"/>
      <c r="AS62" s="25"/>
      <c r="AT62" s="25"/>
      <c r="AU62" s="25">
        <v>0</v>
      </c>
      <c r="AV62" s="25"/>
      <c r="AW62" s="25"/>
      <c r="AX62" s="25"/>
      <c r="AY62" s="25"/>
      <c r="AZ62" s="25"/>
      <c r="BA62" s="25">
        <v>0</v>
      </c>
      <c r="BB62" s="25"/>
      <c r="BC62" s="25"/>
      <c r="BD62" s="25">
        <v>0</v>
      </c>
      <c r="BE62" s="25"/>
      <c r="BF62" s="25"/>
      <c r="BG62" s="25"/>
      <c r="BH62" s="25"/>
      <c r="BI62" s="25"/>
      <c r="BJ62" s="25"/>
      <c r="BK62" s="25"/>
      <c r="BL62" s="25"/>
      <c r="BM62" s="25"/>
      <c r="BN62" s="25"/>
      <c r="BO62" s="25"/>
      <c r="BP62" s="25"/>
      <c r="BQ62" s="25"/>
      <c r="BR62" s="25"/>
      <c r="BS62" s="25"/>
      <c r="BT62" s="25"/>
      <c r="BU62" s="25"/>
      <c r="BV62" s="25"/>
      <c r="BW62" s="25"/>
      <c r="BX62" s="25"/>
      <c r="BY62" s="25">
        <v>0</v>
      </c>
      <c r="BZ62" s="25"/>
      <c r="CA62" s="25"/>
      <c r="CB62" s="25">
        <v>0</v>
      </c>
      <c r="CC62" s="25"/>
      <c r="CD62" s="25"/>
      <c r="CE62" s="110">
        <f>18000000-5121693</f>
        <v>12878307</v>
      </c>
      <c r="CF62" s="110">
        <v>1500000</v>
      </c>
      <c r="CG62" s="110">
        <v>1500000</v>
      </c>
      <c r="CH62" s="13"/>
      <c r="CI62" s="13"/>
      <c r="CJ62" s="13"/>
      <c r="CK62" s="25">
        <v>0</v>
      </c>
      <c r="CL62" s="26"/>
      <c r="CM62" s="26"/>
      <c r="CN62" s="26">
        <v>0</v>
      </c>
      <c r="CO62" s="26"/>
      <c r="CP62" s="26"/>
      <c r="CQ62" s="26"/>
      <c r="CR62" s="26"/>
      <c r="CS62" s="26"/>
      <c r="CT62" s="25">
        <f t="shared" si="19"/>
        <v>12878307</v>
      </c>
      <c r="CU62" s="25">
        <f t="shared" si="19"/>
        <v>1500000</v>
      </c>
      <c r="CV62" s="25">
        <f t="shared" si="19"/>
        <v>1500000</v>
      </c>
    </row>
    <row r="63" spans="1:100" ht="15" x14ac:dyDescent="0.25">
      <c r="A63" s="33"/>
      <c r="B63" s="29"/>
      <c r="C63" s="929"/>
      <c r="D63" s="928"/>
      <c r="E63" s="929"/>
      <c r="F63" s="929"/>
      <c r="G63" s="154"/>
      <c r="H63" s="155"/>
      <c r="I63" s="154"/>
      <c r="J63" s="156"/>
      <c r="K63" s="156"/>
      <c r="L63" s="156"/>
      <c r="M63" s="156"/>
      <c r="N63" s="157"/>
      <c r="O63" s="154"/>
      <c r="P63" s="155"/>
      <c r="Q63" s="158">
        <f>SUM(Q45:Q62)</f>
        <v>0</v>
      </c>
      <c r="R63" s="158">
        <f t="shared" ref="R63:CC63" si="20">SUM(R45:R62)</f>
        <v>0</v>
      </c>
      <c r="S63" s="158">
        <f t="shared" si="20"/>
        <v>0</v>
      </c>
      <c r="T63" s="158">
        <f t="shared" si="20"/>
        <v>0</v>
      </c>
      <c r="U63" s="158">
        <f t="shared" si="20"/>
        <v>0</v>
      </c>
      <c r="V63" s="158">
        <f t="shared" si="20"/>
        <v>0</v>
      </c>
      <c r="W63" s="158">
        <f t="shared" si="20"/>
        <v>0</v>
      </c>
      <c r="X63" s="158">
        <f t="shared" si="20"/>
        <v>0</v>
      </c>
      <c r="Y63" s="158">
        <f t="shared" si="20"/>
        <v>0</v>
      </c>
      <c r="Z63" s="158">
        <f t="shared" si="20"/>
        <v>0</v>
      </c>
      <c r="AA63" s="158">
        <f t="shared" si="20"/>
        <v>0</v>
      </c>
      <c r="AB63" s="158">
        <f t="shared" si="20"/>
        <v>0</v>
      </c>
      <c r="AC63" s="158">
        <f t="shared" si="20"/>
        <v>0</v>
      </c>
      <c r="AD63" s="158">
        <f t="shared" si="20"/>
        <v>0</v>
      </c>
      <c r="AE63" s="158">
        <f t="shared" si="20"/>
        <v>0</v>
      </c>
      <c r="AF63" s="158">
        <f t="shared" si="20"/>
        <v>0</v>
      </c>
      <c r="AG63" s="158">
        <f t="shared" si="20"/>
        <v>0</v>
      </c>
      <c r="AH63" s="158">
        <f t="shared" si="20"/>
        <v>0</v>
      </c>
      <c r="AI63" s="158">
        <f t="shared" si="20"/>
        <v>0</v>
      </c>
      <c r="AJ63" s="158">
        <f t="shared" si="20"/>
        <v>0</v>
      </c>
      <c r="AK63" s="158">
        <f t="shared" si="20"/>
        <v>0</v>
      </c>
      <c r="AL63" s="158">
        <f t="shared" si="20"/>
        <v>0</v>
      </c>
      <c r="AM63" s="158">
        <f t="shared" si="20"/>
        <v>0</v>
      </c>
      <c r="AN63" s="158">
        <f t="shared" si="20"/>
        <v>0</v>
      </c>
      <c r="AO63" s="158">
        <f t="shared" si="20"/>
        <v>0</v>
      </c>
      <c r="AP63" s="158">
        <f t="shared" si="20"/>
        <v>0</v>
      </c>
      <c r="AQ63" s="158">
        <f t="shared" si="20"/>
        <v>0</v>
      </c>
      <c r="AR63" s="158">
        <f t="shared" si="20"/>
        <v>0</v>
      </c>
      <c r="AS63" s="158">
        <f t="shared" si="20"/>
        <v>0</v>
      </c>
      <c r="AT63" s="158">
        <f t="shared" si="20"/>
        <v>0</v>
      </c>
      <c r="AU63" s="158">
        <f t="shared" si="20"/>
        <v>0</v>
      </c>
      <c r="AV63" s="158">
        <f t="shared" si="20"/>
        <v>0</v>
      </c>
      <c r="AW63" s="158">
        <f t="shared" si="20"/>
        <v>0</v>
      </c>
      <c r="AX63" s="158">
        <f t="shared" si="20"/>
        <v>0</v>
      </c>
      <c r="AY63" s="158">
        <f t="shared" si="20"/>
        <v>0</v>
      </c>
      <c r="AZ63" s="158">
        <f t="shared" si="20"/>
        <v>0</v>
      </c>
      <c r="BA63" s="158">
        <f t="shared" si="20"/>
        <v>0</v>
      </c>
      <c r="BB63" s="158">
        <f t="shared" si="20"/>
        <v>0</v>
      </c>
      <c r="BC63" s="158">
        <f t="shared" si="20"/>
        <v>0</v>
      </c>
      <c r="BD63" s="158">
        <f t="shared" si="20"/>
        <v>0</v>
      </c>
      <c r="BE63" s="158">
        <f t="shared" si="20"/>
        <v>0</v>
      </c>
      <c r="BF63" s="158">
        <f t="shared" si="20"/>
        <v>0</v>
      </c>
      <c r="BG63" s="158">
        <f t="shared" si="20"/>
        <v>0</v>
      </c>
      <c r="BH63" s="158">
        <f t="shared" si="20"/>
        <v>0</v>
      </c>
      <c r="BI63" s="158">
        <f t="shared" si="20"/>
        <v>0</v>
      </c>
      <c r="BJ63" s="158">
        <f t="shared" si="20"/>
        <v>0</v>
      </c>
      <c r="BK63" s="158">
        <f t="shared" si="20"/>
        <v>0</v>
      </c>
      <c r="BL63" s="158">
        <f t="shared" si="20"/>
        <v>0</v>
      </c>
      <c r="BM63" s="158">
        <f t="shared" si="20"/>
        <v>0</v>
      </c>
      <c r="BN63" s="158">
        <f t="shared" si="20"/>
        <v>0</v>
      </c>
      <c r="BO63" s="158">
        <f t="shared" si="20"/>
        <v>0</v>
      </c>
      <c r="BP63" s="158">
        <f t="shared" si="20"/>
        <v>0</v>
      </c>
      <c r="BQ63" s="158">
        <f t="shared" si="20"/>
        <v>0</v>
      </c>
      <c r="BR63" s="158">
        <f t="shared" si="20"/>
        <v>0</v>
      </c>
      <c r="BS63" s="158">
        <f t="shared" si="20"/>
        <v>0</v>
      </c>
      <c r="BT63" s="158">
        <f t="shared" si="20"/>
        <v>0</v>
      </c>
      <c r="BU63" s="158">
        <f t="shared" si="20"/>
        <v>0</v>
      </c>
      <c r="BV63" s="158">
        <f t="shared" si="20"/>
        <v>0</v>
      </c>
      <c r="BW63" s="158">
        <f t="shared" si="20"/>
        <v>0</v>
      </c>
      <c r="BX63" s="158">
        <f t="shared" si="20"/>
        <v>0</v>
      </c>
      <c r="BY63" s="158">
        <f t="shared" si="20"/>
        <v>0</v>
      </c>
      <c r="BZ63" s="158">
        <f t="shared" si="20"/>
        <v>0</v>
      </c>
      <c r="CA63" s="158">
        <f t="shared" si="20"/>
        <v>0</v>
      </c>
      <c r="CB63" s="158">
        <f t="shared" si="20"/>
        <v>0</v>
      </c>
      <c r="CC63" s="158">
        <f t="shared" si="20"/>
        <v>0</v>
      </c>
      <c r="CD63" s="158">
        <f t="shared" ref="CD63:CS63" si="21">SUM(CD45:CD62)</f>
        <v>0</v>
      </c>
      <c r="CE63" s="158">
        <f t="shared" si="21"/>
        <v>1346000000</v>
      </c>
      <c r="CF63" s="158">
        <f t="shared" si="21"/>
        <v>1201186570.23</v>
      </c>
      <c r="CG63" s="158">
        <f t="shared" si="21"/>
        <v>1001186570.23</v>
      </c>
      <c r="CH63" s="158">
        <f t="shared" si="21"/>
        <v>0</v>
      </c>
      <c r="CI63" s="158">
        <f t="shared" si="21"/>
        <v>0</v>
      </c>
      <c r="CJ63" s="158">
        <f t="shared" si="21"/>
        <v>0</v>
      </c>
      <c r="CK63" s="158">
        <f t="shared" si="21"/>
        <v>0</v>
      </c>
      <c r="CL63" s="158">
        <f t="shared" si="21"/>
        <v>0</v>
      </c>
      <c r="CM63" s="158">
        <f t="shared" si="21"/>
        <v>0</v>
      </c>
      <c r="CN63" s="158">
        <f t="shared" si="21"/>
        <v>0</v>
      </c>
      <c r="CO63" s="158">
        <f t="shared" si="21"/>
        <v>0</v>
      </c>
      <c r="CP63" s="158">
        <f t="shared" si="21"/>
        <v>0</v>
      </c>
      <c r="CQ63" s="158">
        <f t="shared" si="21"/>
        <v>0</v>
      </c>
      <c r="CR63" s="158">
        <f t="shared" si="21"/>
        <v>0</v>
      </c>
      <c r="CS63" s="158">
        <f t="shared" si="21"/>
        <v>0</v>
      </c>
      <c r="CT63" s="158">
        <f>SUM(CT45:CT62)</f>
        <v>1346000000</v>
      </c>
      <c r="CU63" s="158">
        <f>SUM(CU45:CU62)</f>
        <v>1201186570.23</v>
      </c>
      <c r="CV63" s="158">
        <f>SUM(CV45:CV62)</f>
        <v>1001186570.23</v>
      </c>
    </row>
    <row r="64" spans="1:100" ht="15" x14ac:dyDescent="0.25">
      <c r="A64" s="226"/>
      <c r="B64" s="216"/>
      <c r="C64" s="162"/>
      <c r="D64" s="161"/>
      <c r="E64" s="162"/>
      <c r="F64" s="162"/>
      <c r="G64" s="161"/>
      <c r="H64" s="162"/>
      <c r="I64" s="161"/>
      <c r="J64" s="163"/>
      <c r="K64" s="163"/>
      <c r="L64" s="163"/>
      <c r="M64" s="163"/>
      <c r="N64" s="164"/>
      <c r="O64" s="161"/>
      <c r="P64" s="162"/>
      <c r="Q64" s="165">
        <f>Q63</f>
        <v>0</v>
      </c>
      <c r="R64" s="165">
        <f t="shared" ref="R64:CC64" si="22">R63</f>
        <v>0</v>
      </c>
      <c r="S64" s="165">
        <f t="shared" si="22"/>
        <v>0</v>
      </c>
      <c r="T64" s="165">
        <f t="shared" si="22"/>
        <v>0</v>
      </c>
      <c r="U64" s="165">
        <f t="shared" si="22"/>
        <v>0</v>
      </c>
      <c r="V64" s="165">
        <f t="shared" si="22"/>
        <v>0</v>
      </c>
      <c r="W64" s="165">
        <f t="shared" si="22"/>
        <v>0</v>
      </c>
      <c r="X64" s="165">
        <f t="shared" si="22"/>
        <v>0</v>
      </c>
      <c r="Y64" s="165">
        <f t="shared" si="22"/>
        <v>0</v>
      </c>
      <c r="Z64" s="165">
        <f t="shared" si="22"/>
        <v>0</v>
      </c>
      <c r="AA64" s="165">
        <f t="shared" si="22"/>
        <v>0</v>
      </c>
      <c r="AB64" s="165">
        <f t="shared" si="22"/>
        <v>0</v>
      </c>
      <c r="AC64" s="165">
        <f t="shared" si="22"/>
        <v>0</v>
      </c>
      <c r="AD64" s="165">
        <f t="shared" si="22"/>
        <v>0</v>
      </c>
      <c r="AE64" s="165">
        <f t="shared" si="22"/>
        <v>0</v>
      </c>
      <c r="AF64" s="165">
        <f t="shared" si="22"/>
        <v>0</v>
      </c>
      <c r="AG64" s="165">
        <f t="shared" si="22"/>
        <v>0</v>
      </c>
      <c r="AH64" s="165">
        <f t="shared" si="22"/>
        <v>0</v>
      </c>
      <c r="AI64" s="165">
        <f t="shared" si="22"/>
        <v>0</v>
      </c>
      <c r="AJ64" s="165">
        <f t="shared" si="22"/>
        <v>0</v>
      </c>
      <c r="AK64" s="165">
        <f t="shared" si="22"/>
        <v>0</v>
      </c>
      <c r="AL64" s="165">
        <f t="shared" si="22"/>
        <v>0</v>
      </c>
      <c r="AM64" s="165">
        <f t="shared" si="22"/>
        <v>0</v>
      </c>
      <c r="AN64" s="165">
        <f t="shared" si="22"/>
        <v>0</v>
      </c>
      <c r="AO64" s="165">
        <f t="shared" si="22"/>
        <v>0</v>
      </c>
      <c r="AP64" s="165">
        <f t="shared" si="22"/>
        <v>0</v>
      </c>
      <c r="AQ64" s="165">
        <f t="shared" si="22"/>
        <v>0</v>
      </c>
      <c r="AR64" s="165">
        <f t="shared" si="22"/>
        <v>0</v>
      </c>
      <c r="AS64" s="165">
        <f t="shared" si="22"/>
        <v>0</v>
      </c>
      <c r="AT64" s="165">
        <f t="shared" si="22"/>
        <v>0</v>
      </c>
      <c r="AU64" s="165">
        <f t="shared" si="22"/>
        <v>0</v>
      </c>
      <c r="AV64" s="165">
        <f t="shared" si="22"/>
        <v>0</v>
      </c>
      <c r="AW64" s="165">
        <f t="shared" si="22"/>
        <v>0</v>
      </c>
      <c r="AX64" s="165">
        <f t="shared" si="22"/>
        <v>0</v>
      </c>
      <c r="AY64" s="165">
        <f t="shared" si="22"/>
        <v>0</v>
      </c>
      <c r="AZ64" s="165">
        <f t="shared" si="22"/>
        <v>0</v>
      </c>
      <c r="BA64" s="165">
        <f t="shared" si="22"/>
        <v>0</v>
      </c>
      <c r="BB64" s="165">
        <f t="shared" si="22"/>
        <v>0</v>
      </c>
      <c r="BC64" s="165">
        <f t="shared" si="22"/>
        <v>0</v>
      </c>
      <c r="BD64" s="165">
        <f t="shared" si="22"/>
        <v>0</v>
      </c>
      <c r="BE64" s="165">
        <f t="shared" si="22"/>
        <v>0</v>
      </c>
      <c r="BF64" s="165">
        <f t="shared" si="22"/>
        <v>0</v>
      </c>
      <c r="BG64" s="165">
        <f t="shared" si="22"/>
        <v>0</v>
      </c>
      <c r="BH64" s="165">
        <f t="shared" si="22"/>
        <v>0</v>
      </c>
      <c r="BI64" s="165">
        <f t="shared" si="22"/>
        <v>0</v>
      </c>
      <c r="BJ64" s="165">
        <f t="shared" si="22"/>
        <v>0</v>
      </c>
      <c r="BK64" s="165">
        <f t="shared" si="22"/>
        <v>0</v>
      </c>
      <c r="BL64" s="165">
        <f t="shared" si="22"/>
        <v>0</v>
      </c>
      <c r="BM64" s="165">
        <f t="shared" si="22"/>
        <v>0</v>
      </c>
      <c r="BN64" s="165">
        <f t="shared" si="22"/>
        <v>0</v>
      </c>
      <c r="BO64" s="165">
        <f t="shared" si="22"/>
        <v>0</v>
      </c>
      <c r="BP64" s="165">
        <f t="shared" si="22"/>
        <v>0</v>
      </c>
      <c r="BQ64" s="165">
        <f t="shared" si="22"/>
        <v>0</v>
      </c>
      <c r="BR64" s="165">
        <f t="shared" si="22"/>
        <v>0</v>
      </c>
      <c r="BS64" s="165">
        <f t="shared" si="22"/>
        <v>0</v>
      </c>
      <c r="BT64" s="165">
        <f t="shared" si="22"/>
        <v>0</v>
      </c>
      <c r="BU64" s="165">
        <f t="shared" si="22"/>
        <v>0</v>
      </c>
      <c r="BV64" s="165">
        <f t="shared" si="22"/>
        <v>0</v>
      </c>
      <c r="BW64" s="165">
        <f t="shared" si="22"/>
        <v>0</v>
      </c>
      <c r="BX64" s="165">
        <f t="shared" si="22"/>
        <v>0</v>
      </c>
      <c r="BY64" s="165">
        <f t="shared" si="22"/>
        <v>0</v>
      </c>
      <c r="BZ64" s="165">
        <f t="shared" si="22"/>
        <v>0</v>
      </c>
      <c r="CA64" s="165">
        <f t="shared" si="22"/>
        <v>0</v>
      </c>
      <c r="CB64" s="165">
        <f t="shared" si="22"/>
        <v>0</v>
      </c>
      <c r="CC64" s="165">
        <f t="shared" si="22"/>
        <v>0</v>
      </c>
      <c r="CD64" s="165">
        <f t="shared" ref="CD64:CS64" si="23">CD63</f>
        <v>0</v>
      </c>
      <c r="CE64" s="165">
        <f t="shared" si="23"/>
        <v>1346000000</v>
      </c>
      <c r="CF64" s="165">
        <f t="shared" si="23"/>
        <v>1201186570.23</v>
      </c>
      <c r="CG64" s="165">
        <f t="shared" si="23"/>
        <v>1001186570.23</v>
      </c>
      <c r="CH64" s="165">
        <f t="shared" si="23"/>
        <v>0</v>
      </c>
      <c r="CI64" s="165">
        <f t="shared" si="23"/>
        <v>0</v>
      </c>
      <c r="CJ64" s="165">
        <f t="shared" si="23"/>
        <v>0</v>
      </c>
      <c r="CK64" s="165">
        <f t="shared" si="23"/>
        <v>0</v>
      </c>
      <c r="CL64" s="165">
        <f t="shared" si="23"/>
        <v>0</v>
      </c>
      <c r="CM64" s="165">
        <f t="shared" si="23"/>
        <v>0</v>
      </c>
      <c r="CN64" s="165">
        <f t="shared" si="23"/>
        <v>0</v>
      </c>
      <c r="CO64" s="165">
        <f t="shared" si="23"/>
        <v>0</v>
      </c>
      <c r="CP64" s="165">
        <f t="shared" si="23"/>
        <v>0</v>
      </c>
      <c r="CQ64" s="165">
        <f t="shared" si="23"/>
        <v>0</v>
      </c>
      <c r="CR64" s="165">
        <f t="shared" si="23"/>
        <v>0</v>
      </c>
      <c r="CS64" s="165">
        <f t="shared" si="23"/>
        <v>0</v>
      </c>
      <c r="CT64" s="165">
        <f>CT63</f>
        <v>1346000000</v>
      </c>
      <c r="CU64" s="165">
        <f>CU63</f>
        <v>1201186570.23</v>
      </c>
      <c r="CV64" s="165">
        <f>CV63</f>
        <v>1001186570.23</v>
      </c>
    </row>
    <row r="65" spans="1:100" s="227" customFormat="1" ht="20.25" x14ac:dyDescent="0.25">
      <c r="A65" s="166"/>
      <c r="B65" s="166"/>
      <c r="C65" s="167"/>
      <c r="D65" s="166"/>
      <c r="E65" s="167"/>
      <c r="F65" s="167"/>
      <c r="G65" s="166"/>
      <c r="H65" s="167"/>
      <c r="I65" s="166"/>
      <c r="J65" s="168"/>
      <c r="K65" s="168"/>
      <c r="L65" s="168"/>
      <c r="M65" s="168"/>
      <c r="N65" s="169"/>
      <c r="O65" s="166"/>
      <c r="P65" s="167"/>
      <c r="Q65" s="170">
        <f>Q35+Q41+Q64</f>
        <v>0</v>
      </c>
      <c r="R65" s="170">
        <f t="shared" ref="R65:CC65" si="24">R35+R41+R64</f>
        <v>0</v>
      </c>
      <c r="S65" s="170">
        <f t="shared" si="24"/>
        <v>0</v>
      </c>
      <c r="T65" s="170">
        <f t="shared" si="24"/>
        <v>0</v>
      </c>
      <c r="U65" s="170">
        <f t="shared" si="24"/>
        <v>0</v>
      </c>
      <c r="V65" s="170">
        <f t="shared" si="24"/>
        <v>0</v>
      </c>
      <c r="W65" s="170">
        <f t="shared" si="24"/>
        <v>0</v>
      </c>
      <c r="X65" s="170">
        <f t="shared" si="24"/>
        <v>0</v>
      </c>
      <c r="Y65" s="170">
        <f t="shared" si="24"/>
        <v>0</v>
      </c>
      <c r="Z65" s="170">
        <f t="shared" si="24"/>
        <v>0</v>
      </c>
      <c r="AA65" s="170">
        <f t="shared" si="24"/>
        <v>0</v>
      </c>
      <c r="AB65" s="170">
        <f t="shared" si="24"/>
        <v>0</v>
      </c>
      <c r="AC65" s="170">
        <f t="shared" si="24"/>
        <v>0</v>
      </c>
      <c r="AD65" s="170">
        <f t="shared" si="24"/>
        <v>0</v>
      </c>
      <c r="AE65" s="170">
        <f t="shared" si="24"/>
        <v>0</v>
      </c>
      <c r="AF65" s="170">
        <f t="shared" si="24"/>
        <v>0</v>
      </c>
      <c r="AG65" s="170">
        <f t="shared" si="24"/>
        <v>0</v>
      </c>
      <c r="AH65" s="170">
        <f t="shared" si="24"/>
        <v>0</v>
      </c>
      <c r="AI65" s="170">
        <f t="shared" si="24"/>
        <v>0</v>
      </c>
      <c r="AJ65" s="170">
        <f t="shared" si="24"/>
        <v>0</v>
      </c>
      <c r="AK65" s="170">
        <f t="shared" si="24"/>
        <v>0</v>
      </c>
      <c r="AL65" s="170">
        <f t="shared" si="24"/>
        <v>0</v>
      </c>
      <c r="AM65" s="170">
        <f t="shared" si="24"/>
        <v>0</v>
      </c>
      <c r="AN65" s="170">
        <f t="shared" si="24"/>
        <v>0</v>
      </c>
      <c r="AO65" s="170">
        <f t="shared" si="24"/>
        <v>0</v>
      </c>
      <c r="AP65" s="170">
        <f t="shared" si="24"/>
        <v>0</v>
      </c>
      <c r="AQ65" s="170">
        <f t="shared" si="24"/>
        <v>0</v>
      </c>
      <c r="AR65" s="170">
        <f t="shared" si="24"/>
        <v>0</v>
      </c>
      <c r="AS65" s="170">
        <f t="shared" si="24"/>
        <v>0</v>
      </c>
      <c r="AT65" s="170">
        <f t="shared" si="24"/>
        <v>0</v>
      </c>
      <c r="AU65" s="170">
        <f t="shared" si="24"/>
        <v>0</v>
      </c>
      <c r="AV65" s="170">
        <f t="shared" si="24"/>
        <v>0</v>
      </c>
      <c r="AW65" s="170">
        <f t="shared" si="24"/>
        <v>0</v>
      </c>
      <c r="AX65" s="170">
        <f t="shared" si="24"/>
        <v>0</v>
      </c>
      <c r="AY65" s="170">
        <f t="shared" si="24"/>
        <v>0</v>
      </c>
      <c r="AZ65" s="170">
        <f t="shared" si="24"/>
        <v>0</v>
      </c>
      <c r="BA65" s="170">
        <f t="shared" si="24"/>
        <v>0</v>
      </c>
      <c r="BB65" s="170">
        <f t="shared" si="24"/>
        <v>0</v>
      </c>
      <c r="BC65" s="170">
        <f t="shared" si="24"/>
        <v>0</v>
      </c>
      <c r="BD65" s="170">
        <f t="shared" si="24"/>
        <v>0</v>
      </c>
      <c r="BE65" s="170">
        <f t="shared" si="24"/>
        <v>0</v>
      </c>
      <c r="BF65" s="170">
        <f t="shared" si="24"/>
        <v>0</v>
      </c>
      <c r="BG65" s="170">
        <f t="shared" si="24"/>
        <v>0</v>
      </c>
      <c r="BH65" s="170">
        <f t="shared" si="24"/>
        <v>0</v>
      </c>
      <c r="BI65" s="170">
        <f t="shared" si="24"/>
        <v>0</v>
      </c>
      <c r="BJ65" s="170">
        <f t="shared" si="24"/>
        <v>0</v>
      </c>
      <c r="BK65" s="170">
        <f t="shared" si="24"/>
        <v>0</v>
      </c>
      <c r="BL65" s="170">
        <f t="shared" si="24"/>
        <v>0</v>
      </c>
      <c r="BM65" s="170">
        <f t="shared" si="24"/>
        <v>0</v>
      </c>
      <c r="BN65" s="170">
        <f t="shared" si="24"/>
        <v>0</v>
      </c>
      <c r="BO65" s="170">
        <f t="shared" si="24"/>
        <v>0</v>
      </c>
      <c r="BP65" s="170">
        <f t="shared" si="24"/>
        <v>0</v>
      </c>
      <c r="BQ65" s="170">
        <f t="shared" si="24"/>
        <v>0</v>
      </c>
      <c r="BR65" s="170">
        <f t="shared" si="24"/>
        <v>0</v>
      </c>
      <c r="BS65" s="170">
        <f t="shared" si="24"/>
        <v>0</v>
      </c>
      <c r="BT65" s="170">
        <f t="shared" si="24"/>
        <v>0</v>
      </c>
      <c r="BU65" s="170">
        <f t="shared" si="24"/>
        <v>0</v>
      </c>
      <c r="BV65" s="170">
        <f t="shared" si="24"/>
        <v>0</v>
      </c>
      <c r="BW65" s="170">
        <f t="shared" si="24"/>
        <v>0</v>
      </c>
      <c r="BX65" s="170">
        <f t="shared" si="24"/>
        <v>0</v>
      </c>
      <c r="BY65" s="170">
        <f t="shared" si="24"/>
        <v>0</v>
      </c>
      <c r="BZ65" s="170">
        <f t="shared" si="24"/>
        <v>0</v>
      </c>
      <c r="CA65" s="170">
        <f t="shared" si="24"/>
        <v>0</v>
      </c>
      <c r="CB65" s="170">
        <f t="shared" si="24"/>
        <v>0</v>
      </c>
      <c r="CC65" s="170">
        <f t="shared" si="24"/>
        <v>0</v>
      </c>
      <c r="CD65" s="170">
        <f t="shared" ref="CD65:CS65" si="25">CD35+CD41+CD64</f>
        <v>0</v>
      </c>
      <c r="CE65" s="170">
        <f t="shared" si="25"/>
        <v>1556000000</v>
      </c>
      <c r="CF65" s="170">
        <f t="shared" si="25"/>
        <v>1353559286.23</v>
      </c>
      <c r="CG65" s="170">
        <f t="shared" si="25"/>
        <v>1144541886.23</v>
      </c>
      <c r="CH65" s="170">
        <f t="shared" si="25"/>
        <v>0</v>
      </c>
      <c r="CI65" s="170">
        <f t="shared" si="25"/>
        <v>0</v>
      </c>
      <c r="CJ65" s="170">
        <f t="shared" si="25"/>
        <v>0</v>
      </c>
      <c r="CK65" s="170">
        <f t="shared" si="25"/>
        <v>0</v>
      </c>
      <c r="CL65" s="170">
        <f t="shared" si="25"/>
        <v>0</v>
      </c>
      <c r="CM65" s="170">
        <f t="shared" si="25"/>
        <v>0</v>
      </c>
      <c r="CN65" s="170">
        <f t="shared" si="25"/>
        <v>0</v>
      </c>
      <c r="CO65" s="170">
        <f t="shared" si="25"/>
        <v>0</v>
      </c>
      <c r="CP65" s="170">
        <f t="shared" si="25"/>
        <v>0</v>
      </c>
      <c r="CQ65" s="170">
        <f t="shared" si="25"/>
        <v>0</v>
      </c>
      <c r="CR65" s="170">
        <f t="shared" si="25"/>
        <v>0</v>
      </c>
      <c r="CS65" s="170">
        <f t="shared" si="25"/>
        <v>0</v>
      </c>
      <c r="CT65" s="170">
        <f>CT35+CT41+CT64</f>
        <v>1556000000</v>
      </c>
      <c r="CU65" s="170">
        <f>CU35+CU41+CU64</f>
        <v>1353559286.23</v>
      </c>
      <c r="CV65" s="170">
        <f>CV35+CV41+CV64</f>
        <v>1144541886.23</v>
      </c>
    </row>
    <row r="66" spans="1:100" s="227" customFormat="1" ht="20.25" x14ac:dyDescent="0.25">
      <c r="A66" s="171"/>
      <c r="B66" s="171"/>
      <c r="C66" s="172"/>
      <c r="D66" s="171"/>
      <c r="E66" s="172"/>
      <c r="F66" s="172"/>
      <c r="G66" s="171"/>
      <c r="H66" s="172"/>
      <c r="I66" s="171"/>
      <c r="J66" s="173"/>
      <c r="K66" s="173"/>
      <c r="L66" s="173"/>
      <c r="M66" s="173"/>
      <c r="N66" s="174"/>
      <c r="O66" s="171"/>
      <c r="P66" s="172"/>
      <c r="Q66" s="175">
        <f>Q65</f>
        <v>0</v>
      </c>
      <c r="R66" s="175">
        <f t="shared" ref="R66:CC66" si="26">R65</f>
        <v>0</v>
      </c>
      <c r="S66" s="175">
        <f t="shared" si="26"/>
        <v>0</v>
      </c>
      <c r="T66" s="175">
        <f t="shared" si="26"/>
        <v>0</v>
      </c>
      <c r="U66" s="175">
        <f t="shared" si="26"/>
        <v>0</v>
      </c>
      <c r="V66" s="175">
        <f t="shared" si="26"/>
        <v>0</v>
      </c>
      <c r="W66" s="175">
        <f t="shared" si="26"/>
        <v>0</v>
      </c>
      <c r="X66" s="175">
        <f t="shared" si="26"/>
        <v>0</v>
      </c>
      <c r="Y66" s="175">
        <f t="shared" si="26"/>
        <v>0</v>
      </c>
      <c r="Z66" s="175">
        <f t="shared" si="26"/>
        <v>0</v>
      </c>
      <c r="AA66" s="175">
        <f t="shared" si="26"/>
        <v>0</v>
      </c>
      <c r="AB66" s="175">
        <f t="shared" si="26"/>
        <v>0</v>
      </c>
      <c r="AC66" s="175">
        <f t="shared" si="26"/>
        <v>0</v>
      </c>
      <c r="AD66" s="175">
        <f t="shared" si="26"/>
        <v>0</v>
      </c>
      <c r="AE66" s="175">
        <f t="shared" si="26"/>
        <v>0</v>
      </c>
      <c r="AF66" s="175">
        <f t="shared" si="26"/>
        <v>0</v>
      </c>
      <c r="AG66" s="175">
        <f t="shared" si="26"/>
        <v>0</v>
      </c>
      <c r="AH66" s="175">
        <f t="shared" si="26"/>
        <v>0</v>
      </c>
      <c r="AI66" s="175">
        <f t="shared" si="26"/>
        <v>0</v>
      </c>
      <c r="AJ66" s="175">
        <f t="shared" si="26"/>
        <v>0</v>
      </c>
      <c r="AK66" s="175">
        <f t="shared" si="26"/>
        <v>0</v>
      </c>
      <c r="AL66" s="175">
        <f t="shared" si="26"/>
        <v>0</v>
      </c>
      <c r="AM66" s="175">
        <f t="shared" si="26"/>
        <v>0</v>
      </c>
      <c r="AN66" s="175">
        <f t="shared" si="26"/>
        <v>0</v>
      </c>
      <c r="AO66" s="175">
        <f t="shared" si="26"/>
        <v>0</v>
      </c>
      <c r="AP66" s="175">
        <f t="shared" si="26"/>
        <v>0</v>
      </c>
      <c r="AQ66" s="175">
        <f t="shared" si="26"/>
        <v>0</v>
      </c>
      <c r="AR66" s="175">
        <f t="shared" si="26"/>
        <v>0</v>
      </c>
      <c r="AS66" s="175">
        <f t="shared" si="26"/>
        <v>0</v>
      </c>
      <c r="AT66" s="175">
        <f t="shared" si="26"/>
        <v>0</v>
      </c>
      <c r="AU66" s="175">
        <f t="shared" si="26"/>
        <v>0</v>
      </c>
      <c r="AV66" s="175">
        <f t="shared" si="26"/>
        <v>0</v>
      </c>
      <c r="AW66" s="175">
        <f t="shared" si="26"/>
        <v>0</v>
      </c>
      <c r="AX66" s="175">
        <f t="shared" si="26"/>
        <v>0</v>
      </c>
      <c r="AY66" s="175">
        <f t="shared" si="26"/>
        <v>0</v>
      </c>
      <c r="AZ66" s="175">
        <f t="shared" si="26"/>
        <v>0</v>
      </c>
      <c r="BA66" s="175">
        <f t="shared" si="26"/>
        <v>0</v>
      </c>
      <c r="BB66" s="175">
        <f t="shared" si="26"/>
        <v>0</v>
      </c>
      <c r="BC66" s="175">
        <f t="shared" si="26"/>
        <v>0</v>
      </c>
      <c r="BD66" s="175">
        <f t="shared" si="26"/>
        <v>0</v>
      </c>
      <c r="BE66" s="175">
        <f t="shared" si="26"/>
        <v>0</v>
      </c>
      <c r="BF66" s="175">
        <f t="shared" si="26"/>
        <v>0</v>
      </c>
      <c r="BG66" s="175">
        <f t="shared" si="26"/>
        <v>0</v>
      </c>
      <c r="BH66" s="175">
        <f t="shared" si="26"/>
        <v>0</v>
      </c>
      <c r="BI66" s="175">
        <f t="shared" si="26"/>
        <v>0</v>
      </c>
      <c r="BJ66" s="175">
        <f t="shared" si="26"/>
        <v>0</v>
      </c>
      <c r="BK66" s="175">
        <f t="shared" si="26"/>
        <v>0</v>
      </c>
      <c r="BL66" s="175">
        <f t="shared" si="26"/>
        <v>0</v>
      </c>
      <c r="BM66" s="175">
        <f t="shared" si="26"/>
        <v>0</v>
      </c>
      <c r="BN66" s="175">
        <f t="shared" si="26"/>
        <v>0</v>
      </c>
      <c r="BO66" s="175">
        <f t="shared" si="26"/>
        <v>0</v>
      </c>
      <c r="BP66" s="175">
        <f t="shared" si="26"/>
        <v>0</v>
      </c>
      <c r="BQ66" s="175">
        <f t="shared" si="26"/>
        <v>0</v>
      </c>
      <c r="BR66" s="175">
        <f t="shared" si="26"/>
        <v>0</v>
      </c>
      <c r="BS66" s="175">
        <f t="shared" si="26"/>
        <v>0</v>
      </c>
      <c r="BT66" s="175">
        <f t="shared" si="26"/>
        <v>0</v>
      </c>
      <c r="BU66" s="175">
        <f t="shared" si="26"/>
        <v>0</v>
      </c>
      <c r="BV66" s="175">
        <f t="shared" si="26"/>
        <v>0</v>
      </c>
      <c r="BW66" s="175">
        <f t="shared" si="26"/>
        <v>0</v>
      </c>
      <c r="BX66" s="175">
        <f t="shared" si="26"/>
        <v>0</v>
      </c>
      <c r="BY66" s="175">
        <f t="shared" si="26"/>
        <v>0</v>
      </c>
      <c r="BZ66" s="175">
        <f t="shared" si="26"/>
        <v>0</v>
      </c>
      <c r="CA66" s="175">
        <f t="shared" si="26"/>
        <v>0</v>
      </c>
      <c r="CB66" s="175">
        <f t="shared" si="26"/>
        <v>0</v>
      </c>
      <c r="CC66" s="175">
        <f t="shared" si="26"/>
        <v>0</v>
      </c>
      <c r="CD66" s="175">
        <f t="shared" ref="CD66:CS66" si="27">CD65</f>
        <v>0</v>
      </c>
      <c r="CE66" s="175">
        <f t="shared" si="27"/>
        <v>1556000000</v>
      </c>
      <c r="CF66" s="175">
        <f t="shared" si="27"/>
        <v>1353559286.23</v>
      </c>
      <c r="CG66" s="175">
        <f t="shared" si="27"/>
        <v>1144541886.23</v>
      </c>
      <c r="CH66" s="175">
        <f t="shared" si="27"/>
        <v>0</v>
      </c>
      <c r="CI66" s="175">
        <f t="shared" si="27"/>
        <v>0</v>
      </c>
      <c r="CJ66" s="175">
        <f t="shared" si="27"/>
        <v>0</v>
      </c>
      <c r="CK66" s="175">
        <f t="shared" si="27"/>
        <v>0</v>
      </c>
      <c r="CL66" s="175">
        <f t="shared" si="27"/>
        <v>0</v>
      </c>
      <c r="CM66" s="175">
        <f t="shared" si="27"/>
        <v>0</v>
      </c>
      <c r="CN66" s="175">
        <f t="shared" si="27"/>
        <v>0</v>
      </c>
      <c r="CO66" s="175">
        <f t="shared" si="27"/>
        <v>0</v>
      </c>
      <c r="CP66" s="175">
        <f t="shared" si="27"/>
        <v>0</v>
      </c>
      <c r="CQ66" s="175">
        <f t="shared" si="27"/>
        <v>0</v>
      </c>
      <c r="CR66" s="175">
        <f t="shared" si="27"/>
        <v>0</v>
      </c>
      <c r="CS66" s="175">
        <f t="shared" si="27"/>
        <v>0</v>
      </c>
      <c r="CT66" s="175">
        <f>CT65</f>
        <v>1556000000</v>
      </c>
      <c r="CU66" s="856">
        <f>CU65</f>
        <v>1353559286.23</v>
      </c>
      <c r="CV66" s="856">
        <f>CV65</f>
        <v>1144541886.23</v>
      </c>
    </row>
    <row r="67" spans="1:100" s="46" customFormat="1" ht="20.25" x14ac:dyDescent="0.25">
      <c r="A67" s="228"/>
      <c r="B67" s="221"/>
      <c r="C67" s="930"/>
      <c r="D67" s="221"/>
      <c r="E67" s="930"/>
      <c r="F67" s="930"/>
      <c r="G67" s="221"/>
      <c r="H67" s="930"/>
      <c r="I67" s="221"/>
      <c r="J67" s="229"/>
      <c r="K67" s="229"/>
      <c r="L67" s="229"/>
      <c r="M67" s="229"/>
      <c r="N67" s="230"/>
      <c r="O67" s="221"/>
      <c r="P67" s="949"/>
      <c r="Q67" s="231"/>
      <c r="R67" s="703"/>
      <c r="S67" s="703"/>
      <c r="T67" s="231"/>
      <c r="U67" s="703"/>
      <c r="V67" s="703"/>
      <c r="W67" s="231"/>
      <c r="X67" s="703"/>
      <c r="Y67" s="703"/>
      <c r="Z67" s="231"/>
      <c r="AA67" s="703"/>
      <c r="AB67" s="703"/>
      <c r="AC67" s="231"/>
      <c r="AD67" s="703"/>
      <c r="AE67" s="703"/>
      <c r="AF67" s="231"/>
      <c r="AG67" s="703"/>
      <c r="AH67" s="703"/>
      <c r="AI67" s="231"/>
      <c r="AJ67" s="703"/>
      <c r="AK67" s="703"/>
      <c r="AL67" s="231"/>
      <c r="AM67" s="703"/>
      <c r="AN67" s="703"/>
      <c r="AO67" s="231"/>
      <c r="AP67" s="703"/>
      <c r="AQ67" s="703"/>
      <c r="AR67" s="231"/>
      <c r="AS67" s="703"/>
      <c r="AT67" s="703"/>
      <c r="AU67" s="231"/>
      <c r="AV67" s="703"/>
      <c r="AW67" s="703"/>
      <c r="AX67" s="231"/>
      <c r="AY67" s="703"/>
      <c r="AZ67" s="703"/>
      <c r="BA67" s="231"/>
      <c r="BB67" s="703"/>
      <c r="BC67" s="703"/>
      <c r="BD67" s="231"/>
      <c r="BE67" s="703"/>
      <c r="BF67" s="703"/>
      <c r="BG67" s="232"/>
      <c r="BH67" s="713"/>
      <c r="BI67" s="713"/>
      <c r="BJ67" s="232"/>
      <c r="BK67" s="713"/>
      <c r="BL67" s="713"/>
      <c r="BM67" s="232"/>
      <c r="BN67" s="713"/>
      <c r="BO67" s="713"/>
      <c r="BP67" s="232"/>
      <c r="BQ67" s="713"/>
      <c r="BR67" s="713"/>
      <c r="BS67" s="232"/>
      <c r="BT67" s="713"/>
      <c r="BU67" s="713"/>
      <c r="BV67" s="232"/>
      <c r="BW67" s="713"/>
      <c r="BX67" s="713"/>
      <c r="BY67" s="231"/>
      <c r="BZ67" s="703"/>
      <c r="CA67" s="703"/>
      <c r="CB67" s="231"/>
      <c r="CC67" s="703"/>
      <c r="CD67" s="703"/>
      <c r="CE67" s="233"/>
      <c r="CF67" s="714"/>
      <c r="CG67" s="714"/>
      <c r="CH67" s="231"/>
      <c r="CI67" s="703"/>
      <c r="CJ67" s="703"/>
      <c r="CK67" s="231"/>
      <c r="CL67" s="703"/>
      <c r="CM67" s="703"/>
      <c r="CN67" s="231"/>
      <c r="CO67" s="703"/>
      <c r="CP67" s="703"/>
      <c r="CQ67" s="231"/>
      <c r="CR67" s="703"/>
      <c r="CS67" s="703"/>
      <c r="CT67" s="737"/>
      <c r="CU67" s="738"/>
      <c r="CV67" s="738"/>
    </row>
    <row r="68" spans="1:100" ht="20.25" x14ac:dyDescent="0.25">
      <c r="A68" s="234" t="s">
        <v>101</v>
      </c>
      <c r="B68" s="235"/>
      <c r="C68" s="236"/>
      <c r="D68" s="235"/>
      <c r="E68" s="235"/>
      <c r="F68" s="235"/>
      <c r="G68" s="235"/>
      <c r="H68" s="236"/>
      <c r="I68" s="235"/>
      <c r="J68" s="235"/>
      <c r="K68" s="235"/>
      <c r="L68" s="235"/>
      <c r="M68" s="235"/>
      <c r="N68" s="681"/>
      <c r="O68" s="235"/>
      <c r="P68" s="136"/>
      <c r="Q68" s="235"/>
      <c r="R68" s="704"/>
      <c r="S68" s="704"/>
      <c r="T68" s="235"/>
      <c r="U68" s="704"/>
      <c r="V68" s="704"/>
      <c r="W68" s="235"/>
      <c r="X68" s="704"/>
      <c r="Y68" s="704"/>
      <c r="Z68" s="235"/>
      <c r="AA68" s="704"/>
      <c r="AB68" s="704"/>
      <c r="AC68" s="235"/>
      <c r="AD68" s="704"/>
      <c r="AE68" s="704"/>
      <c r="AF68" s="235"/>
      <c r="AG68" s="704"/>
      <c r="AH68" s="704"/>
      <c r="AI68" s="235"/>
      <c r="AJ68" s="704"/>
      <c r="AK68" s="704"/>
      <c r="AL68" s="235"/>
      <c r="AM68" s="704"/>
      <c r="AN68" s="704"/>
      <c r="AO68" s="235"/>
      <c r="AP68" s="704"/>
      <c r="AQ68" s="704"/>
      <c r="AR68" s="235"/>
      <c r="AS68" s="704"/>
      <c r="AT68" s="704"/>
      <c r="AU68" s="235"/>
      <c r="AV68" s="704"/>
      <c r="AW68" s="704"/>
      <c r="AX68" s="235"/>
      <c r="AY68" s="704"/>
      <c r="AZ68" s="704"/>
      <c r="BA68" s="235"/>
      <c r="BB68" s="704"/>
      <c r="BC68" s="704"/>
      <c r="BD68" s="235"/>
      <c r="BE68" s="704"/>
      <c r="BF68" s="704"/>
      <c r="BG68" s="235"/>
      <c r="BH68" s="704"/>
      <c r="BI68" s="704"/>
      <c r="BJ68" s="235"/>
      <c r="BK68" s="704"/>
      <c r="BL68" s="704"/>
      <c r="BM68" s="235"/>
      <c r="BN68" s="704"/>
      <c r="BO68" s="704"/>
      <c r="BP68" s="235"/>
      <c r="BQ68" s="704"/>
      <c r="BR68" s="704"/>
      <c r="BS68" s="235"/>
      <c r="BT68" s="704"/>
      <c r="BU68" s="704"/>
      <c r="BV68" s="235"/>
      <c r="BW68" s="704"/>
      <c r="BX68" s="704"/>
      <c r="BY68" s="235"/>
      <c r="BZ68" s="704"/>
      <c r="CA68" s="704"/>
      <c r="CB68" s="235"/>
      <c r="CC68" s="704"/>
      <c r="CD68" s="704"/>
      <c r="CE68" s="237"/>
      <c r="CF68" s="715"/>
      <c r="CG68" s="715"/>
      <c r="CH68" s="238"/>
      <c r="CI68" s="722"/>
      <c r="CJ68" s="722"/>
      <c r="CK68" s="235"/>
      <c r="CL68" s="704"/>
      <c r="CM68" s="704"/>
      <c r="CN68" s="235"/>
      <c r="CO68" s="704"/>
      <c r="CP68" s="704"/>
      <c r="CQ68" s="235"/>
      <c r="CR68" s="704"/>
      <c r="CS68" s="704"/>
      <c r="CT68" s="566" t="s">
        <v>0</v>
      </c>
      <c r="CU68" s="566" t="s">
        <v>0</v>
      </c>
      <c r="CV68" s="566" t="s">
        <v>0</v>
      </c>
    </row>
    <row r="69" spans="1:100" ht="15" x14ac:dyDescent="0.25">
      <c r="A69" s="139">
        <v>5</v>
      </c>
      <c r="B69" s="140" t="s">
        <v>26</v>
      </c>
      <c r="C69" s="141"/>
      <c r="D69" s="140"/>
      <c r="E69" s="140"/>
      <c r="F69" s="140"/>
      <c r="G69" s="140"/>
      <c r="H69" s="141"/>
      <c r="I69" s="140"/>
      <c r="J69" s="140"/>
      <c r="K69" s="140"/>
      <c r="L69" s="140"/>
      <c r="M69" s="140"/>
      <c r="N69" s="676"/>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2"/>
      <c r="CF69" s="142"/>
      <c r="CG69" s="142"/>
      <c r="CH69" s="140"/>
      <c r="CI69" s="140"/>
      <c r="CJ69" s="140"/>
      <c r="CK69" s="140"/>
      <c r="CL69" s="140"/>
      <c r="CM69" s="140"/>
      <c r="CN69" s="140"/>
      <c r="CO69" s="140"/>
      <c r="CP69" s="140"/>
      <c r="CQ69" s="140"/>
      <c r="CR69" s="140"/>
      <c r="CS69" s="140"/>
      <c r="CT69" s="540"/>
      <c r="CU69" s="540"/>
      <c r="CV69" s="540"/>
    </row>
    <row r="70" spans="1:100" ht="15" x14ac:dyDescent="0.25">
      <c r="A70" s="184"/>
      <c r="B70" s="239">
        <v>28</v>
      </c>
      <c r="C70" s="146" t="s">
        <v>27</v>
      </c>
      <c r="D70" s="146"/>
      <c r="E70" s="146"/>
      <c r="F70" s="146"/>
      <c r="G70" s="146"/>
      <c r="H70" s="147"/>
      <c r="I70" s="146"/>
      <c r="J70" s="146"/>
      <c r="K70" s="146"/>
      <c r="L70" s="146"/>
      <c r="M70" s="146"/>
      <c r="N70" s="677"/>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8"/>
      <c r="CF70" s="148"/>
      <c r="CG70" s="148"/>
      <c r="CH70" s="146"/>
      <c r="CI70" s="146"/>
      <c r="CJ70" s="146"/>
      <c r="CK70" s="146"/>
      <c r="CL70" s="146"/>
      <c r="CM70" s="146"/>
      <c r="CN70" s="146"/>
      <c r="CO70" s="146"/>
      <c r="CP70" s="146"/>
      <c r="CQ70" s="146"/>
      <c r="CR70" s="146"/>
      <c r="CS70" s="146"/>
      <c r="CT70" s="526"/>
      <c r="CU70" s="526"/>
      <c r="CV70" s="526"/>
    </row>
    <row r="71" spans="1:100" ht="15" x14ac:dyDescent="0.25">
      <c r="A71" s="33"/>
      <c r="B71" s="184"/>
      <c r="C71" s="240"/>
      <c r="D71" s="186"/>
      <c r="E71" s="186"/>
      <c r="F71" s="187"/>
      <c r="G71" s="188">
        <v>88</v>
      </c>
      <c r="H71" s="693" t="s">
        <v>102</v>
      </c>
      <c r="I71" s="189"/>
      <c r="J71" s="189"/>
      <c r="K71" s="189"/>
      <c r="L71" s="189"/>
      <c r="M71" s="189"/>
      <c r="N71" s="678"/>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90"/>
      <c r="CF71" s="190"/>
      <c r="CG71" s="190"/>
      <c r="CH71" s="241"/>
      <c r="CI71" s="241"/>
      <c r="CJ71" s="241"/>
      <c r="CK71" s="189"/>
      <c r="CL71" s="189"/>
      <c r="CM71" s="189"/>
      <c r="CN71" s="189"/>
      <c r="CO71" s="189"/>
      <c r="CP71" s="189"/>
      <c r="CQ71" s="189"/>
      <c r="CR71" s="189"/>
      <c r="CS71" s="189"/>
      <c r="CT71" s="522"/>
      <c r="CU71" s="522"/>
      <c r="CV71" s="522"/>
    </row>
    <row r="72" spans="1:100" s="27" customFormat="1" ht="42.75" x14ac:dyDescent="0.25">
      <c r="A72" s="33"/>
      <c r="B72" s="33"/>
      <c r="C72" s="1032">
        <v>38</v>
      </c>
      <c r="D72" s="1012" t="s">
        <v>39</v>
      </c>
      <c r="E72" s="1021">
        <v>0</v>
      </c>
      <c r="F72" s="1021">
        <v>2</v>
      </c>
      <c r="G72" s="22"/>
      <c r="H72" s="916">
        <v>275</v>
      </c>
      <c r="I72" s="919" t="s">
        <v>103</v>
      </c>
      <c r="J72" s="41" t="s">
        <v>30</v>
      </c>
      <c r="K72" s="41">
        <v>4</v>
      </c>
      <c r="L72" s="980">
        <v>4</v>
      </c>
      <c r="M72" s="1159" t="s">
        <v>31</v>
      </c>
      <c r="N72" s="1017" t="s">
        <v>104</v>
      </c>
      <c r="O72" s="1012" t="s">
        <v>105</v>
      </c>
      <c r="P72" s="916" t="s">
        <v>38</v>
      </c>
      <c r="Q72" s="42"/>
      <c r="R72" s="42"/>
      <c r="S72" s="42"/>
      <c r="T72" s="42"/>
      <c r="U72" s="42"/>
      <c r="V72" s="42"/>
      <c r="W72" s="42"/>
      <c r="X72" s="42"/>
      <c r="Y72" s="42"/>
      <c r="Z72" s="42"/>
      <c r="AA72" s="107"/>
      <c r="AB72" s="107"/>
      <c r="AC72" s="43">
        <v>0</v>
      </c>
      <c r="AD72" s="43"/>
      <c r="AE72" s="43"/>
      <c r="AF72" s="43">
        <v>0</v>
      </c>
      <c r="AG72" s="43"/>
      <c r="AH72" s="43"/>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110">
        <f>621000000+600000000</f>
        <v>1221000000</v>
      </c>
      <c r="CF72" s="110">
        <v>1106267862</v>
      </c>
      <c r="CG72" s="110">
        <v>1011643732</v>
      </c>
      <c r="CH72" s="13"/>
      <c r="CI72" s="13"/>
      <c r="CJ72" s="13"/>
      <c r="CK72" s="44"/>
      <c r="CL72" s="44"/>
      <c r="CM72" s="44"/>
      <c r="CN72" s="42"/>
      <c r="CO72" s="42"/>
      <c r="CP72" s="42"/>
      <c r="CQ72" s="42"/>
      <c r="CR72" s="42"/>
      <c r="CS72" s="42"/>
      <c r="CT72" s="25">
        <f t="shared" ref="CT72:CV76" si="28">Q72+T72+W72+Z72+AC72+AF72+AI72+AL72+AO72+AR72+AU72+AX72+BA72+BD72+BG72+BJ72+BM72+BP72+BS72+BV72+BY72+CB72+CE72+CH72+CK72+CQ72+CN72</f>
        <v>1221000000</v>
      </c>
      <c r="CU72" s="25">
        <f t="shared" si="28"/>
        <v>1106267862</v>
      </c>
      <c r="CV72" s="25">
        <f t="shared" si="28"/>
        <v>1011643732</v>
      </c>
    </row>
    <row r="73" spans="1:100" s="27" customFormat="1" ht="63" customHeight="1" x14ac:dyDescent="0.25">
      <c r="A73" s="33"/>
      <c r="B73" s="33"/>
      <c r="C73" s="1038"/>
      <c r="D73" s="1020"/>
      <c r="E73" s="1023"/>
      <c r="F73" s="1023"/>
      <c r="G73" s="28"/>
      <c r="H73" s="916">
        <v>276</v>
      </c>
      <c r="I73" s="928" t="s">
        <v>106</v>
      </c>
      <c r="J73" s="23">
        <v>1</v>
      </c>
      <c r="K73" s="23">
        <v>1</v>
      </c>
      <c r="L73" s="23">
        <v>1</v>
      </c>
      <c r="M73" s="1159"/>
      <c r="N73" s="1018"/>
      <c r="O73" s="1020"/>
      <c r="P73" s="929" t="s">
        <v>38</v>
      </c>
      <c r="Q73" s="42"/>
      <c r="R73" s="42"/>
      <c r="S73" s="42"/>
      <c r="T73" s="42"/>
      <c r="U73" s="42"/>
      <c r="V73" s="42"/>
      <c r="W73" s="42"/>
      <c r="X73" s="42"/>
      <c r="Y73" s="42"/>
      <c r="Z73" s="42"/>
      <c r="AA73" s="709"/>
      <c r="AB73" s="709"/>
      <c r="AC73" s="9">
        <f>41200000-41200000</f>
        <v>0</v>
      </c>
      <c r="AD73" s="9"/>
      <c r="AE73" s="9"/>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110">
        <f>3600000+146600000+110000000+4674563</f>
        <v>264874563</v>
      </c>
      <c r="CF73" s="110">
        <v>252150667</v>
      </c>
      <c r="CG73" s="110">
        <v>252150667</v>
      </c>
      <c r="CH73" s="13"/>
      <c r="CI73" s="13"/>
      <c r="CJ73" s="13"/>
      <c r="CK73" s="42"/>
      <c r="CL73" s="42"/>
      <c r="CM73" s="42"/>
      <c r="CN73" s="42"/>
      <c r="CO73" s="42"/>
      <c r="CP73" s="42"/>
      <c r="CQ73" s="42"/>
      <c r="CR73" s="42"/>
      <c r="CS73" s="42"/>
      <c r="CT73" s="25">
        <f t="shared" si="28"/>
        <v>264874563</v>
      </c>
      <c r="CU73" s="25">
        <f t="shared" si="28"/>
        <v>252150667</v>
      </c>
      <c r="CV73" s="25">
        <f t="shared" si="28"/>
        <v>252150667</v>
      </c>
    </row>
    <row r="74" spans="1:100" s="46" customFormat="1" ht="63" customHeight="1" x14ac:dyDescent="0.25">
      <c r="A74" s="33"/>
      <c r="B74" s="33"/>
      <c r="C74" s="1033"/>
      <c r="D74" s="1013"/>
      <c r="E74" s="1022"/>
      <c r="F74" s="1022"/>
      <c r="G74" s="28"/>
      <c r="H74" s="916">
        <v>277</v>
      </c>
      <c r="I74" s="928" t="s">
        <v>107</v>
      </c>
      <c r="J74" s="23">
        <v>1</v>
      </c>
      <c r="K74" s="23">
        <v>1</v>
      </c>
      <c r="L74" s="41">
        <v>0.85</v>
      </c>
      <c r="M74" s="1160"/>
      <c r="N74" s="1019"/>
      <c r="O74" s="1013"/>
      <c r="P74" s="929" t="s">
        <v>38</v>
      </c>
      <c r="Q74" s="42"/>
      <c r="R74" s="42"/>
      <c r="S74" s="42"/>
      <c r="T74" s="42"/>
      <c r="U74" s="42"/>
      <c r="V74" s="42"/>
      <c r="W74" s="42"/>
      <c r="X74" s="42"/>
      <c r="Y74" s="42"/>
      <c r="Z74" s="42"/>
      <c r="AA74" s="107"/>
      <c r="AB74" s="107"/>
      <c r="AC74" s="43">
        <f>41200000+35332521+3764149</f>
        <v>80296670</v>
      </c>
      <c r="AD74" s="43">
        <v>69664665</v>
      </c>
      <c r="AE74" s="43">
        <v>69664665</v>
      </c>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5"/>
      <c r="CC74" s="45"/>
      <c r="CD74" s="45"/>
      <c r="CE74" s="110">
        <v>0</v>
      </c>
      <c r="CF74" s="110"/>
      <c r="CG74" s="110"/>
      <c r="CH74" s="13"/>
      <c r="CI74" s="13"/>
      <c r="CJ74" s="13"/>
      <c r="CK74" s="25"/>
      <c r="CL74" s="26"/>
      <c r="CM74" s="26"/>
      <c r="CN74" s="9">
        <f>200000000+5733586+84641017</f>
        <v>290374603</v>
      </c>
      <c r="CO74" s="9">
        <v>246815867</v>
      </c>
      <c r="CP74" s="9">
        <v>223977367</v>
      </c>
      <c r="CQ74" s="9"/>
      <c r="CR74" s="9"/>
      <c r="CS74" s="9"/>
      <c r="CT74" s="25">
        <f t="shared" si="28"/>
        <v>370671273</v>
      </c>
      <c r="CU74" s="25">
        <f t="shared" si="28"/>
        <v>316480532</v>
      </c>
      <c r="CV74" s="25">
        <f t="shared" si="28"/>
        <v>293642032</v>
      </c>
    </row>
    <row r="75" spans="1:100" s="27" customFormat="1" ht="41.25" customHeight="1" x14ac:dyDescent="0.25">
      <c r="A75" s="33"/>
      <c r="B75" s="33"/>
      <c r="C75" s="1032">
        <v>38</v>
      </c>
      <c r="D75" s="1012" t="s">
        <v>39</v>
      </c>
      <c r="E75" s="1021">
        <v>0</v>
      </c>
      <c r="F75" s="1021">
        <v>2</v>
      </c>
      <c r="G75" s="28"/>
      <c r="H75" s="916">
        <v>278</v>
      </c>
      <c r="I75" s="928" t="s">
        <v>108</v>
      </c>
      <c r="J75" s="23" t="s">
        <v>30</v>
      </c>
      <c r="K75" s="23">
        <v>1</v>
      </c>
      <c r="L75" s="23">
        <v>1</v>
      </c>
      <c r="M75" s="1158" t="s">
        <v>31</v>
      </c>
      <c r="N75" s="1017" t="s">
        <v>109</v>
      </c>
      <c r="O75" s="1012" t="s">
        <v>110</v>
      </c>
      <c r="P75" s="929" t="s">
        <v>38</v>
      </c>
      <c r="Q75" s="25">
        <v>0</v>
      </c>
      <c r="R75" s="25"/>
      <c r="S75" s="25"/>
      <c r="T75" s="25">
        <v>0</v>
      </c>
      <c r="U75" s="25"/>
      <c r="V75" s="25"/>
      <c r="W75" s="25">
        <v>0</v>
      </c>
      <c r="X75" s="25"/>
      <c r="Y75" s="25"/>
      <c r="Z75" s="25">
        <v>0</v>
      </c>
      <c r="AA75" s="25"/>
      <c r="AB75" s="25"/>
      <c r="AC75" s="25">
        <v>0</v>
      </c>
      <c r="AD75" s="25"/>
      <c r="AE75" s="25"/>
      <c r="AF75" s="25">
        <v>0</v>
      </c>
      <c r="AG75" s="25"/>
      <c r="AH75" s="25"/>
      <c r="AI75" s="25">
        <v>0</v>
      </c>
      <c r="AJ75" s="25"/>
      <c r="AK75" s="25"/>
      <c r="AL75" s="25"/>
      <c r="AM75" s="25"/>
      <c r="AN75" s="25"/>
      <c r="AO75" s="25"/>
      <c r="AP75" s="25"/>
      <c r="AQ75" s="25"/>
      <c r="AR75" s="25"/>
      <c r="AS75" s="25"/>
      <c r="AT75" s="25"/>
      <c r="AU75" s="25">
        <v>0</v>
      </c>
      <c r="AV75" s="25"/>
      <c r="AW75" s="25"/>
      <c r="AX75" s="25"/>
      <c r="AY75" s="25"/>
      <c r="AZ75" s="25"/>
      <c r="BA75" s="25">
        <v>0</v>
      </c>
      <c r="BB75" s="25"/>
      <c r="BC75" s="25"/>
      <c r="BD75" s="25">
        <v>0</v>
      </c>
      <c r="BE75" s="25"/>
      <c r="BF75" s="25"/>
      <c r="BG75" s="25"/>
      <c r="BH75" s="25"/>
      <c r="BI75" s="25"/>
      <c r="BJ75" s="25"/>
      <c r="BK75" s="25"/>
      <c r="BL75" s="25"/>
      <c r="BM75" s="25"/>
      <c r="BN75" s="25"/>
      <c r="BO75" s="25"/>
      <c r="BP75" s="25"/>
      <c r="BQ75" s="25"/>
      <c r="BR75" s="25"/>
      <c r="BS75" s="25"/>
      <c r="BT75" s="25"/>
      <c r="BU75" s="25"/>
      <c r="BV75" s="25"/>
      <c r="BW75" s="25"/>
      <c r="BX75" s="25"/>
      <c r="BY75" s="25">
        <v>0</v>
      </c>
      <c r="BZ75" s="25"/>
      <c r="CA75" s="25"/>
      <c r="CB75" s="25">
        <v>0</v>
      </c>
      <c r="CC75" s="25"/>
      <c r="CD75" s="25"/>
      <c r="CE75" s="110">
        <f>5700000+14300000+20000000</f>
        <v>40000000</v>
      </c>
      <c r="CF75" s="110">
        <v>30000000</v>
      </c>
      <c r="CG75" s="110">
        <v>0</v>
      </c>
      <c r="CH75" s="13"/>
      <c r="CI75" s="13"/>
      <c r="CJ75" s="13"/>
      <c r="CK75" s="25">
        <v>0</v>
      </c>
      <c r="CL75" s="26"/>
      <c r="CM75" s="26"/>
      <c r="CN75" s="26">
        <v>0</v>
      </c>
      <c r="CO75" s="26"/>
      <c r="CP75" s="26"/>
      <c r="CQ75" s="26"/>
      <c r="CR75" s="26"/>
      <c r="CS75" s="26"/>
      <c r="CT75" s="25">
        <f t="shared" si="28"/>
        <v>40000000</v>
      </c>
      <c r="CU75" s="25">
        <f t="shared" si="28"/>
        <v>30000000</v>
      </c>
      <c r="CV75" s="25">
        <f t="shared" si="28"/>
        <v>0</v>
      </c>
    </row>
    <row r="76" spans="1:100" s="27" customFormat="1" ht="66.75" customHeight="1" x14ac:dyDescent="0.25">
      <c r="A76" s="33"/>
      <c r="B76" s="33"/>
      <c r="C76" s="1033"/>
      <c r="D76" s="1013"/>
      <c r="E76" s="1022"/>
      <c r="F76" s="1022"/>
      <c r="G76" s="29"/>
      <c r="H76" s="916">
        <v>279</v>
      </c>
      <c r="I76" s="928" t="s">
        <v>111</v>
      </c>
      <c r="J76" s="23" t="s">
        <v>30</v>
      </c>
      <c r="K76" s="23">
        <v>1</v>
      </c>
      <c r="L76" s="23">
        <v>1</v>
      </c>
      <c r="M76" s="1160"/>
      <c r="N76" s="1019"/>
      <c r="O76" s="1013"/>
      <c r="P76" s="929" t="s">
        <v>38</v>
      </c>
      <c r="Q76" s="25">
        <v>0</v>
      </c>
      <c r="R76" s="25"/>
      <c r="S76" s="25"/>
      <c r="T76" s="25">
        <v>0</v>
      </c>
      <c r="U76" s="25"/>
      <c r="V76" s="25"/>
      <c r="W76" s="25">
        <v>0</v>
      </c>
      <c r="X76" s="25"/>
      <c r="Y76" s="25"/>
      <c r="Z76" s="25">
        <v>0</v>
      </c>
      <c r="AA76" s="25"/>
      <c r="AB76" s="25"/>
      <c r="AC76" s="25">
        <v>0</v>
      </c>
      <c r="AD76" s="25"/>
      <c r="AE76" s="25"/>
      <c r="AF76" s="25"/>
      <c r="AG76" s="25"/>
      <c r="AH76" s="25"/>
      <c r="AI76" s="25">
        <v>0</v>
      </c>
      <c r="AJ76" s="25"/>
      <c r="AK76" s="25"/>
      <c r="AL76" s="25"/>
      <c r="AM76" s="25"/>
      <c r="AN76" s="25"/>
      <c r="AO76" s="25"/>
      <c r="AP76" s="25"/>
      <c r="AQ76" s="25"/>
      <c r="AR76" s="25"/>
      <c r="AS76" s="25"/>
      <c r="AT76" s="25"/>
      <c r="AU76" s="25">
        <v>0</v>
      </c>
      <c r="AV76" s="25"/>
      <c r="AW76" s="25"/>
      <c r="AX76" s="25"/>
      <c r="AY76" s="25"/>
      <c r="AZ76" s="25"/>
      <c r="BA76" s="25">
        <v>0</v>
      </c>
      <c r="BB76" s="25"/>
      <c r="BC76" s="25"/>
      <c r="BD76" s="25">
        <v>0</v>
      </c>
      <c r="BE76" s="25"/>
      <c r="BF76" s="25"/>
      <c r="BG76" s="25"/>
      <c r="BH76" s="25"/>
      <c r="BI76" s="25"/>
      <c r="BJ76" s="25"/>
      <c r="BK76" s="25"/>
      <c r="BL76" s="25"/>
      <c r="BM76" s="25"/>
      <c r="BN76" s="25"/>
      <c r="BO76" s="25"/>
      <c r="BP76" s="25"/>
      <c r="BQ76" s="25"/>
      <c r="BR76" s="25"/>
      <c r="BS76" s="25"/>
      <c r="BT76" s="25"/>
      <c r="BU76" s="25"/>
      <c r="BV76" s="25"/>
      <c r="BW76" s="25"/>
      <c r="BX76" s="25"/>
      <c r="BY76" s="25">
        <v>0</v>
      </c>
      <c r="BZ76" s="25"/>
      <c r="CA76" s="25"/>
      <c r="CB76" s="25">
        <v>0</v>
      </c>
      <c r="CC76" s="25"/>
      <c r="CD76" s="25"/>
      <c r="CE76" s="110">
        <f>23100000+65700000+180000000+65388531</f>
        <v>334188531</v>
      </c>
      <c r="CF76" s="110">
        <v>320130985</v>
      </c>
      <c r="CG76" s="110">
        <v>320130985</v>
      </c>
      <c r="CH76" s="13"/>
      <c r="CI76" s="13"/>
      <c r="CJ76" s="13"/>
      <c r="CK76" s="25"/>
      <c r="CL76" s="26"/>
      <c r="CM76" s="26"/>
      <c r="CN76" s="26">
        <v>0</v>
      </c>
      <c r="CO76" s="26"/>
      <c r="CP76" s="26"/>
      <c r="CQ76" s="26"/>
      <c r="CR76" s="26"/>
      <c r="CS76" s="26"/>
      <c r="CT76" s="25">
        <f t="shared" si="28"/>
        <v>334188531</v>
      </c>
      <c r="CU76" s="25">
        <f t="shared" si="28"/>
        <v>320130985</v>
      </c>
      <c r="CV76" s="25">
        <f t="shared" si="28"/>
        <v>320130985</v>
      </c>
    </row>
    <row r="77" spans="1:100" s="27" customFormat="1" ht="15" x14ac:dyDescent="0.25">
      <c r="A77" s="33"/>
      <c r="B77" s="226"/>
      <c r="C77" s="581"/>
      <c r="D77" s="242"/>
      <c r="E77" s="242"/>
      <c r="F77" s="242"/>
      <c r="G77" s="154"/>
      <c r="H77" s="155"/>
      <c r="I77" s="154"/>
      <c r="J77" s="156"/>
      <c r="K77" s="156"/>
      <c r="L77" s="156"/>
      <c r="M77" s="156"/>
      <c r="N77" s="157"/>
      <c r="O77" s="154"/>
      <c r="P77" s="155"/>
      <c r="Q77" s="158">
        <f>SUM(Q72:Q76)</f>
        <v>0</v>
      </c>
      <c r="R77" s="158">
        <f t="shared" ref="R77:CC77" si="29">SUM(R72:R76)</f>
        <v>0</v>
      </c>
      <c r="S77" s="158">
        <f t="shared" si="29"/>
        <v>0</v>
      </c>
      <c r="T77" s="158">
        <f t="shared" si="29"/>
        <v>0</v>
      </c>
      <c r="U77" s="158">
        <f t="shared" si="29"/>
        <v>0</v>
      </c>
      <c r="V77" s="158">
        <f t="shared" si="29"/>
        <v>0</v>
      </c>
      <c r="W77" s="158">
        <f t="shared" si="29"/>
        <v>0</v>
      </c>
      <c r="X77" s="158">
        <f t="shared" si="29"/>
        <v>0</v>
      </c>
      <c r="Y77" s="158">
        <f t="shared" si="29"/>
        <v>0</v>
      </c>
      <c r="Z77" s="158">
        <f t="shared" si="29"/>
        <v>0</v>
      </c>
      <c r="AA77" s="158">
        <f t="shared" si="29"/>
        <v>0</v>
      </c>
      <c r="AB77" s="158">
        <f t="shared" si="29"/>
        <v>0</v>
      </c>
      <c r="AC77" s="158">
        <f t="shared" si="29"/>
        <v>80296670</v>
      </c>
      <c r="AD77" s="158">
        <f t="shared" si="29"/>
        <v>69664665</v>
      </c>
      <c r="AE77" s="158">
        <f t="shared" si="29"/>
        <v>69664665</v>
      </c>
      <c r="AF77" s="158">
        <f t="shared" si="29"/>
        <v>0</v>
      </c>
      <c r="AG77" s="158">
        <f t="shared" si="29"/>
        <v>0</v>
      </c>
      <c r="AH77" s="158">
        <f t="shared" si="29"/>
        <v>0</v>
      </c>
      <c r="AI77" s="158">
        <f t="shared" si="29"/>
        <v>0</v>
      </c>
      <c r="AJ77" s="158">
        <f t="shared" si="29"/>
        <v>0</v>
      </c>
      <c r="AK77" s="158">
        <f t="shared" si="29"/>
        <v>0</v>
      </c>
      <c r="AL77" s="158">
        <f t="shared" si="29"/>
        <v>0</v>
      </c>
      <c r="AM77" s="158">
        <f t="shared" si="29"/>
        <v>0</v>
      </c>
      <c r="AN77" s="158">
        <f t="shared" si="29"/>
        <v>0</v>
      </c>
      <c r="AO77" s="158">
        <f t="shared" si="29"/>
        <v>0</v>
      </c>
      <c r="AP77" s="158">
        <f t="shared" si="29"/>
        <v>0</v>
      </c>
      <c r="AQ77" s="158">
        <f t="shared" si="29"/>
        <v>0</v>
      </c>
      <c r="AR77" s="158">
        <f t="shared" si="29"/>
        <v>0</v>
      </c>
      <c r="AS77" s="158">
        <f t="shared" si="29"/>
        <v>0</v>
      </c>
      <c r="AT77" s="158">
        <f t="shared" si="29"/>
        <v>0</v>
      </c>
      <c r="AU77" s="158">
        <f t="shared" si="29"/>
        <v>0</v>
      </c>
      <c r="AV77" s="158">
        <f t="shared" si="29"/>
        <v>0</v>
      </c>
      <c r="AW77" s="158">
        <f t="shared" si="29"/>
        <v>0</v>
      </c>
      <c r="AX77" s="158">
        <f t="shared" si="29"/>
        <v>0</v>
      </c>
      <c r="AY77" s="158">
        <f t="shared" si="29"/>
        <v>0</v>
      </c>
      <c r="AZ77" s="158">
        <f t="shared" si="29"/>
        <v>0</v>
      </c>
      <c r="BA77" s="158">
        <f t="shared" si="29"/>
        <v>0</v>
      </c>
      <c r="BB77" s="158">
        <f t="shared" si="29"/>
        <v>0</v>
      </c>
      <c r="BC77" s="158">
        <f t="shared" si="29"/>
        <v>0</v>
      </c>
      <c r="BD77" s="158">
        <f t="shared" si="29"/>
        <v>0</v>
      </c>
      <c r="BE77" s="158">
        <f t="shared" si="29"/>
        <v>0</v>
      </c>
      <c r="BF77" s="158">
        <f t="shared" si="29"/>
        <v>0</v>
      </c>
      <c r="BG77" s="158">
        <f t="shared" si="29"/>
        <v>0</v>
      </c>
      <c r="BH77" s="158">
        <f t="shared" si="29"/>
        <v>0</v>
      </c>
      <c r="BI77" s="158">
        <f t="shared" si="29"/>
        <v>0</v>
      </c>
      <c r="BJ77" s="158">
        <f t="shared" si="29"/>
        <v>0</v>
      </c>
      <c r="BK77" s="158">
        <f t="shared" si="29"/>
        <v>0</v>
      </c>
      <c r="BL77" s="158">
        <f t="shared" si="29"/>
        <v>0</v>
      </c>
      <c r="BM77" s="158">
        <f t="shared" si="29"/>
        <v>0</v>
      </c>
      <c r="BN77" s="158">
        <f t="shared" si="29"/>
        <v>0</v>
      </c>
      <c r="BO77" s="158">
        <f t="shared" si="29"/>
        <v>0</v>
      </c>
      <c r="BP77" s="158">
        <f t="shared" si="29"/>
        <v>0</v>
      </c>
      <c r="BQ77" s="158">
        <f t="shared" si="29"/>
        <v>0</v>
      </c>
      <c r="BR77" s="158">
        <f t="shared" si="29"/>
        <v>0</v>
      </c>
      <c r="BS77" s="158">
        <f t="shared" si="29"/>
        <v>0</v>
      </c>
      <c r="BT77" s="158">
        <f t="shared" si="29"/>
        <v>0</v>
      </c>
      <c r="BU77" s="158">
        <f t="shared" si="29"/>
        <v>0</v>
      </c>
      <c r="BV77" s="158">
        <f t="shared" si="29"/>
        <v>0</v>
      </c>
      <c r="BW77" s="158">
        <f t="shared" si="29"/>
        <v>0</v>
      </c>
      <c r="BX77" s="158">
        <f t="shared" si="29"/>
        <v>0</v>
      </c>
      <c r="BY77" s="158">
        <f t="shared" si="29"/>
        <v>0</v>
      </c>
      <c r="BZ77" s="158">
        <f t="shared" si="29"/>
        <v>0</v>
      </c>
      <c r="CA77" s="158">
        <f t="shared" si="29"/>
        <v>0</v>
      </c>
      <c r="CB77" s="158">
        <f t="shared" si="29"/>
        <v>0</v>
      </c>
      <c r="CC77" s="158">
        <f t="shared" si="29"/>
        <v>0</v>
      </c>
      <c r="CD77" s="158">
        <f t="shared" ref="CD77:CS77" si="30">SUM(CD72:CD76)</f>
        <v>0</v>
      </c>
      <c r="CE77" s="158">
        <f t="shared" si="30"/>
        <v>1860063094</v>
      </c>
      <c r="CF77" s="158">
        <f t="shared" si="30"/>
        <v>1708549514</v>
      </c>
      <c r="CG77" s="158">
        <f t="shared" si="30"/>
        <v>1583925384</v>
      </c>
      <c r="CH77" s="158">
        <f t="shared" si="30"/>
        <v>0</v>
      </c>
      <c r="CI77" s="158">
        <f t="shared" si="30"/>
        <v>0</v>
      </c>
      <c r="CJ77" s="158">
        <f t="shared" si="30"/>
        <v>0</v>
      </c>
      <c r="CK77" s="158">
        <f t="shared" si="30"/>
        <v>0</v>
      </c>
      <c r="CL77" s="158">
        <f t="shared" si="30"/>
        <v>0</v>
      </c>
      <c r="CM77" s="158">
        <f t="shared" si="30"/>
        <v>0</v>
      </c>
      <c r="CN77" s="158">
        <f t="shared" si="30"/>
        <v>290374603</v>
      </c>
      <c r="CO77" s="158">
        <f t="shared" si="30"/>
        <v>246815867</v>
      </c>
      <c r="CP77" s="158">
        <f t="shared" si="30"/>
        <v>223977367</v>
      </c>
      <c r="CQ77" s="158">
        <f t="shared" si="30"/>
        <v>0</v>
      </c>
      <c r="CR77" s="158">
        <f t="shared" si="30"/>
        <v>0</v>
      </c>
      <c r="CS77" s="158">
        <f t="shared" si="30"/>
        <v>0</v>
      </c>
      <c r="CT77" s="158">
        <f>SUM(CT72:CT76)</f>
        <v>2230734367</v>
      </c>
      <c r="CU77" s="158">
        <f>SUM(CU72:CU76)</f>
        <v>2025030046</v>
      </c>
      <c r="CV77" s="158">
        <f>SUM(CV72:CV76)</f>
        <v>1877567416</v>
      </c>
    </row>
    <row r="78" spans="1:100" s="27" customFormat="1" ht="15" x14ac:dyDescent="0.25">
      <c r="A78" s="226"/>
      <c r="B78" s="216"/>
      <c r="C78" s="162"/>
      <c r="D78" s="161"/>
      <c r="E78" s="162"/>
      <c r="F78" s="162"/>
      <c r="G78" s="161"/>
      <c r="H78" s="162"/>
      <c r="I78" s="161"/>
      <c r="J78" s="163"/>
      <c r="K78" s="163"/>
      <c r="L78" s="163"/>
      <c r="M78" s="163"/>
      <c r="N78" s="164"/>
      <c r="O78" s="161"/>
      <c r="P78" s="162"/>
      <c r="Q78" s="165">
        <f>Q77</f>
        <v>0</v>
      </c>
      <c r="R78" s="165">
        <f t="shared" ref="R78:CC78" si="31">R77</f>
        <v>0</v>
      </c>
      <c r="S78" s="165">
        <f t="shared" si="31"/>
        <v>0</v>
      </c>
      <c r="T78" s="165">
        <f t="shared" si="31"/>
        <v>0</v>
      </c>
      <c r="U78" s="165">
        <f t="shared" si="31"/>
        <v>0</v>
      </c>
      <c r="V78" s="165">
        <f t="shared" si="31"/>
        <v>0</v>
      </c>
      <c r="W78" s="165">
        <f t="shared" si="31"/>
        <v>0</v>
      </c>
      <c r="X78" s="165">
        <f t="shared" si="31"/>
        <v>0</v>
      </c>
      <c r="Y78" s="165">
        <f t="shared" si="31"/>
        <v>0</v>
      </c>
      <c r="Z78" s="165">
        <f t="shared" si="31"/>
        <v>0</v>
      </c>
      <c r="AA78" s="165">
        <f t="shared" si="31"/>
        <v>0</v>
      </c>
      <c r="AB78" s="165">
        <f t="shared" si="31"/>
        <v>0</v>
      </c>
      <c r="AC78" s="165">
        <f t="shared" si="31"/>
        <v>80296670</v>
      </c>
      <c r="AD78" s="165">
        <f t="shared" si="31"/>
        <v>69664665</v>
      </c>
      <c r="AE78" s="165">
        <f t="shared" si="31"/>
        <v>69664665</v>
      </c>
      <c r="AF78" s="165">
        <f t="shared" si="31"/>
        <v>0</v>
      </c>
      <c r="AG78" s="165">
        <f t="shared" si="31"/>
        <v>0</v>
      </c>
      <c r="AH78" s="165">
        <f t="shared" si="31"/>
        <v>0</v>
      </c>
      <c r="AI78" s="165">
        <f t="shared" si="31"/>
        <v>0</v>
      </c>
      <c r="AJ78" s="165">
        <f t="shared" si="31"/>
        <v>0</v>
      </c>
      <c r="AK78" s="165">
        <f t="shared" si="31"/>
        <v>0</v>
      </c>
      <c r="AL78" s="165">
        <f t="shared" si="31"/>
        <v>0</v>
      </c>
      <c r="AM78" s="165">
        <f t="shared" si="31"/>
        <v>0</v>
      </c>
      <c r="AN78" s="165">
        <f t="shared" si="31"/>
        <v>0</v>
      </c>
      <c r="AO78" s="165">
        <f t="shared" si="31"/>
        <v>0</v>
      </c>
      <c r="AP78" s="165">
        <f t="shared" si="31"/>
        <v>0</v>
      </c>
      <c r="AQ78" s="165">
        <f t="shared" si="31"/>
        <v>0</v>
      </c>
      <c r="AR78" s="165">
        <f t="shared" si="31"/>
        <v>0</v>
      </c>
      <c r="AS78" s="165">
        <f t="shared" si="31"/>
        <v>0</v>
      </c>
      <c r="AT78" s="165">
        <f t="shared" si="31"/>
        <v>0</v>
      </c>
      <c r="AU78" s="165">
        <f t="shared" si="31"/>
        <v>0</v>
      </c>
      <c r="AV78" s="165">
        <f t="shared" si="31"/>
        <v>0</v>
      </c>
      <c r="AW78" s="165">
        <f t="shared" si="31"/>
        <v>0</v>
      </c>
      <c r="AX78" s="165">
        <f t="shared" si="31"/>
        <v>0</v>
      </c>
      <c r="AY78" s="165">
        <f t="shared" si="31"/>
        <v>0</v>
      </c>
      <c r="AZ78" s="165">
        <f t="shared" si="31"/>
        <v>0</v>
      </c>
      <c r="BA78" s="165">
        <f t="shared" si="31"/>
        <v>0</v>
      </c>
      <c r="BB78" s="165">
        <f t="shared" si="31"/>
        <v>0</v>
      </c>
      <c r="BC78" s="165">
        <f t="shared" si="31"/>
        <v>0</v>
      </c>
      <c r="BD78" s="165">
        <f t="shared" si="31"/>
        <v>0</v>
      </c>
      <c r="BE78" s="165">
        <f t="shared" si="31"/>
        <v>0</v>
      </c>
      <c r="BF78" s="165">
        <f t="shared" si="31"/>
        <v>0</v>
      </c>
      <c r="BG78" s="165">
        <f t="shared" si="31"/>
        <v>0</v>
      </c>
      <c r="BH78" s="165">
        <f t="shared" si="31"/>
        <v>0</v>
      </c>
      <c r="BI78" s="165">
        <f t="shared" si="31"/>
        <v>0</v>
      </c>
      <c r="BJ78" s="165">
        <f t="shared" si="31"/>
        <v>0</v>
      </c>
      <c r="BK78" s="165">
        <f t="shared" si="31"/>
        <v>0</v>
      </c>
      <c r="BL78" s="165">
        <f t="shared" si="31"/>
        <v>0</v>
      </c>
      <c r="BM78" s="165">
        <f t="shared" si="31"/>
        <v>0</v>
      </c>
      <c r="BN78" s="165">
        <f t="shared" si="31"/>
        <v>0</v>
      </c>
      <c r="BO78" s="165">
        <f t="shared" si="31"/>
        <v>0</v>
      </c>
      <c r="BP78" s="165">
        <f t="shared" si="31"/>
        <v>0</v>
      </c>
      <c r="BQ78" s="165">
        <f t="shared" si="31"/>
        <v>0</v>
      </c>
      <c r="BR78" s="165">
        <f t="shared" si="31"/>
        <v>0</v>
      </c>
      <c r="BS78" s="165">
        <f t="shared" si="31"/>
        <v>0</v>
      </c>
      <c r="BT78" s="165">
        <f t="shared" si="31"/>
        <v>0</v>
      </c>
      <c r="BU78" s="165">
        <f t="shared" si="31"/>
        <v>0</v>
      </c>
      <c r="BV78" s="165">
        <f t="shared" si="31"/>
        <v>0</v>
      </c>
      <c r="BW78" s="165">
        <f t="shared" si="31"/>
        <v>0</v>
      </c>
      <c r="BX78" s="165">
        <f t="shared" si="31"/>
        <v>0</v>
      </c>
      <c r="BY78" s="165">
        <f t="shared" si="31"/>
        <v>0</v>
      </c>
      <c r="BZ78" s="165">
        <f t="shared" si="31"/>
        <v>0</v>
      </c>
      <c r="CA78" s="165">
        <f t="shared" si="31"/>
        <v>0</v>
      </c>
      <c r="CB78" s="165">
        <f t="shared" si="31"/>
        <v>0</v>
      </c>
      <c r="CC78" s="165">
        <f t="shared" si="31"/>
        <v>0</v>
      </c>
      <c r="CD78" s="165">
        <f t="shared" ref="CD78:CS78" si="32">CD77</f>
        <v>0</v>
      </c>
      <c r="CE78" s="165">
        <f t="shared" si="32"/>
        <v>1860063094</v>
      </c>
      <c r="CF78" s="165">
        <f t="shared" si="32"/>
        <v>1708549514</v>
      </c>
      <c r="CG78" s="165">
        <f t="shared" si="32"/>
        <v>1583925384</v>
      </c>
      <c r="CH78" s="165">
        <f t="shared" si="32"/>
        <v>0</v>
      </c>
      <c r="CI78" s="165">
        <f t="shared" si="32"/>
        <v>0</v>
      </c>
      <c r="CJ78" s="165">
        <f t="shared" si="32"/>
        <v>0</v>
      </c>
      <c r="CK78" s="165">
        <f t="shared" si="32"/>
        <v>0</v>
      </c>
      <c r="CL78" s="165">
        <f t="shared" si="32"/>
        <v>0</v>
      </c>
      <c r="CM78" s="165">
        <f t="shared" si="32"/>
        <v>0</v>
      </c>
      <c r="CN78" s="165">
        <f t="shared" si="32"/>
        <v>290374603</v>
      </c>
      <c r="CO78" s="165">
        <f t="shared" si="32"/>
        <v>246815867</v>
      </c>
      <c r="CP78" s="165">
        <f t="shared" si="32"/>
        <v>223977367</v>
      </c>
      <c r="CQ78" s="165">
        <f t="shared" si="32"/>
        <v>0</v>
      </c>
      <c r="CR78" s="165">
        <f t="shared" si="32"/>
        <v>0</v>
      </c>
      <c r="CS78" s="165">
        <f t="shared" si="32"/>
        <v>0</v>
      </c>
      <c r="CT78" s="165">
        <f t="shared" ref="CT78:CV80" si="33">CT77</f>
        <v>2230734367</v>
      </c>
      <c r="CU78" s="165">
        <f t="shared" si="33"/>
        <v>2025030046</v>
      </c>
      <c r="CV78" s="165">
        <f t="shared" si="33"/>
        <v>1877567416</v>
      </c>
    </row>
    <row r="79" spans="1:100" s="27" customFormat="1" ht="15" x14ac:dyDescent="0.25">
      <c r="A79" s="166"/>
      <c r="B79" s="166"/>
      <c r="C79" s="167"/>
      <c r="D79" s="166"/>
      <c r="E79" s="167"/>
      <c r="F79" s="167"/>
      <c r="G79" s="166"/>
      <c r="H79" s="167"/>
      <c r="I79" s="166"/>
      <c r="J79" s="168"/>
      <c r="K79" s="168"/>
      <c r="L79" s="168"/>
      <c r="M79" s="168"/>
      <c r="N79" s="169"/>
      <c r="O79" s="166"/>
      <c r="P79" s="167"/>
      <c r="Q79" s="170">
        <f>Q78</f>
        <v>0</v>
      </c>
      <c r="R79" s="170">
        <f t="shared" ref="R79:CC79" si="34">R78</f>
        <v>0</v>
      </c>
      <c r="S79" s="170">
        <f t="shared" si="34"/>
        <v>0</v>
      </c>
      <c r="T79" s="170">
        <f t="shared" si="34"/>
        <v>0</v>
      </c>
      <c r="U79" s="170">
        <f t="shared" si="34"/>
        <v>0</v>
      </c>
      <c r="V79" s="170">
        <f t="shared" si="34"/>
        <v>0</v>
      </c>
      <c r="W79" s="170">
        <f t="shared" si="34"/>
        <v>0</v>
      </c>
      <c r="X79" s="170">
        <f t="shared" si="34"/>
        <v>0</v>
      </c>
      <c r="Y79" s="170">
        <f t="shared" si="34"/>
        <v>0</v>
      </c>
      <c r="Z79" s="170">
        <f t="shared" si="34"/>
        <v>0</v>
      </c>
      <c r="AA79" s="170">
        <f t="shared" si="34"/>
        <v>0</v>
      </c>
      <c r="AB79" s="170">
        <f t="shared" si="34"/>
        <v>0</v>
      </c>
      <c r="AC79" s="170">
        <f t="shared" si="34"/>
        <v>80296670</v>
      </c>
      <c r="AD79" s="170">
        <f t="shared" si="34"/>
        <v>69664665</v>
      </c>
      <c r="AE79" s="170">
        <f t="shared" si="34"/>
        <v>69664665</v>
      </c>
      <c r="AF79" s="170">
        <f t="shared" si="34"/>
        <v>0</v>
      </c>
      <c r="AG79" s="170">
        <f t="shared" si="34"/>
        <v>0</v>
      </c>
      <c r="AH79" s="170">
        <f t="shared" si="34"/>
        <v>0</v>
      </c>
      <c r="AI79" s="170">
        <f t="shared" si="34"/>
        <v>0</v>
      </c>
      <c r="AJ79" s="170">
        <f t="shared" si="34"/>
        <v>0</v>
      </c>
      <c r="AK79" s="170">
        <f t="shared" si="34"/>
        <v>0</v>
      </c>
      <c r="AL79" s="170">
        <f t="shared" si="34"/>
        <v>0</v>
      </c>
      <c r="AM79" s="170">
        <f t="shared" si="34"/>
        <v>0</v>
      </c>
      <c r="AN79" s="170">
        <f t="shared" si="34"/>
        <v>0</v>
      </c>
      <c r="AO79" s="170">
        <f t="shared" si="34"/>
        <v>0</v>
      </c>
      <c r="AP79" s="170">
        <f t="shared" si="34"/>
        <v>0</v>
      </c>
      <c r="AQ79" s="170">
        <f t="shared" si="34"/>
        <v>0</v>
      </c>
      <c r="AR79" s="170">
        <f t="shared" si="34"/>
        <v>0</v>
      </c>
      <c r="AS79" s="170">
        <f t="shared" si="34"/>
        <v>0</v>
      </c>
      <c r="AT79" s="170">
        <f t="shared" si="34"/>
        <v>0</v>
      </c>
      <c r="AU79" s="170">
        <f t="shared" si="34"/>
        <v>0</v>
      </c>
      <c r="AV79" s="170">
        <f t="shared" si="34"/>
        <v>0</v>
      </c>
      <c r="AW79" s="170">
        <f t="shared" si="34"/>
        <v>0</v>
      </c>
      <c r="AX79" s="170">
        <f t="shared" si="34"/>
        <v>0</v>
      </c>
      <c r="AY79" s="170">
        <f t="shared" si="34"/>
        <v>0</v>
      </c>
      <c r="AZ79" s="170">
        <f t="shared" si="34"/>
        <v>0</v>
      </c>
      <c r="BA79" s="170">
        <f t="shared" si="34"/>
        <v>0</v>
      </c>
      <c r="BB79" s="170">
        <f t="shared" si="34"/>
        <v>0</v>
      </c>
      <c r="BC79" s="170">
        <f t="shared" si="34"/>
        <v>0</v>
      </c>
      <c r="BD79" s="170">
        <f t="shared" si="34"/>
        <v>0</v>
      </c>
      <c r="BE79" s="170">
        <f t="shared" si="34"/>
        <v>0</v>
      </c>
      <c r="BF79" s="170">
        <f t="shared" si="34"/>
        <v>0</v>
      </c>
      <c r="BG79" s="170">
        <f t="shared" si="34"/>
        <v>0</v>
      </c>
      <c r="BH79" s="170">
        <f t="shared" si="34"/>
        <v>0</v>
      </c>
      <c r="BI79" s="170">
        <f t="shared" si="34"/>
        <v>0</v>
      </c>
      <c r="BJ79" s="170">
        <f t="shared" si="34"/>
        <v>0</v>
      </c>
      <c r="BK79" s="170">
        <f t="shared" si="34"/>
        <v>0</v>
      </c>
      <c r="BL79" s="170">
        <f t="shared" si="34"/>
        <v>0</v>
      </c>
      <c r="BM79" s="170">
        <f t="shared" si="34"/>
        <v>0</v>
      </c>
      <c r="BN79" s="170">
        <f t="shared" si="34"/>
        <v>0</v>
      </c>
      <c r="BO79" s="170">
        <f t="shared" si="34"/>
        <v>0</v>
      </c>
      <c r="BP79" s="170">
        <f t="shared" si="34"/>
        <v>0</v>
      </c>
      <c r="BQ79" s="170">
        <f t="shared" si="34"/>
        <v>0</v>
      </c>
      <c r="BR79" s="170">
        <f t="shared" si="34"/>
        <v>0</v>
      </c>
      <c r="BS79" s="170">
        <f t="shared" si="34"/>
        <v>0</v>
      </c>
      <c r="BT79" s="170">
        <f t="shared" si="34"/>
        <v>0</v>
      </c>
      <c r="BU79" s="170">
        <f t="shared" si="34"/>
        <v>0</v>
      </c>
      <c r="BV79" s="170">
        <f t="shared" si="34"/>
        <v>0</v>
      </c>
      <c r="BW79" s="170">
        <f t="shared" si="34"/>
        <v>0</v>
      </c>
      <c r="BX79" s="170">
        <f t="shared" si="34"/>
        <v>0</v>
      </c>
      <c r="BY79" s="170">
        <f t="shared" si="34"/>
        <v>0</v>
      </c>
      <c r="BZ79" s="170">
        <f t="shared" si="34"/>
        <v>0</v>
      </c>
      <c r="CA79" s="170">
        <f t="shared" si="34"/>
        <v>0</v>
      </c>
      <c r="CB79" s="170">
        <f t="shared" si="34"/>
        <v>0</v>
      </c>
      <c r="CC79" s="170">
        <f t="shared" si="34"/>
        <v>0</v>
      </c>
      <c r="CD79" s="170">
        <f t="shared" ref="CD79:CS79" si="35">CD78</f>
        <v>0</v>
      </c>
      <c r="CE79" s="170">
        <f t="shared" si="35"/>
        <v>1860063094</v>
      </c>
      <c r="CF79" s="170">
        <f t="shared" si="35"/>
        <v>1708549514</v>
      </c>
      <c r="CG79" s="170">
        <f t="shared" si="35"/>
        <v>1583925384</v>
      </c>
      <c r="CH79" s="170">
        <f t="shared" si="35"/>
        <v>0</v>
      </c>
      <c r="CI79" s="170">
        <f t="shared" si="35"/>
        <v>0</v>
      </c>
      <c r="CJ79" s="170">
        <f t="shared" si="35"/>
        <v>0</v>
      </c>
      <c r="CK79" s="170">
        <f t="shared" si="35"/>
        <v>0</v>
      </c>
      <c r="CL79" s="170">
        <f t="shared" si="35"/>
        <v>0</v>
      </c>
      <c r="CM79" s="170">
        <f t="shared" si="35"/>
        <v>0</v>
      </c>
      <c r="CN79" s="170">
        <f t="shared" si="35"/>
        <v>290374603</v>
      </c>
      <c r="CO79" s="170">
        <f t="shared" si="35"/>
        <v>246815867</v>
      </c>
      <c r="CP79" s="170">
        <f t="shared" si="35"/>
        <v>223977367</v>
      </c>
      <c r="CQ79" s="170">
        <f t="shared" si="35"/>
        <v>0</v>
      </c>
      <c r="CR79" s="170">
        <f t="shared" si="35"/>
        <v>0</v>
      </c>
      <c r="CS79" s="170">
        <f t="shared" si="35"/>
        <v>0</v>
      </c>
      <c r="CT79" s="170">
        <f t="shared" si="33"/>
        <v>2230734367</v>
      </c>
      <c r="CU79" s="170">
        <f t="shared" si="33"/>
        <v>2025030046</v>
      </c>
      <c r="CV79" s="170">
        <f t="shared" si="33"/>
        <v>1877567416</v>
      </c>
    </row>
    <row r="80" spans="1:100" s="27" customFormat="1" ht="15" x14ac:dyDescent="0.25">
      <c r="A80" s="171"/>
      <c r="B80" s="171"/>
      <c r="C80" s="172"/>
      <c r="D80" s="171"/>
      <c r="E80" s="172"/>
      <c r="F80" s="172"/>
      <c r="G80" s="171"/>
      <c r="H80" s="172"/>
      <c r="I80" s="171"/>
      <c r="J80" s="173"/>
      <c r="K80" s="173"/>
      <c r="L80" s="173"/>
      <c r="M80" s="173"/>
      <c r="N80" s="174"/>
      <c r="O80" s="171"/>
      <c r="P80" s="172"/>
      <c r="Q80" s="175">
        <f>Q79</f>
        <v>0</v>
      </c>
      <c r="R80" s="175">
        <f t="shared" ref="R80:CC80" si="36">R79</f>
        <v>0</v>
      </c>
      <c r="S80" s="175">
        <f t="shared" si="36"/>
        <v>0</v>
      </c>
      <c r="T80" s="175">
        <f t="shared" si="36"/>
        <v>0</v>
      </c>
      <c r="U80" s="175">
        <f t="shared" si="36"/>
        <v>0</v>
      </c>
      <c r="V80" s="175">
        <f t="shared" si="36"/>
        <v>0</v>
      </c>
      <c r="W80" s="175">
        <f t="shared" si="36"/>
        <v>0</v>
      </c>
      <c r="X80" s="175">
        <f t="shared" si="36"/>
        <v>0</v>
      </c>
      <c r="Y80" s="175">
        <f t="shared" si="36"/>
        <v>0</v>
      </c>
      <c r="Z80" s="175">
        <f t="shared" si="36"/>
        <v>0</v>
      </c>
      <c r="AA80" s="175">
        <f t="shared" si="36"/>
        <v>0</v>
      </c>
      <c r="AB80" s="175">
        <f t="shared" si="36"/>
        <v>0</v>
      </c>
      <c r="AC80" s="175">
        <f t="shared" si="36"/>
        <v>80296670</v>
      </c>
      <c r="AD80" s="175">
        <f t="shared" si="36"/>
        <v>69664665</v>
      </c>
      <c r="AE80" s="175">
        <f t="shared" si="36"/>
        <v>69664665</v>
      </c>
      <c r="AF80" s="175">
        <f t="shared" si="36"/>
        <v>0</v>
      </c>
      <c r="AG80" s="175">
        <f t="shared" si="36"/>
        <v>0</v>
      </c>
      <c r="AH80" s="175">
        <f t="shared" si="36"/>
        <v>0</v>
      </c>
      <c r="AI80" s="175">
        <f t="shared" si="36"/>
        <v>0</v>
      </c>
      <c r="AJ80" s="175">
        <f t="shared" si="36"/>
        <v>0</v>
      </c>
      <c r="AK80" s="175">
        <f t="shared" si="36"/>
        <v>0</v>
      </c>
      <c r="AL80" s="175">
        <f t="shared" si="36"/>
        <v>0</v>
      </c>
      <c r="AM80" s="175">
        <f t="shared" si="36"/>
        <v>0</v>
      </c>
      <c r="AN80" s="175">
        <f t="shared" si="36"/>
        <v>0</v>
      </c>
      <c r="AO80" s="175">
        <f t="shared" si="36"/>
        <v>0</v>
      </c>
      <c r="AP80" s="175">
        <f t="shared" si="36"/>
        <v>0</v>
      </c>
      <c r="AQ80" s="175">
        <f t="shared" si="36"/>
        <v>0</v>
      </c>
      <c r="AR80" s="175">
        <f t="shared" si="36"/>
        <v>0</v>
      </c>
      <c r="AS80" s="175">
        <f t="shared" si="36"/>
        <v>0</v>
      </c>
      <c r="AT80" s="175">
        <f t="shared" si="36"/>
        <v>0</v>
      </c>
      <c r="AU80" s="175">
        <f t="shared" si="36"/>
        <v>0</v>
      </c>
      <c r="AV80" s="175">
        <f t="shared" si="36"/>
        <v>0</v>
      </c>
      <c r="AW80" s="175">
        <f t="shared" si="36"/>
        <v>0</v>
      </c>
      <c r="AX80" s="175">
        <f t="shared" si="36"/>
        <v>0</v>
      </c>
      <c r="AY80" s="175">
        <f t="shared" si="36"/>
        <v>0</v>
      </c>
      <c r="AZ80" s="175">
        <f t="shared" si="36"/>
        <v>0</v>
      </c>
      <c r="BA80" s="175">
        <f t="shared" si="36"/>
        <v>0</v>
      </c>
      <c r="BB80" s="175">
        <f t="shared" si="36"/>
        <v>0</v>
      </c>
      <c r="BC80" s="175">
        <f t="shared" si="36"/>
        <v>0</v>
      </c>
      <c r="BD80" s="175">
        <f t="shared" si="36"/>
        <v>0</v>
      </c>
      <c r="BE80" s="175">
        <f t="shared" si="36"/>
        <v>0</v>
      </c>
      <c r="BF80" s="175">
        <f t="shared" si="36"/>
        <v>0</v>
      </c>
      <c r="BG80" s="175">
        <f t="shared" si="36"/>
        <v>0</v>
      </c>
      <c r="BH80" s="175">
        <f t="shared" si="36"/>
        <v>0</v>
      </c>
      <c r="BI80" s="175">
        <f t="shared" si="36"/>
        <v>0</v>
      </c>
      <c r="BJ80" s="175">
        <f t="shared" si="36"/>
        <v>0</v>
      </c>
      <c r="BK80" s="175">
        <f t="shared" si="36"/>
        <v>0</v>
      </c>
      <c r="BL80" s="175">
        <f t="shared" si="36"/>
        <v>0</v>
      </c>
      <c r="BM80" s="175">
        <f t="shared" si="36"/>
        <v>0</v>
      </c>
      <c r="BN80" s="175">
        <f t="shared" si="36"/>
        <v>0</v>
      </c>
      <c r="BO80" s="175">
        <f t="shared" si="36"/>
        <v>0</v>
      </c>
      <c r="BP80" s="175">
        <f t="shared" si="36"/>
        <v>0</v>
      </c>
      <c r="BQ80" s="175">
        <f t="shared" si="36"/>
        <v>0</v>
      </c>
      <c r="BR80" s="175">
        <f t="shared" si="36"/>
        <v>0</v>
      </c>
      <c r="BS80" s="175">
        <f t="shared" si="36"/>
        <v>0</v>
      </c>
      <c r="BT80" s="175">
        <f t="shared" si="36"/>
        <v>0</v>
      </c>
      <c r="BU80" s="175">
        <f t="shared" si="36"/>
        <v>0</v>
      </c>
      <c r="BV80" s="175">
        <f t="shared" si="36"/>
        <v>0</v>
      </c>
      <c r="BW80" s="175">
        <f t="shared" si="36"/>
        <v>0</v>
      </c>
      <c r="BX80" s="175">
        <f t="shared" si="36"/>
        <v>0</v>
      </c>
      <c r="BY80" s="175">
        <f t="shared" si="36"/>
        <v>0</v>
      </c>
      <c r="BZ80" s="175">
        <f t="shared" si="36"/>
        <v>0</v>
      </c>
      <c r="CA80" s="175">
        <f t="shared" si="36"/>
        <v>0</v>
      </c>
      <c r="CB80" s="175">
        <f t="shared" si="36"/>
        <v>0</v>
      </c>
      <c r="CC80" s="175">
        <f t="shared" si="36"/>
        <v>0</v>
      </c>
      <c r="CD80" s="175">
        <f t="shared" ref="CD80:CS80" si="37">CD79</f>
        <v>0</v>
      </c>
      <c r="CE80" s="175">
        <f t="shared" si="37"/>
        <v>1860063094</v>
      </c>
      <c r="CF80" s="175">
        <f t="shared" si="37"/>
        <v>1708549514</v>
      </c>
      <c r="CG80" s="175">
        <f t="shared" si="37"/>
        <v>1583925384</v>
      </c>
      <c r="CH80" s="175">
        <f t="shared" si="37"/>
        <v>0</v>
      </c>
      <c r="CI80" s="175">
        <f t="shared" si="37"/>
        <v>0</v>
      </c>
      <c r="CJ80" s="175">
        <f t="shared" si="37"/>
        <v>0</v>
      </c>
      <c r="CK80" s="175">
        <f t="shared" si="37"/>
        <v>0</v>
      </c>
      <c r="CL80" s="175">
        <f t="shared" si="37"/>
        <v>0</v>
      </c>
      <c r="CM80" s="175">
        <f t="shared" si="37"/>
        <v>0</v>
      </c>
      <c r="CN80" s="175">
        <f t="shared" si="37"/>
        <v>290374603</v>
      </c>
      <c r="CO80" s="175">
        <f t="shared" si="37"/>
        <v>246815867</v>
      </c>
      <c r="CP80" s="175">
        <f t="shared" si="37"/>
        <v>223977367</v>
      </c>
      <c r="CQ80" s="175">
        <f t="shared" si="37"/>
        <v>0</v>
      </c>
      <c r="CR80" s="175">
        <f t="shared" si="37"/>
        <v>0</v>
      </c>
      <c r="CS80" s="175">
        <f t="shared" si="37"/>
        <v>0</v>
      </c>
      <c r="CT80" s="175">
        <f t="shared" si="33"/>
        <v>2230734367</v>
      </c>
      <c r="CU80" s="175">
        <f t="shared" si="33"/>
        <v>2025030046</v>
      </c>
      <c r="CV80" s="175">
        <f t="shared" si="33"/>
        <v>1877567416</v>
      </c>
    </row>
    <row r="81" spans="1:100" s="27" customFormat="1" ht="15" x14ac:dyDescent="0.25">
      <c r="A81" s="176"/>
      <c r="B81" s="177"/>
      <c r="C81" s="949"/>
      <c r="D81" s="177"/>
      <c r="E81" s="949"/>
      <c r="F81" s="949"/>
      <c r="G81" s="177"/>
      <c r="H81" s="949"/>
      <c r="I81" s="177"/>
      <c r="J81" s="178"/>
      <c r="K81" s="178"/>
      <c r="L81" s="178"/>
      <c r="M81" s="178"/>
      <c r="N81" s="179"/>
      <c r="O81" s="177"/>
      <c r="P81" s="949"/>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1"/>
      <c r="BH81" s="181"/>
      <c r="BI81" s="181"/>
      <c r="BJ81" s="181"/>
      <c r="BK81" s="181"/>
      <c r="BL81" s="181"/>
      <c r="BM81" s="181"/>
      <c r="BN81" s="181"/>
      <c r="BO81" s="181"/>
      <c r="BP81" s="181"/>
      <c r="BQ81" s="181"/>
      <c r="BR81" s="181"/>
      <c r="BS81" s="181"/>
      <c r="BT81" s="181"/>
      <c r="BU81" s="181"/>
      <c r="BV81" s="181"/>
      <c r="BW81" s="181"/>
      <c r="BX81" s="181"/>
      <c r="BY81" s="180"/>
      <c r="BZ81" s="180"/>
      <c r="CA81" s="180"/>
      <c r="CB81" s="180"/>
      <c r="CC81" s="180"/>
      <c r="CD81" s="180"/>
      <c r="CE81" s="182"/>
      <c r="CF81" s="182"/>
      <c r="CG81" s="182"/>
      <c r="CH81" s="183"/>
      <c r="CI81" s="183"/>
      <c r="CJ81" s="183"/>
      <c r="CK81" s="180"/>
      <c r="CL81" s="180"/>
      <c r="CM81" s="180"/>
      <c r="CN81" s="180"/>
      <c r="CO81" s="180"/>
      <c r="CP81" s="180"/>
      <c r="CQ81" s="180"/>
      <c r="CR81" s="180"/>
      <c r="CS81" s="180"/>
      <c r="CT81" s="970"/>
      <c r="CU81" s="970"/>
      <c r="CV81" s="970"/>
    </row>
    <row r="82" spans="1:100" s="27" customFormat="1" ht="20.25" x14ac:dyDescent="0.25">
      <c r="A82" s="134" t="s">
        <v>112</v>
      </c>
      <c r="B82" s="135"/>
      <c r="C82" s="136"/>
      <c r="D82" s="135"/>
      <c r="E82" s="135"/>
      <c r="F82" s="135"/>
      <c r="G82" s="135"/>
      <c r="H82" s="136"/>
      <c r="I82" s="135"/>
      <c r="J82" s="135"/>
      <c r="K82" s="135"/>
      <c r="L82" s="135"/>
      <c r="M82" s="135"/>
      <c r="N82" s="675"/>
      <c r="O82" s="135"/>
      <c r="P82" s="136"/>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7"/>
      <c r="CF82" s="137"/>
      <c r="CG82" s="137"/>
      <c r="CH82" s="138"/>
      <c r="CI82" s="138"/>
      <c r="CJ82" s="138"/>
      <c r="CK82" s="135"/>
      <c r="CL82" s="135"/>
      <c r="CM82" s="135"/>
      <c r="CN82" s="135"/>
      <c r="CO82" s="135"/>
      <c r="CP82" s="135"/>
      <c r="CQ82" s="135"/>
      <c r="CR82" s="135"/>
      <c r="CS82" s="135"/>
      <c r="CT82" s="566" t="s">
        <v>0</v>
      </c>
      <c r="CU82" s="566" t="s">
        <v>0</v>
      </c>
      <c r="CV82" s="566" t="s">
        <v>0</v>
      </c>
    </row>
    <row r="83" spans="1:100" s="27" customFormat="1" ht="15" x14ac:dyDescent="0.25">
      <c r="A83" s="139">
        <v>2</v>
      </c>
      <c r="B83" s="140" t="s">
        <v>113</v>
      </c>
      <c r="C83" s="141"/>
      <c r="D83" s="140"/>
      <c r="E83" s="140"/>
      <c r="F83" s="140"/>
      <c r="G83" s="140"/>
      <c r="H83" s="141"/>
      <c r="I83" s="140"/>
      <c r="J83" s="140"/>
      <c r="K83" s="140"/>
      <c r="L83" s="140"/>
      <c r="M83" s="140"/>
      <c r="N83" s="676"/>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2"/>
      <c r="CF83" s="142"/>
      <c r="CG83" s="142"/>
      <c r="CH83" s="140"/>
      <c r="CI83" s="140"/>
      <c r="CJ83" s="140"/>
      <c r="CK83" s="140"/>
      <c r="CL83" s="140"/>
      <c r="CM83" s="140"/>
      <c r="CN83" s="140"/>
      <c r="CO83" s="140"/>
      <c r="CP83" s="140"/>
      <c r="CQ83" s="140"/>
      <c r="CR83" s="140"/>
      <c r="CS83" s="140"/>
      <c r="CT83" s="540"/>
      <c r="CU83" s="540"/>
      <c r="CV83" s="540"/>
    </row>
    <row r="84" spans="1:100" s="27" customFormat="1" ht="15" x14ac:dyDescent="0.25">
      <c r="A84" s="143"/>
      <c r="B84" s="248">
        <v>4</v>
      </c>
      <c r="C84" s="145" t="s">
        <v>114</v>
      </c>
      <c r="D84" s="146"/>
      <c r="E84" s="146"/>
      <c r="F84" s="146"/>
      <c r="G84" s="146"/>
      <c r="H84" s="147"/>
      <c r="I84" s="146"/>
      <c r="J84" s="146"/>
      <c r="K84" s="146"/>
      <c r="L84" s="146"/>
      <c r="M84" s="146"/>
      <c r="N84" s="677"/>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8"/>
      <c r="CF84" s="148"/>
      <c r="CG84" s="148"/>
      <c r="CH84" s="146"/>
      <c r="CI84" s="146"/>
      <c r="CJ84" s="146"/>
      <c r="CK84" s="146"/>
      <c r="CL84" s="146"/>
      <c r="CM84" s="146"/>
      <c r="CN84" s="146"/>
      <c r="CO84" s="146"/>
      <c r="CP84" s="146"/>
      <c r="CQ84" s="146"/>
      <c r="CR84" s="146"/>
      <c r="CS84" s="146"/>
      <c r="CT84" s="526"/>
      <c r="CU84" s="526"/>
      <c r="CV84" s="526"/>
    </row>
    <row r="85" spans="1:100" s="27" customFormat="1" ht="15" x14ac:dyDescent="0.25">
      <c r="A85" s="21"/>
      <c r="B85" s="143"/>
      <c r="C85" s="240"/>
      <c r="D85" s="186"/>
      <c r="E85" s="186"/>
      <c r="F85" s="187"/>
      <c r="G85" s="188">
        <v>14</v>
      </c>
      <c r="H85" s="189" t="s">
        <v>115</v>
      </c>
      <c r="I85" s="189"/>
      <c r="J85" s="189"/>
      <c r="K85" s="189"/>
      <c r="L85" s="189"/>
      <c r="M85" s="189"/>
      <c r="N85" s="678"/>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c r="BY85" s="189"/>
      <c r="BZ85" s="189"/>
      <c r="CA85" s="189"/>
      <c r="CB85" s="189"/>
      <c r="CC85" s="189"/>
      <c r="CD85" s="189"/>
      <c r="CE85" s="190"/>
      <c r="CF85" s="190"/>
      <c r="CG85" s="190"/>
      <c r="CH85" s="189"/>
      <c r="CI85" s="189"/>
      <c r="CJ85" s="189"/>
      <c r="CK85" s="189"/>
      <c r="CL85" s="189"/>
      <c r="CM85" s="189"/>
      <c r="CN85" s="189"/>
      <c r="CO85" s="189"/>
      <c r="CP85" s="189"/>
      <c r="CQ85" s="189"/>
      <c r="CR85" s="189"/>
      <c r="CS85" s="189"/>
      <c r="CT85" s="522"/>
      <c r="CU85" s="522"/>
      <c r="CV85" s="522"/>
    </row>
    <row r="86" spans="1:100" s="27" customFormat="1" ht="78" customHeight="1" x14ac:dyDescent="0.25">
      <c r="A86" s="21"/>
      <c r="B86" s="21"/>
      <c r="C86" s="1021">
        <v>9</v>
      </c>
      <c r="D86" s="1012" t="s">
        <v>116</v>
      </c>
      <c r="E86" s="1021">
        <v>59</v>
      </c>
      <c r="F86" s="1021">
        <v>87</v>
      </c>
      <c r="G86" s="28"/>
      <c r="H86" s="989">
        <v>54</v>
      </c>
      <c r="I86" s="928" t="s">
        <v>117</v>
      </c>
      <c r="J86" s="10">
        <v>129.85</v>
      </c>
      <c r="K86" s="10">
        <v>130</v>
      </c>
      <c r="L86" s="10">
        <v>130</v>
      </c>
      <c r="M86" s="1137" t="s">
        <v>118</v>
      </c>
      <c r="N86" s="1017" t="s">
        <v>119</v>
      </c>
      <c r="O86" s="1012" t="s">
        <v>120</v>
      </c>
      <c r="P86" s="929" t="s">
        <v>38</v>
      </c>
      <c r="Q86" s="25"/>
      <c r="R86" s="25"/>
      <c r="S86" s="25"/>
      <c r="T86" s="25"/>
      <c r="U86" s="25"/>
      <c r="V86" s="25"/>
      <c r="W86" s="25"/>
      <c r="X86" s="25"/>
      <c r="Y86" s="25"/>
      <c r="Z86" s="25"/>
      <c r="AA86" s="25"/>
      <c r="AB86" s="25"/>
      <c r="AC86" s="25"/>
      <c r="AD86" s="26"/>
      <c r="AE86" s="26"/>
      <c r="AF86" s="9">
        <v>425211130.79000002</v>
      </c>
      <c r="AG86" s="9">
        <v>376407212.06999999</v>
      </c>
      <c r="AH86" s="9">
        <v>218947212.06999999</v>
      </c>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110">
        <v>299921940.20999998</v>
      </c>
      <c r="CF86" s="110">
        <v>207969564.65000001</v>
      </c>
      <c r="CG86" s="110">
        <v>207969564.65000001</v>
      </c>
      <c r="CH86" s="37"/>
      <c r="CI86" s="37"/>
      <c r="CJ86" s="37"/>
      <c r="CK86" s="25"/>
      <c r="CL86" s="26"/>
      <c r="CM86" s="26"/>
      <c r="CN86" s="26"/>
      <c r="CO86" s="26"/>
      <c r="CP86" s="26"/>
      <c r="CQ86" s="26"/>
      <c r="CR86" s="26"/>
      <c r="CS86" s="26"/>
      <c r="CT86" s="25">
        <f t="shared" ref="CT86:CV88" si="38">Q86+T86+W86+Z86+AC86+AF86+AI86+AL86+AO86+AR86+AU86+AX86+BA86+BD86+BG86+BJ86+BM86+BP86+BS86+BV86+BY86+CB86+CE86+CH86+CK86+CQ86+CN86</f>
        <v>725133071</v>
      </c>
      <c r="CU86" s="25">
        <f t="shared" si="38"/>
        <v>584376776.72000003</v>
      </c>
      <c r="CV86" s="25">
        <f t="shared" si="38"/>
        <v>426916776.72000003</v>
      </c>
    </row>
    <row r="87" spans="1:100" s="27" customFormat="1" ht="61.5" customHeight="1" x14ac:dyDescent="0.25">
      <c r="A87" s="21"/>
      <c r="B87" s="21"/>
      <c r="C87" s="1023"/>
      <c r="D87" s="1020"/>
      <c r="E87" s="1023"/>
      <c r="F87" s="1023"/>
      <c r="G87" s="28"/>
      <c r="H87" s="929">
        <v>55</v>
      </c>
      <c r="I87" s="928" t="s">
        <v>121</v>
      </c>
      <c r="J87" s="10">
        <v>12</v>
      </c>
      <c r="K87" s="10">
        <v>12</v>
      </c>
      <c r="L87" s="10">
        <v>11</v>
      </c>
      <c r="M87" s="1138"/>
      <c r="N87" s="1018"/>
      <c r="O87" s="1020"/>
      <c r="P87" s="929" t="s">
        <v>38</v>
      </c>
      <c r="Q87" s="25"/>
      <c r="R87" s="25"/>
      <c r="S87" s="25"/>
      <c r="T87" s="25"/>
      <c r="U87" s="25"/>
      <c r="V87" s="25"/>
      <c r="W87" s="25"/>
      <c r="X87" s="25"/>
      <c r="Y87" s="25"/>
      <c r="Z87" s="25"/>
      <c r="AA87" s="25"/>
      <c r="AB87" s="25"/>
      <c r="AC87" s="25"/>
      <c r="AD87" s="26"/>
      <c r="AE87" s="26"/>
      <c r="AF87" s="9">
        <v>195943362.20999998</v>
      </c>
      <c r="AG87" s="9">
        <v>153771106</v>
      </c>
      <c r="AH87" s="9">
        <v>153771106</v>
      </c>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110">
        <v>260479137.78999999</v>
      </c>
      <c r="CF87" s="110">
        <v>222900660</v>
      </c>
      <c r="CG87" s="110">
        <v>220100660</v>
      </c>
      <c r="CH87" s="37"/>
      <c r="CI87" s="37"/>
      <c r="CJ87" s="37"/>
      <c r="CK87" s="25"/>
      <c r="CL87" s="26"/>
      <c r="CM87" s="26"/>
      <c r="CN87" s="26"/>
      <c r="CO87" s="26"/>
      <c r="CP87" s="26"/>
      <c r="CQ87" s="26"/>
      <c r="CR87" s="26"/>
      <c r="CS87" s="26"/>
      <c r="CT87" s="25">
        <f t="shared" si="38"/>
        <v>456422500</v>
      </c>
      <c r="CU87" s="25">
        <f t="shared" si="38"/>
        <v>376671766</v>
      </c>
      <c r="CV87" s="25">
        <f t="shared" si="38"/>
        <v>373871766</v>
      </c>
    </row>
    <row r="88" spans="1:100" s="27" customFormat="1" ht="99.75" x14ac:dyDescent="0.25">
      <c r="A88" s="21"/>
      <c r="B88" s="21"/>
      <c r="C88" s="1022"/>
      <c r="D88" s="1013"/>
      <c r="E88" s="1022"/>
      <c r="F88" s="1022"/>
      <c r="G88" s="29"/>
      <c r="H88" s="929">
        <v>56</v>
      </c>
      <c r="I88" s="928" t="s">
        <v>122</v>
      </c>
      <c r="J88" s="10">
        <v>9</v>
      </c>
      <c r="K88" s="10">
        <v>6</v>
      </c>
      <c r="L88" s="10">
        <v>5</v>
      </c>
      <c r="M88" s="1139"/>
      <c r="N88" s="1019"/>
      <c r="O88" s="1013"/>
      <c r="P88" s="929" t="s">
        <v>34</v>
      </c>
      <c r="Q88" s="25">
        <v>0</v>
      </c>
      <c r="R88" s="25"/>
      <c r="S88" s="25"/>
      <c r="T88" s="25">
        <v>0</v>
      </c>
      <c r="U88" s="25"/>
      <c r="V88" s="25"/>
      <c r="W88" s="25">
        <v>0</v>
      </c>
      <c r="X88" s="25"/>
      <c r="Y88" s="25"/>
      <c r="Z88" s="25">
        <v>0</v>
      </c>
      <c r="AA88" s="25"/>
      <c r="AB88" s="25"/>
      <c r="AC88" s="25">
        <v>0</v>
      </c>
      <c r="AD88" s="26"/>
      <c r="AE88" s="26"/>
      <c r="AF88" s="9">
        <v>15482711.069999993</v>
      </c>
      <c r="AG88" s="9">
        <v>3943333</v>
      </c>
      <c r="AH88" s="9">
        <v>3943333</v>
      </c>
      <c r="AI88" s="25">
        <v>0</v>
      </c>
      <c r="AJ88" s="25"/>
      <c r="AK88" s="25"/>
      <c r="AL88" s="25"/>
      <c r="AM88" s="25"/>
      <c r="AN88" s="25"/>
      <c r="AO88" s="25"/>
      <c r="AP88" s="25"/>
      <c r="AQ88" s="25"/>
      <c r="AR88" s="25"/>
      <c r="AS88" s="25"/>
      <c r="AT88" s="25"/>
      <c r="AU88" s="25">
        <v>0</v>
      </c>
      <c r="AV88" s="25"/>
      <c r="AW88" s="25"/>
      <c r="AX88" s="25"/>
      <c r="AY88" s="25"/>
      <c r="AZ88" s="25"/>
      <c r="BA88" s="25">
        <v>0</v>
      </c>
      <c r="BB88" s="25"/>
      <c r="BC88" s="25"/>
      <c r="BD88" s="25">
        <v>0</v>
      </c>
      <c r="BE88" s="25"/>
      <c r="BF88" s="25"/>
      <c r="BG88" s="25"/>
      <c r="BH88" s="25"/>
      <c r="BI88" s="25"/>
      <c r="BJ88" s="25"/>
      <c r="BK88" s="25"/>
      <c r="BL88" s="25"/>
      <c r="BM88" s="25"/>
      <c r="BN88" s="25"/>
      <c r="BO88" s="25"/>
      <c r="BP88" s="25"/>
      <c r="BQ88" s="25"/>
      <c r="BR88" s="25"/>
      <c r="BS88" s="25"/>
      <c r="BT88" s="25"/>
      <c r="BU88" s="25"/>
      <c r="BV88" s="25"/>
      <c r="BW88" s="25"/>
      <c r="BX88" s="25"/>
      <c r="BY88" s="25">
        <v>0</v>
      </c>
      <c r="BZ88" s="25"/>
      <c r="CA88" s="25"/>
      <c r="CB88" s="25">
        <v>0</v>
      </c>
      <c r="CC88" s="25"/>
      <c r="CD88" s="25"/>
      <c r="CE88" s="110"/>
      <c r="CF88" s="110"/>
      <c r="CG88" s="110"/>
      <c r="CH88" s="37"/>
      <c r="CI88" s="37"/>
      <c r="CJ88" s="37"/>
      <c r="CK88" s="25">
        <v>0</v>
      </c>
      <c r="CL88" s="26"/>
      <c r="CM88" s="26"/>
      <c r="CN88" s="26">
        <v>0</v>
      </c>
      <c r="CO88" s="26"/>
      <c r="CP88" s="26"/>
      <c r="CQ88" s="26"/>
      <c r="CR88" s="26"/>
      <c r="CS88" s="26"/>
      <c r="CT88" s="25">
        <f t="shared" si="38"/>
        <v>15482711.069999993</v>
      </c>
      <c r="CU88" s="25">
        <f t="shared" si="38"/>
        <v>3943333</v>
      </c>
      <c r="CV88" s="25">
        <f t="shared" si="38"/>
        <v>3943333</v>
      </c>
    </row>
    <row r="89" spans="1:100" s="27" customFormat="1" ht="15" x14ac:dyDescent="0.25">
      <c r="A89" s="21"/>
      <c r="B89" s="21"/>
      <c r="C89" s="929"/>
      <c r="D89" s="928"/>
      <c r="E89" s="929"/>
      <c r="F89" s="929"/>
      <c r="G89" s="154"/>
      <c r="H89" s="155"/>
      <c r="I89" s="154"/>
      <c r="J89" s="249"/>
      <c r="K89" s="249"/>
      <c r="L89" s="249"/>
      <c r="M89" s="249"/>
      <c r="N89" s="157"/>
      <c r="O89" s="154"/>
      <c r="P89" s="155"/>
      <c r="Q89" s="158">
        <f>SUM(Q86:Q88)</f>
        <v>0</v>
      </c>
      <c r="R89" s="158">
        <f t="shared" ref="R89:CC89" si="39">SUM(R86:R88)</f>
        <v>0</v>
      </c>
      <c r="S89" s="158">
        <f t="shared" si="39"/>
        <v>0</v>
      </c>
      <c r="T89" s="158">
        <f t="shared" si="39"/>
        <v>0</v>
      </c>
      <c r="U89" s="158">
        <f t="shared" si="39"/>
        <v>0</v>
      </c>
      <c r="V89" s="158">
        <f t="shared" si="39"/>
        <v>0</v>
      </c>
      <c r="W89" s="158">
        <f t="shared" si="39"/>
        <v>0</v>
      </c>
      <c r="X89" s="158">
        <f t="shared" si="39"/>
        <v>0</v>
      </c>
      <c r="Y89" s="158">
        <f t="shared" si="39"/>
        <v>0</v>
      </c>
      <c r="Z89" s="158">
        <f t="shared" si="39"/>
        <v>0</v>
      </c>
      <c r="AA89" s="158">
        <f t="shared" si="39"/>
        <v>0</v>
      </c>
      <c r="AB89" s="158">
        <f t="shared" si="39"/>
        <v>0</v>
      </c>
      <c r="AC89" s="158">
        <f t="shared" si="39"/>
        <v>0</v>
      </c>
      <c r="AD89" s="158">
        <f t="shared" si="39"/>
        <v>0</v>
      </c>
      <c r="AE89" s="158">
        <f t="shared" si="39"/>
        <v>0</v>
      </c>
      <c r="AF89" s="158">
        <f t="shared" si="39"/>
        <v>636637204.06999993</v>
      </c>
      <c r="AG89" s="158">
        <f t="shared" si="39"/>
        <v>534121651.06999999</v>
      </c>
      <c r="AH89" s="158">
        <f t="shared" si="39"/>
        <v>376661651.06999999</v>
      </c>
      <c r="AI89" s="158">
        <f t="shared" si="39"/>
        <v>0</v>
      </c>
      <c r="AJ89" s="158">
        <f t="shared" si="39"/>
        <v>0</v>
      </c>
      <c r="AK89" s="158">
        <f t="shared" si="39"/>
        <v>0</v>
      </c>
      <c r="AL89" s="158">
        <f t="shared" si="39"/>
        <v>0</v>
      </c>
      <c r="AM89" s="158">
        <f t="shared" si="39"/>
        <v>0</v>
      </c>
      <c r="AN89" s="158">
        <f t="shared" si="39"/>
        <v>0</v>
      </c>
      <c r="AO89" s="158">
        <f t="shared" si="39"/>
        <v>0</v>
      </c>
      <c r="AP89" s="158">
        <f t="shared" si="39"/>
        <v>0</v>
      </c>
      <c r="AQ89" s="158">
        <f t="shared" si="39"/>
        <v>0</v>
      </c>
      <c r="AR89" s="158">
        <f t="shared" si="39"/>
        <v>0</v>
      </c>
      <c r="AS89" s="158">
        <f t="shared" si="39"/>
        <v>0</v>
      </c>
      <c r="AT89" s="158">
        <f t="shared" si="39"/>
        <v>0</v>
      </c>
      <c r="AU89" s="158">
        <f t="shared" si="39"/>
        <v>0</v>
      </c>
      <c r="AV89" s="158">
        <f t="shared" si="39"/>
        <v>0</v>
      </c>
      <c r="AW89" s="158">
        <f t="shared" si="39"/>
        <v>0</v>
      </c>
      <c r="AX89" s="158">
        <f t="shared" si="39"/>
        <v>0</v>
      </c>
      <c r="AY89" s="158">
        <f t="shared" si="39"/>
        <v>0</v>
      </c>
      <c r="AZ89" s="158">
        <f t="shared" si="39"/>
        <v>0</v>
      </c>
      <c r="BA89" s="158">
        <f t="shared" si="39"/>
        <v>0</v>
      </c>
      <c r="BB89" s="158">
        <f t="shared" si="39"/>
        <v>0</v>
      </c>
      <c r="BC89" s="158">
        <f t="shared" si="39"/>
        <v>0</v>
      </c>
      <c r="BD89" s="158">
        <f t="shared" si="39"/>
        <v>0</v>
      </c>
      <c r="BE89" s="158">
        <f t="shared" si="39"/>
        <v>0</v>
      </c>
      <c r="BF89" s="158">
        <f t="shared" si="39"/>
        <v>0</v>
      </c>
      <c r="BG89" s="158">
        <f t="shared" si="39"/>
        <v>0</v>
      </c>
      <c r="BH89" s="158">
        <f t="shared" si="39"/>
        <v>0</v>
      </c>
      <c r="BI89" s="158">
        <f t="shared" si="39"/>
        <v>0</v>
      </c>
      <c r="BJ89" s="158">
        <f t="shared" si="39"/>
        <v>0</v>
      </c>
      <c r="BK89" s="158">
        <f t="shared" si="39"/>
        <v>0</v>
      </c>
      <c r="BL89" s="158">
        <f t="shared" si="39"/>
        <v>0</v>
      </c>
      <c r="BM89" s="158">
        <f t="shared" si="39"/>
        <v>0</v>
      </c>
      <c r="BN89" s="158">
        <f t="shared" si="39"/>
        <v>0</v>
      </c>
      <c r="BO89" s="158">
        <f t="shared" si="39"/>
        <v>0</v>
      </c>
      <c r="BP89" s="158">
        <f t="shared" si="39"/>
        <v>0</v>
      </c>
      <c r="BQ89" s="158">
        <f t="shared" si="39"/>
        <v>0</v>
      </c>
      <c r="BR89" s="158">
        <f t="shared" si="39"/>
        <v>0</v>
      </c>
      <c r="BS89" s="158">
        <f t="shared" si="39"/>
        <v>0</v>
      </c>
      <c r="BT89" s="158">
        <f t="shared" si="39"/>
        <v>0</v>
      </c>
      <c r="BU89" s="158">
        <f t="shared" si="39"/>
        <v>0</v>
      </c>
      <c r="BV89" s="158">
        <f t="shared" si="39"/>
        <v>0</v>
      </c>
      <c r="BW89" s="158">
        <f t="shared" si="39"/>
        <v>0</v>
      </c>
      <c r="BX89" s="158">
        <f t="shared" si="39"/>
        <v>0</v>
      </c>
      <c r="BY89" s="158">
        <f t="shared" si="39"/>
        <v>0</v>
      </c>
      <c r="BZ89" s="158">
        <f t="shared" si="39"/>
        <v>0</v>
      </c>
      <c r="CA89" s="158">
        <f t="shared" si="39"/>
        <v>0</v>
      </c>
      <c r="CB89" s="158">
        <f t="shared" si="39"/>
        <v>0</v>
      </c>
      <c r="CC89" s="158">
        <f t="shared" si="39"/>
        <v>0</v>
      </c>
      <c r="CD89" s="158">
        <f t="shared" ref="CD89:CV89" si="40">SUM(CD86:CD88)</f>
        <v>0</v>
      </c>
      <c r="CE89" s="158">
        <f t="shared" si="40"/>
        <v>560401078</v>
      </c>
      <c r="CF89" s="158">
        <f t="shared" si="40"/>
        <v>430870224.64999998</v>
      </c>
      <c r="CG89" s="158">
        <f t="shared" si="40"/>
        <v>428070224.64999998</v>
      </c>
      <c r="CH89" s="158">
        <f t="shared" si="40"/>
        <v>0</v>
      </c>
      <c r="CI89" s="158">
        <f t="shared" si="40"/>
        <v>0</v>
      </c>
      <c r="CJ89" s="158">
        <f t="shared" si="40"/>
        <v>0</v>
      </c>
      <c r="CK89" s="158">
        <f t="shared" si="40"/>
        <v>0</v>
      </c>
      <c r="CL89" s="158">
        <f t="shared" si="40"/>
        <v>0</v>
      </c>
      <c r="CM89" s="158">
        <f t="shared" si="40"/>
        <v>0</v>
      </c>
      <c r="CN89" s="158">
        <f t="shared" si="40"/>
        <v>0</v>
      </c>
      <c r="CO89" s="158">
        <f t="shared" si="40"/>
        <v>0</v>
      </c>
      <c r="CP89" s="158">
        <f t="shared" si="40"/>
        <v>0</v>
      </c>
      <c r="CQ89" s="158">
        <f t="shared" si="40"/>
        <v>0</v>
      </c>
      <c r="CR89" s="158">
        <f t="shared" si="40"/>
        <v>0</v>
      </c>
      <c r="CS89" s="158">
        <f t="shared" si="40"/>
        <v>0</v>
      </c>
      <c r="CT89" s="158">
        <f t="shared" si="40"/>
        <v>1197038282.0699999</v>
      </c>
      <c r="CU89" s="158">
        <f t="shared" si="40"/>
        <v>964991875.72000003</v>
      </c>
      <c r="CV89" s="158">
        <f t="shared" si="40"/>
        <v>804731875.72000003</v>
      </c>
    </row>
    <row r="90" spans="1:100" s="27" customFormat="1" ht="15" x14ac:dyDescent="0.25">
      <c r="A90" s="21"/>
      <c r="B90" s="21"/>
      <c r="C90" s="929"/>
      <c r="D90" s="928"/>
      <c r="E90" s="929"/>
      <c r="F90" s="929"/>
      <c r="G90" s="928"/>
      <c r="H90" s="929"/>
      <c r="I90" s="928"/>
      <c r="J90" s="10"/>
      <c r="K90" s="10"/>
      <c r="L90" s="10"/>
      <c r="M90" s="10"/>
      <c r="N90" s="36"/>
      <c r="O90" s="928"/>
      <c r="P90" s="929"/>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0"/>
      <c r="BH90" s="250"/>
      <c r="BI90" s="250"/>
      <c r="BJ90" s="250"/>
      <c r="BK90" s="250"/>
      <c r="BL90" s="250"/>
      <c r="BM90" s="250"/>
      <c r="BN90" s="250"/>
      <c r="BO90" s="250"/>
      <c r="BP90" s="250"/>
      <c r="BQ90" s="250"/>
      <c r="BR90" s="250"/>
      <c r="BS90" s="250"/>
      <c r="BT90" s="250"/>
      <c r="BU90" s="250"/>
      <c r="BV90" s="250"/>
      <c r="BW90" s="250"/>
      <c r="BX90" s="250"/>
      <c r="BY90" s="25"/>
      <c r="BZ90" s="25"/>
      <c r="CA90" s="25"/>
      <c r="CB90" s="25"/>
      <c r="CC90" s="25"/>
      <c r="CD90" s="25"/>
      <c r="CE90" s="110"/>
      <c r="CF90" s="110"/>
      <c r="CG90" s="110"/>
      <c r="CH90" s="37"/>
      <c r="CI90" s="37"/>
      <c r="CJ90" s="37"/>
      <c r="CK90" s="25"/>
      <c r="CL90" s="26"/>
      <c r="CM90" s="26"/>
      <c r="CN90" s="26"/>
      <c r="CO90" s="26"/>
      <c r="CP90" s="26"/>
      <c r="CQ90" s="26"/>
      <c r="CR90" s="26"/>
      <c r="CS90" s="26"/>
      <c r="CT90" s="25"/>
      <c r="CU90" s="739"/>
      <c r="CV90" s="739"/>
    </row>
    <row r="91" spans="1:100" s="27" customFormat="1" ht="15" x14ac:dyDescent="0.25">
      <c r="A91" s="21"/>
      <c r="B91" s="21"/>
      <c r="C91" s="251"/>
      <c r="D91" s="252"/>
      <c r="E91" s="252"/>
      <c r="F91" s="253"/>
      <c r="G91" s="254">
        <v>15</v>
      </c>
      <c r="H91" s="694" t="s">
        <v>123</v>
      </c>
      <c r="I91" s="189"/>
      <c r="J91" s="189"/>
      <c r="K91" s="189"/>
      <c r="L91" s="189"/>
      <c r="M91" s="189"/>
      <c r="N91" s="678"/>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189"/>
      <c r="CB91" s="189"/>
      <c r="CC91" s="189"/>
      <c r="CD91" s="189"/>
      <c r="CE91" s="190"/>
      <c r="CF91" s="190"/>
      <c r="CG91" s="190"/>
      <c r="CH91" s="189"/>
      <c r="CI91" s="189"/>
      <c r="CJ91" s="189"/>
      <c r="CK91" s="189"/>
      <c r="CL91" s="189"/>
      <c r="CM91" s="189"/>
      <c r="CN91" s="189"/>
      <c r="CO91" s="189"/>
      <c r="CP91" s="189"/>
      <c r="CQ91" s="189"/>
      <c r="CR91" s="189"/>
      <c r="CS91" s="189"/>
      <c r="CT91" s="522"/>
      <c r="CU91" s="673"/>
      <c r="CV91" s="673"/>
    </row>
    <row r="92" spans="1:100" s="27" customFormat="1" ht="83.25" customHeight="1" x14ac:dyDescent="0.25">
      <c r="A92" s="21"/>
      <c r="B92" s="21"/>
      <c r="C92" s="1021">
        <v>7</v>
      </c>
      <c r="D92" s="1012" t="s">
        <v>124</v>
      </c>
      <c r="E92" s="1116">
        <v>0.317</v>
      </c>
      <c r="F92" s="1165">
        <v>0.27</v>
      </c>
      <c r="G92" s="28"/>
      <c r="H92" s="989">
        <v>57</v>
      </c>
      <c r="I92" s="928" t="s">
        <v>125</v>
      </c>
      <c r="J92" s="10">
        <v>103</v>
      </c>
      <c r="K92" s="20">
        <v>12</v>
      </c>
      <c r="L92" s="20">
        <v>11</v>
      </c>
      <c r="M92" s="1137" t="s">
        <v>126</v>
      </c>
      <c r="N92" s="1017" t="s">
        <v>127</v>
      </c>
      <c r="O92" s="1012" t="s">
        <v>128</v>
      </c>
      <c r="P92" s="929" t="s">
        <v>34</v>
      </c>
      <c r="Q92" s="25"/>
      <c r="R92" s="25"/>
      <c r="S92" s="25"/>
      <c r="T92" s="25"/>
      <c r="U92" s="25"/>
      <c r="V92" s="25"/>
      <c r="W92" s="698">
        <v>7758783451.21</v>
      </c>
      <c r="X92" s="698">
        <v>4812758623</v>
      </c>
      <c r="Y92" s="698">
        <v>4388298238.1999998</v>
      </c>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110">
        <v>8450000</v>
      </c>
      <c r="CF92" s="110">
        <v>8450000</v>
      </c>
      <c r="CG92" s="110">
        <v>8450000</v>
      </c>
      <c r="CH92" s="37"/>
      <c r="CI92" s="37"/>
      <c r="CJ92" s="37"/>
      <c r="CK92" s="25">
        <v>0</v>
      </c>
      <c r="CL92" s="26"/>
      <c r="CM92" s="26"/>
      <c r="CN92" s="47"/>
      <c r="CO92" s="47"/>
      <c r="CP92" s="47"/>
      <c r="CQ92" s="47"/>
      <c r="CR92" s="47"/>
      <c r="CS92" s="47"/>
      <c r="CT92" s="25">
        <f t="shared" ref="CT92:CV99" si="41">Q92+T92+W92+Z92+AC92+AF92+AI92+AL92+AO92+AR92+AU92+AX92+BA92+BD92+BG92+BJ92+BM92+BP92+BS92+BV92+BY92+CB92+CE92+CH92+CK92+CQ92+CN92</f>
        <v>7767233451.21</v>
      </c>
      <c r="CU92" s="25">
        <f t="shared" si="41"/>
        <v>4821208623</v>
      </c>
      <c r="CV92" s="25">
        <f t="shared" si="41"/>
        <v>4396748238.1999998</v>
      </c>
    </row>
    <row r="93" spans="1:100" s="27" customFormat="1" ht="73.5" customHeight="1" x14ac:dyDescent="0.25">
      <c r="A93" s="21"/>
      <c r="B93" s="21"/>
      <c r="C93" s="1023"/>
      <c r="D93" s="1020"/>
      <c r="E93" s="1164"/>
      <c r="F93" s="1085"/>
      <c r="G93" s="28"/>
      <c r="H93" s="929">
        <v>58</v>
      </c>
      <c r="I93" s="928" t="s">
        <v>129</v>
      </c>
      <c r="J93" s="10">
        <v>6</v>
      </c>
      <c r="K93" s="20">
        <v>1</v>
      </c>
      <c r="L93" s="20">
        <v>1</v>
      </c>
      <c r="M93" s="1138"/>
      <c r="N93" s="1018"/>
      <c r="O93" s="1020"/>
      <c r="P93" s="929" t="s">
        <v>34</v>
      </c>
      <c r="Q93" s="25">
        <v>0</v>
      </c>
      <c r="R93" s="25"/>
      <c r="S93" s="25"/>
      <c r="T93" s="25">
        <v>0</v>
      </c>
      <c r="U93" s="26"/>
      <c r="V93" s="26"/>
      <c r="W93" s="9"/>
      <c r="X93" s="9"/>
      <c r="Y93" s="9"/>
      <c r="Z93" s="25">
        <v>0</v>
      </c>
      <c r="AA93" s="25"/>
      <c r="AB93" s="25"/>
      <c r="AC93" s="25">
        <v>0</v>
      </c>
      <c r="AD93" s="25"/>
      <c r="AE93" s="25"/>
      <c r="AF93" s="25">
        <v>0</v>
      </c>
      <c r="AG93" s="25"/>
      <c r="AH93" s="25"/>
      <c r="AI93" s="25">
        <v>0</v>
      </c>
      <c r="AJ93" s="25"/>
      <c r="AK93" s="25"/>
      <c r="AL93" s="25"/>
      <c r="AM93" s="25"/>
      <c r="AN93" s="25"/>
      <c r="AO93" s="25"/>
      <c r="AP93" s="25"/>
      <c r="AQ93" s="25"/>
      <c r="AR93" s="25"/>
      <c r="AS93" s="25"/>
      <c r="AT93" s="25"/>
      <c r="AU93" s="25">
        <v>0</v>
      </c>
      <c r="AV93" s="25"/>
      <c r="AW93" s="25"/>
      <c r="AX93" s="25"/>
      <c r="AY93" s="25"/>
      <c r="AZ93" s="25"/>
      <c r="BA93" s="25">
        <v>0</v>
      </c>
      <c r="BB93" s="25"/>
      <c r="BC93" s="25"/>
      <c r="BD93" s="25">
        <v>0</v>
      </c>
      <c r="BE93" s="25"/>
      <c r="BF93" s="25"/>
      <c r="BG93" s="25"/>
      <c r="BH93" s="25"/>
      <c r="BI93" s="25"/>
      <c r="BJ93" s="25"/>
      <c r="BK93" s="25"/>
      <c r="BL93" s="25"/>
      <c r="BM93" s="25"/>
      <c r="BN93" s="25"/>
      <c r="BO93" s="25"/>
      <c r="BP93" s="25"/>
      <c r="BQ93" s="25"/>
      <c r="BR93" s="25"/>
      <c r="BS93" s="25"/>
      <c r="BT93" s="25"/>
      <c r="BU93" s="25"/>
      <c r="BV93" s="25"/>
      <c r="BW93" s="25"/>
      <c r="BX93" s="25"/>
      <c r="BY93" s="25">
        <v>0</v>
      </c>
      <c r="BZ93" s="25"/>
      <c r="CA93" s="25"/>
      <c r="CB93" s="25">
        <v>0</v>
      </c>
      <c r="CC93" s="25"/>
      <c r="CD93" s="25"/>
      <c r="CE93" s="110">
        <v>50000000</v>
      </c>
      <c r="CF93" s="110">
        <v>49998704</v>
      </c>
      <c r="CG93" s="110">
        <v>49998704</v>
      </c>
      <c r="CH93" s="37"/>
      <c r="CI93" s="37"/>
      <c r="CJ93" s="37"/>
      <c r="CK93" s="25">
        <v>0</v>
      </c>
      <c r="CL93" s="26"/>
      <c r="CM93" s="26"/>
      <c r="CN93" s="26">
        <v>0</v>
      </c>
      <c r="CO93" s="26"/>
      <c r="CP93" s="26"/>
      <c r="CQ93" s="26"/>
      <c r="CR93" s="26"/>
      <c r="CS93" s="26"/>
      <c r="CT93" s="25">
        <f t="shared" si="41"/>
        <v>50000000</v>
      </c>
      <c r="CU93" s="25">
        <f t="shared" si="41"/>
        <v>49998704</v>
      </c>
      <c r="CV93" s="25">
        <f>S93+V93+Y93+AB93+AE93+AH93+AK93+AN93+AQ93+AT93+AW93+AZ93+BC93+BF93+BI93+BL93+BO93+BR93+BU93+BX93+CA93+CD93+CG93+CJ93+CM93+CS93+CP93</f>
        <v>49998704</v>
      </c>
    </row>
    <row r="94" spans="1:100" s="27" customFormat="1" ht="97.5" customHeight="1" x14ac:dyDescent="0.25">
      <c r="A94" s="21"/>
      <c r="B94" s="21"/>
      <c r="C94" s="1023"/>
      <c r="D94" s="1020"/>
      <c r="E94" s="1164"/>
      <c r="F94" s="1085"/>
      <c r="G94" s="28"/>
      <c r="H94" s="989">
        <v>59</v>
      </c>
      <c r="I94" s="928" t="s">
        <v>130</v>
      </c>
      <c r="J94" s="10">
        <v>82</v>
      </c>
      <c r="K94" s="20">
        <v>12</v>
      </c>
      <c r="L94" s="20">
        <v>12</v>
      </c>
      <c r="M94" s="1138"/>
      <c r="N94" s="1018"/>
      <c r="O94" s="1020"/>
      <c r="P94" s="929" t="s">
        <v>34</v>
      </c>
      <c r="Q94" s="25">
        <v>0</v>
      </c>
      <c r="R94" s="25"/>
      <c r="S94" s="25"/>
      <c r="T94" s="25">
        <v>0</v>
      </c>
      <c r="U94" s="26"/>
      <c r="V94" s="26"/>
      <c r="W94" s="9">
        <v>1315337096</v>
      </c>
      <c r="X94" s="9">
        <v>762499502.61000001</v>
      </c>
      <c r="Y94" s="9">
        <v>475277914.61000001</v>
      </c>
      <c r="Z94" s="25">
        <v>0</v>
      </c>
      <c r="AA94" s="25"/>
      <c r="AB94" s="25"/>
      <c r="AC94" s="25">
        <v>0</v>
      </c>
      <c r="AD94" s="25"/>
      <c r="AE94" s="25"/>
      <c r="AF94" s="25">
        <v>0</v>
      </c>
      <c r="AG94" s="25"/>
      <c r="AH94" s="25"/>
      <c r="AI94" s="25">
        <v>0</v>
      </c>
      <c r="AJ94" s="25"/>
      <c r="AK94" s="25"/>
      <c r="AL94" s="25"/>
      <c r="AM94" s="25"/>
      <c r="AN94" s="25"/>
      <c r="AO94" s="25"/>
      <c r="AP94" s="25"/>
      <c r="AQ94" s="25"/>
      <c r="AR94" s="25"/>
      <c r="AS94" s="25"/>
      <c r="AT94" s="25"/>
      <c r="AU94" s="25">
        <v>0</v>
      </c>
      <c r="AV94" s="25"/>
      <c r="AW94" s="25"/>
      <c r="AX94" s="25"/>
      <c r="AY94" s="25"/>
      <c r="AZ94" s="25"/>
      <c r="BA94" s="25">
        <v>0</v>
      </c>
      <c r="BB94" s="25"/>
      <c r="BC94" s="25"/>
      <c r="BD94" s="25">
        <v>0</v>
      </c>
      <c r="BE94" s="25"/>
      <c r="BF94" s="25"/>
      <c r="BG94" s="25"/>
      <c r="BH94" s="25"/>
      <c r="BI94" s="25"/>
      <c r="BJ94" s="25"/>
      <c r="BK94" s="25"/>
      <c r="BL94" s="25"/>
      <c r="BM94" s="25"/>
      <c r="BN94" s="25"/>
      <c r="BO94" s="25"/>
      <c r="BP94" s="25"/>
      <c r="BQ94" s="25"/>
      <c r="BR94" s="25"/>
      <c r="BS94" s="25"/>
      <c r="BT94" s="25"/>
      <c r="BU94" s="25"/>
      <c r="BV94" s="25"/>
      <c r="BW94" s="25"/>
      <c r="BX94" s="25"/>
      <c r="BY94" s="25">
        <v>0</v>
      </c>
      <c r="BZ94" s="25"/>
      <c r="CA94" s="25"/>
      <c r="CB94" s="25">
        <v>0</v>
      </c>
      <c r="CC94" s="25"/>
      <c r="CD94" s="25"/>
      <c r="CE94" s="110">
        <v>0</v>
      </c>
      <c r="CF94" s="110"/>
      <c r="CG94" s="110"/>
      <c r="CH94" s="37"/>
      <c r="CI94" s="37"/>
      <c r="CJ94" s="37"/>
      <c r="CK94" s="25">
        <v>0</v>
      </c>
      <c r="CL94" s="26"/>
      <c r="CM94" s="26"/>
      <c r="CN94" s="26">
        <v>0</v>
      </c>
      <c r="CO94" s="26"/>
      <c r="CP94" s="26"/>
      <c r="CQ94" s="26"/>
      <c r="CR94" s="26"/>
      <c r="CS94" s="26"/>
      <c r="CT94" s="25">
        <f t="shared" si="41"/>
        <v>1315337096</v>
      </c>
      <c r="CU94" s="25">
        <f t="shared" si="41"/>
        <v>762499502.61000001</v>
      </c>
      <c r="CV94" s="25">
        <f t="shared" si="41"/>
        <v>475277914.61000001</v>
      </c>
    </row>
    <row r="95" spans="1:100" s="27" customFormat="1" ht="117.75" customHeight="1" x14ac:dyDescent="0.25">
      <c r="A95" s="21"/>
      <c r="B95" s="21"/>
      <c r="C95" s="1023"/>
      <c r="D95" s="1020"/>
      <c r="E95" s="1164"/>
      <c r="F95" s="1085"/>
      <c r="G95" s="28"/>
      <c r="H95" s="989">
        <v>60</v>
      </c>
      <c r="I95" s="928" t="s">
        <v>916</v>
      </c>
      <c r="J95" s="10">
        <v>9</v>
      </c>
      <c r="K95" s="20">
        <v>12</v>
      </c>
      <c r="L95" s="20">
        <v>2</v>
      </c>
      <c r="M95" s="1138"/>
      <c r="N95" s="1018"/>
      <c r="O95" s="1020"/>
      <c r="P95" s="929" t="s">
        <v>34</v>
      </c>
      <c r="Q95" s="25">
        <v>0</v>
      </c>
      <c r="R95" s="25"/>
      <c r="S95" s="25"/>
      <c r="T95" s="25">
        <v>0</v>
      </c>
      <c r="U95" s="26"/>
      <c r="V95" s="26"/>
      <c r="W95" s="9"/>
      <c r="X95" s="9"/>
      <c r="Y95" s="9"/>
      <c r="Z95" s="25">
        <v>0</v>
      </c>
      <c r="AA95" s="25"/>
      <c r="AB95" s="25"/>
      <c r="AC95" s="25">
        <v>0</v>
      </c>
      <c r="AD95" s="25"/>
      <c r="AE95" s="25"/>
      <c r="AF95" s="25">
        <v>0</v>
      </c>
      <c r="AG95" s="25"/>
      <c r="AH95" s="25"/>
      <c r="AI95" s="25">
        <v>0</v>
      </c>
      <c r="AJ95" s="25"/>
      <c r="AK95" s="25"/>
      <c r="AL95" s="25"/>
      <c r="AM95" s="25"/>
      <c r="AN95" s="25"/>
      <c r="AO95" s="25"/>
      <c r="AP95" s="25"/>
      <c r="AQ95" s="25"/>
      <c r="AR95" s="25"/>
      <c r="AS95" s="25"/>
      <c r="AT95" s="25"/>
      <c r="AU95" s="25">
        <v>0</v>
      </c>
      <c r="AV95" s="25"/>
      <c r="AW95" s="25"/>
      <c r="AX95" s="25"/>
      <c r="AY95" s="25"/>
      <c r="AZ95" s="25"/>
      <c r="BA95" s="25">
        <v>0</v>
      </c>
      <c r="BB95" s="25"/>
      <c r="BC95" s="25"/>
      <c r="BD95" s="25">
        <v>0</v>
      </c>
      <c r="BE95" s="25"/>
      <c r="BF95" s="25"/>
      <c r="BG95" s="25"/>
      <c r="BH95" s="25"/>
      <c r="BI95" s="25"/>
      <c r="BJ95" s="25"/>
      <c r="BK95" s="25"/>
      <c r="BL95" s="25"/>
      <c r="BM95" s="25"/>
      <c r="BN95" s="25"/>
      <c r="BO95" s="25"/>
      <c r="BP95" s="25"/>
      <c r="BQ95" s="25"/>
      <c r="BR95" s="25"/>
      <c r="BS95" s="25"/>
      <c r="BT95" s="25"/>
      <c r="BU95" s="25"/>
      <c r="BV95" s="25"/>
      <c r="BW95" s="25"/>
      <c r="BX95" s="25"/>
      <c r="BY95" s="25">
        <v>0</v>
      </c>
      <c r="BZ95" s="25"/>
      <c r="CA95" s="25"/>
      <c r="CB95" s="25">
        <v>0</v>
      </c>
      <c r="CC95" s="25"/>
      <c r="CD95" s="25"/>
      <c r="CE95" s="110">
        <v>350000000</v>
      </c>
      <c r="CF95" s="110">
        <v>342436036</v>
      </c>
      <c r="CG95" s="110">
        <v>325943547</v>
      </c>
      <c r="CH95" s="37"/>
      <c r="CI95" s="37"/>
      <c r="CJ95" s="37"/>
      <c r="CK95" s="25">
        <v>0</v>
      </c>
      <c r="CL95" s="26"/>
      <c r="CM95" s="26"/>
      <c r="CN95" s="26">
        <v>0</v>
      </c>
      <c r="CO95" s="26"/>
      <c r="CP95" s="26"/>
      <c r="CQ95" s="26"/>
      <c r="CR95" s="26"/>
      <c r="CS95" s="26"/>
      <c r="CT95" s="25">
        <f t="shared" si="41"/>
        <v>350000000</v>
      </c>
      <c r="CU95" s="25">
        <f t="shared" si="41"/>
        <v>342436036</v>
      </c>
      <c r="CV95" s="25">
        <f t="shared" si="41"/>
        <v>325943547</v>
      </c>
    </row>
    <row r="96" spans="1:100" s="27" customFormat="1" ht="110.25" customHeight="1" x14ac:dyDescent="0.25">
      <c r="A96" s="21"/>
      <c r="B96" s="21"/>
      <c r="C96" s="1023"/>
      <c r="D96" s="1020"/>
      <c r="E96" s="1164"/>
      <c r="F96" s="1085"/>
      <c r="G96" s="28"/>
      <c r="H96" s="929">
        <v>61</v>
      </c>
      <c r="I96" s="928" t="s">
        <v>131</v>
      </c>
      <c r="J96" s="10">
        <v>2</v>
      </c>
      <c r="K96" s="20">
        <v>2</v>
      </c>
      <c r="L96" s="20">
        <v>2</v>
      </c>
      <c r="M96" s="1138"/>
      <c r="N96" s="1018"/>
      <c r="O96" s="1020"/>
      <c r="P96" s="929" t="s">
        <v>34</v>
      </c>
      <c r="Q96" s="25">
        <v>0</v>
      </c>
      <c r="R96" s="25"/>
      <c r="S96" s="25"/>
      <c r="T96" s="25">
        <v>0</v>
      </c>
      <c r="U96" s="25"/>
      <c r="V96" s="25"/>
      <c r="W96" s="129">
        <v>0</v>
      </c>
      <c r="X96" s="129"/>
      <c r="Y96" s="129"/>
      <c r="Z96" s="25">
        <v>0</v>
      </c>
      <c r="AA96" s="25"/>
      <c r="AB96" s="25"/>
      <c r="AC96" s="25">
        <v>0</v>
      </c>
      <c r="AD96" s="25"/>
      <c r="AE96" s="25"/>
      <c r="AF96" s="25">
        <v>0</v>
      </c>
      <c r="AG96" s="25"/>
      <c r="AH96" s="25"/>
      <c r="AI96" s="25">
        <v>0</v>
      </c>
      <c r="AJ96" s="25"/>
      <c r="AK96" s="25"/>
      <c r="AL96" s="25"/>
      <c r="AM96" s="25"/>
      <c r="AN96" s="25"/>
      <c r="AO96" s="25"/>
      <c r="AP96" s="25"/>
      <c r="AQ96" s="25"/>
      <c r="AR96" s="25"/>
      <c r="AS96" s="25"/>
      <c r="AT96" s="25"/>
      <c r="AU96" s="25">
        <v>0</v>
      </c>
      <c r="AV96" s="25"/>
      <c r="AW96" s="25"/>
      <c r="AX96" s="25"/>
      <c r="AY96" s="25"/>
      <c r="AZ96" s="25"/>
      <c r="BA96" s="25">
        <v>0</v>
      </c>
      <c r="BB96" s="25"/>
      <c r="BC96" s="25"/>
      <c r="BD96" s="25">
        <v>0</v>
      </c>
      <c r="BE96" s="25"/>
      <c r="BF96" s="25"/>
      <c r="BG96" s="25"/>
      <c r="BH96" s="25"/>
      <c r="BI96" s="25"/>
      <c r="BJ96" s="25"/>
      <c r="BK96" s="25"/>
      <c r="BL96" s="25"/>
      <c r="BM96" s="25"/>
      <c r="BN96" s="25"/>
      <c r="BO96" s="25"/>
      <c r="BP96" s="25"/>
      <c r="BQ96" s="25"/>
      <c r="BR96" s="25"/>
      <c r="BS96" s="25"/>
      <c r="BT96" s="25"/>
      <c r="BU96" s="25"/>
      <c r="BV96" s="25"/>
      <c r="BW96" s="25"/>
      <c r="BX96" s="25"/>
      <c r="BY96" s="25">
        <v>0</v>
      </c>
      <c r="BZ96" s="25"/>
      <c r="CA96" s="25"/>
      <c r="CB96" s="25">
        <v>0</v>
      </c>
      <c r="CC96" s="25"/>
      <c r="CD96" s="25"/>
      <c r="CE96" s="110">
        <v>334300000</v>
      </c>
      <c r="CF96" s="110">
        <v>205820268</v>
      </c>
      <c r="CG96" s="110">
        <v>205820268</v>
      </c>
      <c r="CH96" s="37"/>
      <c r="CI96" s="37"/>
      <c r="CJ96" s="37"/>
      <c r="CK96" s="25">
        <v>56061566</v>
      </c>
      <c r="CL96" s="26">
        <v>56061566</v>
      </c>
      <c r="CM96" s="26">
        <v>56061566</v>
      </c>
      <c r="CN96" s="26">
        <v>128000000</v>
      </c>
      <c r="CO96" s="26">
        <v>127997027</v>
      </c>
      <c r="CP96" s="26">
        <v>127997027</v>
      </c>
      <c r="CQ96" s="26"/>
      <c r="CR96" s="26"/>
      <c r="CS96" s="26"/>
      <c r="CT96" s="25">
        <f t="shared" si="41"/>
        <v>518361566</v>
      </c>
      <c r="CU96" s="25">
        <f t="shared" si="41"/>
        <v>389878861</v>
      </c>
      <c r="CV96" s="25">
        <f t="shared" si="41"/>
        <v>389878861</v>
      </c>
    </row>
    <row r="97" spans="1:100" s="27" customFormat="1" ht="84" customHeight="1" x14ac:dyDescent="0.25">
      <c r="A97" s="21"/>
      <c r="B97" s="21"/>
      <c r="C97" s="1023"/>
      <c r="D97" s="1020"/>
      <c r="E97" s="1164"/>
      <c r="F97" s="1085"/>
      <c r="G97" s="28"/>
      <c r="H97" s="929">
        <v>62</v>
      </c>
      <c r="I97" s="928" t="s">
        <v>132</v>
      </c>
      <c r="J97" s="10">
        <v>1</v>
      </c>
      <c r="K97" s="20">
        <v>2</v>
      </c>
      <c r="L97" s="20">
        <v>2</v>
      </c>
      <c r="M97" s="1138"/>
      <c r="N97" s="1018"/>
      <c r="O97" s="1020"/>
      <c r="P97" s="929" t="s">
        <v>38</v>
      </c>
      <c r="Q97" s="25">
        <v>0</v>
      </c>
      <c r="R97" s="25"/>
      <c r="S97" s="25"/>
      <c r="T97" s="25">
        <v>0</v>
      </c>
      <c r="U97" s="26"/>
      <c r="V97" s="26"/>
      <c r="W97" s="9"/>
      <c r="X97" s="9"/>
      <c r="Y97" s="9"/>
      <c r="Z97" s="25">
        <v>0</v>
      </c>
      <c r="AA97" s="25"/>
      <c r="AB97" s="25"/>
      <c r="AC97" s="25">
        <v>0</v>
      </c>
      <c r="AD97" s="25"/>
      <c r="AE97" s="25"/>
      <c r="AF97" s="25">
        <v>0</v>
      </c>
      <c r="AG97" s="25"/>
      <c r="AH97" s="25"/>
      <c r="AI97" s="25">
        <v>0</v>
      </c>
      <c r="AJ97" s="25"/>
      <c r="AK97" s="25"/>
      <c r="AL97" s="25"/>
      <c r="AM97" s="25"/>
      <c r="AN97" s="25"/>
      <c r="AO97" s="25"/>
      <c r="AP97" s="25"/>
      <c r="AQ97" s="25"/>
      <c r="AR97" s="25"/>
      <c r="AS97" s="25"/>
      <c r="AT97" s="25"/>
      <c r="AU97" s="25">
        <v>0</v>
      </c>
      <c r="AV97" s="25"/>
      <c r="AW97" s="25"/>
      <c r="AX97" s="25"/>
      <c r="AY97" s="25"/>
      <c r="AZ97" s="25"/>
      <c r="BA97" s="25">
        <v>0</v>
      </c>
      <c r="BB97" s="25"/>
      <c r="BC97" s="25"/>
      <c r="BD97" s="25">
        <v>0</v>
      </c>
      <c r="BE97" s="25"/>
      <c r="BF97" s="25"/>
      <c r="BG97" s="25"/>
      <c r="BH97" s="25"/>
      <c r="BI97" s="25"/>
      <c r="BJ97" s="25"/>
      <c r="BK97" s="25"/>
      <c r="BL97" s="25"/>
      <c r="BM97" s="25"/>
      <c r="BN97" s="25"/>
      <c r="BO97" s="25"/>
      <c r="BP97" s="25"/>
      <c r="BQ97" s="25"/>
      <c r="BR97" s="25"/>
      <c r="BS97" s="25"/>
      <c r="BT97" s="25"/>
      <c r="BU97" s="25"/>
      <c r="BV97" s="25"/>
      <c r="BW97" s="25"/>
      <c r="BX97" s="25"/>
      <c r="BY97" s="25">
        <v>0</v>
      </c>
      <c r="BZ97" s="25"/>
      <c r="CA97" s="25"/>
      <c r="CB97" s="25">
        <v>0</v>
      </c>
      <c r="CC97" s="25"/>
      <c r="CD97" s="25"/>
      <c r="CE97" s="110">
        <v>205550000</v>
      </c>
      <c r="CF97" s="110">
        <v>166180927.80000001</v>
      </c>
      <c r="CG97" s="110">
        <v>166180927.80000001</v>
      </c>
      <c r="CH97" s="37"/>
      <c r="CI97" s="37"/>
      <c r="CJ97" s="37"/>
      <c r="CK97" s="25">
        <v>0</v>
      </c>
      <c r="CL97" s="26"/>
      <c r="CM97" s="26"/>
      <c r="CN97" s="26">
        <v>0</v>
      </c>
      <c r="CO97" s="26"/>
      <c r="CP97" s="26"/>
      <c r="CQ97" s="26"/>
      <c r="CR97" s="26"/>
      <c r="CS97" s="26"/>
      <c r="CT97" s="25">
        <f t="shared" si="41"/>
        <v>205550000</v>
      </c>
      <c r="CU97" s="25">
        <f t="shared" si="41"/>
        <v>166180927.80000001</v>
      </c>
      <c r="CV97" s="25">
        <f t="shared" si="41"/>
        <v>166180927.80000001</v>
      </c>
    </row>
    <row r="98" spans="1:100" s="27" customFormat="1" ht="72" customHeight="1" x14ac:dyDescent="0.25">
      <c r="A98" s="21"/>
      <c r="B98" s="21"/>
      <c r="C98" s="1023"/>
      <c r="D98" s="1020"/>
      <c r="E98" s="1164"/>
      <c r="F98" s="1085"/>
      <c r="G98" s="28"/>
      <c r="H98" s="989">
        <v>63</v>
      </c>
      <c r="I98" s="928" t="s">
        <v>133</v>
      </c>
      <c r="J98" s="10" t="s">
        <v>30</v>
      </c>
      <c r="K98" s="20">
        <f>250-250</f>
        <v>0</v>
      </c>
      <c r="L98" s="20">
        <v>0</v>
      </c>
      <c r="M98" s="1138"/>
      <c r="N98" s="1018"/>
      <c r="O98" s="1020"/>
      <c r="P98" s="929" t="s">
        <v>34</v>
      </c>
      <c r="Q98" s="25"/>
      <c r="R98" s="25"/>
      <c r="S98" s="25"/>
      <c r="T98" s="25"/>
      <c r="U98" s="25"/>
      <c r="V98" s="25"/>
      <c r="W98" s="13"/>
      <c r="X98" s="13"/>
      <c r="Y98" s="13"/>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6"/>
      <c r="CD98" s="26"/>
      <c r="CE98" s="112">
        <f>400000000-400000000</f>
        <v>0</v>
      </c>
      <c r="CF98" s="112"/>
      <c r="CG98" s="112"/>
      <c r="CH98" s="49"/>
      <c r="CI98" s="49"/>
      <c r="CJ98" s="49"/>
      <c r="CK98" s="25"/>
      <c r="CL98" s="26"/>
      <c r="CM98" s="26"/>
      <c r="CN98" s="26"/>
      <c r="CO98" s="26"/>
      <c r="CP98" s="26"/>
      <c r="CQ98" s="26"/>
      <c r="CR98" s="26"/>
      <c r="CS98" s="26"/>
      <c r="CT98" s="25">
        <f t="shared" si="41"/>
        <v>0</v>
      </c>
      <c r="CU98" s="25">
        <f t="shared" si="41"/>
        <v>0</v>
      </c>
      <c r="CV98" s="25">
        <f t="shared" si="41"/>
        <v>0</v>
      </c>
    </row>
    <row r="99" spans="1:100" s="27" customFormat="1" ht="90" customHeight="1" x14ac:dyDescent="0.25">
      <c r="A99" s="21"/>
      <c r="B99" s="21"/>
      <c r="C99" s="1022"/>
      <c r="D99" s="1013"/>
      <c r="E99" s="1117"/>
      <c r="F99" s="1086"/>
      <c r="G99" s="29"/>
      <c r="H99" s="929">
        <v>64</v>
      </c>
      <c r="I99" s="928" t="s">
        <v>134</v>
      </c>
      <c r="J99" s="10">
        <v>0</v>
      </c>
      <c r="K99" s="20">
        <v>1</v>
      </c>
      <c r="L99" s="103">
        <v>0</v>
      </c>
      <c r="M99" s="1139"/>
      <c r="N99" s="1019"/>
      <c r="O99" s="1013"/>
      <c r="P99" s="929" t="s">
        <v>135</v>
      </c>
      <c r="Q99" s="25">
        <v>0</v>
      </c>
      <c r="R99" s="25"/>
      <c r="S99" s="25"/>
      <c r="T99" s="25">
        <v>0</v>
      </c>
      <c r="U99" s="106"/>
      <c r="V99" s="106"/>
      <c r="W99" s="48">
        <v>0</v>
      </c>
      <c r="X99" s="48"/>
      <c r="Y99" s="48"/>
      <c r="Z99" s="25">
        <v>0</v>
      </c>
      <c r="AA99" s="25"/>
      <c r="AB99" s="25"/>
      <c r="AC99" s="25">
        <v>0</v>
      </c>
      <c r="AD99" s="25"/>
      <c r="AE99" s="25"/>
      <c r="AF99" s="25">
        <v>0</v>
      </c>
      <c r="AG99" s="25"/>
      <c r="AH99" s="25"/>
      <c r="AI99" s="25">
        <v>0</v>
      </c>
      <c r="AJ99" s="25"/>
      <c r="AK99" s="25"/>
      <c r="AL99" s="25"/>
      <c r="AM99" s="25"/>
      <c r="AN99" s="25"/>
      <c r="AO99" s="25"/>
      <c r="AP99" s="25"/>
      <c r="AQ99" s="25"/>
      <c r="AR99" s="25"/>
      <c r="AS99" s="25"/>
      <c r="AT99" s="25"/>
      <c r="AU99" s="25">
        <v>0</v>
      </c>
      <c r="AV99" s="25"/>
      <c r="AW99" s="25"/>
      <c r="AX99" s="25"/>
      <c r="AY99" s="25"/>
      <c r="AZ99" s="25"/>
      <c r="BA99" s="25">
        <v>0</v>
      </c>
      <c r="BB99" s="25"/>
      <c r="BC99" s="25"/>
      <c r="BD99" s="25">
        <v>0</v>
      </c>
      <c r="BE99" s="25"/>
      <c r="BF99" s="25"/>
      <c r="BG99" s="25"/>
      <c r="BH99" s="25"/>
      <c r="BI99" s="25"/>
      <c r="BJ99" s="25"/>
      <c r="BK99" s="25"/>
      <c r="BL99" s="25"/>
      <c r="BM99" s="25"/>
      <c r="BN99" s="25"/>
      <c r="BO99" s="25"/>
      <c r="BP99" s="25"/>
      <c r="BQ99" s="25"/>
      <c r="BR99" s="25"/>
      <c r="BS99" s="25"/>
      <c r="BT99" s="25"/>
      <c r="BU99" s="25"/>
      <c r="BV99" s="25"/>
      <c r="BW99" s="25"/>
      <c r="BX99" s="25"/>
      <c r="BY99" s="25">
        <v>0</v>
      </c>
      <c r="BZ99" s="25"/>
      <c r="CA99" s="25"/>
      <c r="CB99" s="25">
        <v>0</v>
      </c>
      <c r="CC99" s="26"/>
      <c r="CD99" s="26"/>
      <c r="CE99" s="112">
        <v>30000000</v>
      </c>
      <c r="CF99" s="112">
        <v>0</v>
      </c>
      <c r="CG99" s="112">
        <v>0</v>
      </c>
      <c r="CH99" s="9"/>
      <c r="CI99" s="9"/>
      <c r="CJ99" s="9"/>
      <c r="CK99" s="25">
        <v>0</v>
      </c>
      <c r="CL99" s="26"/>
      <c r="CM99" s="26"/>
      <c r="CN99" s="26">
        <v>0</v>
      </c>
      <c r="CO99" s="26"/>
      <c r="CP99" s="26"/>
      <c r="CQ99" s="26"/>
      <c r="CR99" s="26"/>
      <c r="CS99" s="26"/>
      <c r="CT99" s="25">
        <f t="shared" si="41"/>
        <v>30000000</v>
      </c>
      <c r="CU99" s="25">
        <f t="shared" si="41"/>
        <v>0</v>
      </c>
      <c r="CV99" s="25">
        <f t="shared" si="41"/>
        <v>0</v>
      </c>
    </row>
    <row r="100" spans="1:100" s="27" customFormat="1" ht="103.5" customHeight="1" x14ac:dyDescent="0.25">
      <c r="A100" s="21"/>
      <c r="B100" s="21"/>
      <c r="C100" s="916"/>
      <c r="D100" s="919"/>
      <c r="E100" s="934"/>
      <c r="F100" s="937"/>
      <c r="G100" s="28"/>
      <c r="H100" s="983">
        <v>59</v>
      </c>
      <c r="I100" s="982" t="s">
        <v>130</v>
      </c>
      <c r="J100" s="10">
        <v>82</v>
      </c>
      <c r="K100" s="20">
        <v>12</v>
      </c>
      <c r="L100" s="20">
        <v>0</v>
      </c>
      <c r="M100" s="981" t="s">
        <v>126</v>
      </c>
      <c r="N100" s="984"/>
      <c r="O100" s="986" t="s">
        <v>985</v>
      </c>
      <c r="P100" s="929" t="s">
        <v>34</v>
      </c>
      <c r="Q100" s="25">
        <v>0</v>
      </c>
      <c r="R100" s="25"/>
      <c r="S100" s="25"/>
      <c r="T100" s="25">
        <v>0</v>
      </c>
      <c r="U100" s="26"/>
      <c r="V100" s="26"/>
      <c r="W100" s="9"/>
      <c r="X100" s="9"/>
      <c r="Y100" s="9"/>
      <c r="Z100" s="25">
        <v>0</v>
      </c>
      <c r="AA100" s="25"/>
      <c r="AB100" s="25"/>
      <c r="AC100" s="25">
        <v>0</v>
      </c>
      <c r="AD100" s="25"/>
      <c r="AE100" s="25"/>
      <c r="AF100" s="25">
        <v>0</v>
      </c>
      <c r="AG100" s="25"/>
      <c r="AH100" s="25"/>
      <c r="AI100" s="25">
        <v>0</v>
      </c>
      <c r="AJ100" s="25"/>
      <c r="AK100" s="25"/>
      <c r="AL100" s="25"/>
      <c r="AM100" s="25"/>
      <c r="AN100" s="25"/>
      <c r="AO100" s="25"/>
      <c r="AP100" s="25"/>
      <c r="AQ100" s="25"/>
      <c r="AR100" s="25"/>
      <c r="AS100" s="25"/>
      <c r="AT100" s="25"/>
      <c r="AU100" s="25">
        <v>0</v>
      </c>
      <c r="AV100" s="25"/>
      <c r="AW100" s="25"/>
      <c r="AX100" s="25"/>
      <c r="AY100" s="25"/>
      <c r="AZ100" s="25"/>
      <c r="BA100" s="25">
        <v>0</v>
      </c>
      <c r="BB100" s="25"/>
      <c r="BC100" s="25"/>
      <c r="BD100" s="25">
        <v>0</v>
      </c>
      <c r="BE100" s="25"/>
      <c r="BF100" s="25"/>
      <c r="BG100" s="25"/>
      <c r="BH100" s="25"/>
      <c r="BI100" s="25"/>
      <c r="BJ100" s="25"/>
      <c r="BK100" s="25"/>
      <c r="BL100" s="25"/>
      <c r="BM100" s="25"/>
      <c r="BN100" s="25"/>
      <c r="BO100" s="25"/>
      <c r="BP100" s="25"/>
      <c r="BQ100" s="25"/>
      <c r="BR100" s="25"/>
      <c r="BS100" s="25"/>
      <c r="BT100" s="25"/>
      <c r="BU100" s="25"/>
      <c r="BV100" s="25"/>
      <c r="BW100" s="25"/>
      <c r="BX100" s="25"/>
      <c r="BY100" s="25">
        <v>0</v>
      </c>
      <c r="BZ100" s="25"/>
      <c r="CA100" s="25"/>
      <c r="CB100" s="25">
        <v>0</v>
      </c>
      <c r="CC100" s="25"/>
      <c r="CD100" s="25"/>
      <c r="CE100" s="110">
        <v>0</v>
      </c>
      <c r="CF100" s="110"/>
      <c r="CG100" s="110"/>
      <c r="CH100" s="37"/>
      <c r="CI100" s="37"/>
      <c r="CJ100" s="37"/>
      <c r="CK100" s="25">
        <v>0</v>
      </c>
      <c r="CL100" s="26"/>
      <c r="CM100" s="26"/>
      <c r="CN100" s="26">
        <v>611890318</v>
      </c>
      <c r="CO100" s="26"/>
      <c r="CP100" s="26"/>
      <c r="CQ100" s="26"/>
      <c r="CR100" s="26"/>
      <c r="CS100" s="26"/>
      <c r="CT100" s="25">
        <f>Q100+T100+W100+Z100+AC100+AF100+AI100+AL100+AO100+AR100+AU100+AX100+BA100+BD100+BG100+BJ100+BM100+BP100+BS100+BV100+BY100+CB100+CE100+CH100+CK100+CQ100+CN100</f>
        <v>611890318</v>
      </c>
      <c r="CU100" s="25">
        <f>R100+U100+X100+AA100+AD100+AG100+AJ100+AM100+AP100+AS100+AV100+AY100+BB100+BE100+BH100+BK100+BN100+BQ100+BT100+BW100+BZ100+CC100+CF100+CI100+CL100+CR100+CO100</f>
        <v>0</v>
      </c>
      <c r="CV100" s="25">
        <f>S100+V100+Y100+AB100+AE100+AH100+AK100+AN100+AQ100+AT100+AW100+AZ100+BC100+BF100+BI100+BL100+BO100+BR100+BU100+BX100+CA100+CD100+CG100+CJ100+CM100+CS100+CP100</f>
        <v>0</v>
      </c>
    </row>
    <row r="101" spans="1:100" ht="15" x14ac:dyDescent="0.25">
      <c r="A101" s="21"/>
      <c r="B101" s="160"/>
      <c r="C101" s="929"/>
      <c r="D101" s="928"/>
      <c r="E101" s="929"/>
      <c r="F101" s="929"/>
      <c r="G101" s="154"/>
      <c r="H101" s="155"/>
      <c r="I101" s="255"/>
      <c r="J101" s="249"/>
      <c r="K101" s="249"/>
      <c r="L101" s="249"/>
      <c r="M101" s="256"/>
      <c r="N101" s="157"/>
      <c r="O101" s="255"/>
      <c r="P101" s="155"/>
      <c r="Q101" s="158">
        <f>SUM(Q92:Q100)</f>
        <v>0</v>
      </c>
      <c r="R101" s="158">
        <f t="shared" ref="R101:CC101" si="42">SUM(R92:R100)</f>
        <v>0</v>
      </c>
      <c r="S101" s="158">
        <f t="shared" si="42"/>
        <v>0</v>
      </c>
      <c r="T101" s="158">
        <f t="shared" si="42"/>
        <v>0</v>
      </c>
      <c r="U101" s="158">
        <f t="shared" si="42"/>
        <v>0</v>
      </c>
      <c r="V101" s="158">
        <f t="shared" si="42"/>
        <v>0</v>
      </c>
      <c r="W101" s="158">
        <f t="shared" si="42"/>
        <v>9074120547.2099991</v>
      </c>
      <c r="X101" s="158">
        <f t="shared" si="42"/>
        <v>5575258125.6099997</v>
      </c>
      <c r="Y101" s="158">
        <f t="shared" si="42"/>
        <v>4863576152.8099995</v>
      </c>
      <c r="Z101" s="158">
        <f t="shared" si="42"/>
        <v>0</v>
      </c>
      <c r="AA101" s="158">
        <f t="shared" si="42"/>
        <v>0</v>
      </c>
      <c r="AB101" s="158">
        <f t="shared" si="42"/>
        <v>0</v>
      </c>
      <c r="AC101" s="158">
        <f t="shared" si="42"/>
        <v>0</v>
      </c>
      <c r="AD101" s="158">
        <f t="shared" si="42"/>
        <v>0</v>
      </c>
      <c r="AE101" s="158">
        <f t="shared" si="42"/>
        <v>0</v>
      </c>
      <c r="AF101" s="158">
        <f t="shared" si="42"/>
        <v>0</v>
      </c>
      <c r="AG101" s="158">
        <f t="shared" si="42"/>
        <v>0</v>
      </c>
      <c r="AH101" s="158">
        <f t="shared" si="42"/>
        <v>0</v>
      </c>
      <c r="AI101" s="158">
        <f t="shared" si="42"/>
        <v>0</v>
      </c>
      <c r="AJ101" s="158">
        <f t="shared" si="42"/>
        <v>0</v>
      </c>
      <c r="AK101" s="158">
        <f t="shared" si="42"/>
        <v>0</v>
      </c>
      <c r="AL101" s="158">
        <f t="shared" si="42"/>
        <v>0</v>
      </c>
      <c r="AM101" s="158">
        <f t="shared" si="42"/>
        <v>0</v>
      </c>
      <c r="AN101" s="158">
        <f t="shared" si="42"/>
        <v>0</v>
      </c>
      <c r="AO101" s="158">
        <f t="shared" si="42"/>
        <v>0</v>
      </c>
      <c r="AP101" s="158">
        <f t="shared" si="42"/>
        <v>0</v>
      </c>
      <c r="AQ101" s="158">
        <f t="shared" si="42"/>
        <v>0</v>
      </c>
      <c r="AR101" s="158">
        <f t="shared" si="42"/>
        <v>0</v>
      </c>
      <c r="AS101" s="158">
        <f t="shared" si="42"/>
        <v>0</v>
      </c>
      <c r="AT101" s="158">
        <f t="shared" si="42"/>
        <v>0</v>
      </c>
      <c r="AU101" s="158">
        <f t="shared" si="42"/>
        <v>0</v>
      </c>
      <c r="AV101" s="158">
        <f t="shared" si="42"/>
        <v>0</v>
      </c>
      <c r="AW101" s="158">
        <f t="shared" si="42"/>
        <v>0</v>
      </c>
      <c r="AX101" s="158">
        <f t="shared" si="42"/>
        <v>0</v>
      </c>
      <c r="AY101" s="158">
        <f t="shared" si="42"/>
        <v>0</v>
      </c>
      <c r="AZ101" s="158">
        <f t="shared" si="42"/>
        <v>0</v>
      </c>
      <c r="BA101" s="158">
        <f t="shared" si="42"/>
        <v>0</v>
      </c>
      <c r="BB101" s="158">
        <f t="shared" si="42"/>
        <v>0</v>
      </c>
      <c r="BC101" s="158">
        <f t="shared" si="42"/>
        <v>0</v>
      </c>
      <c r="BD101" s="158">
        <f t="shared" si="42"/>
        <v>0</v>
      </c>
      <c r="BE101" s="158">
        <f t="shared" si="42"/>
        <v>0</v>
      </c>
      <c r="BF101" s="158">
        <f t="shared" si="42"/>
        <v>0</v>
      </c>
      <c r="BG101" s="158">
        <f t="shared" si="42"/>
        <v>0</v>
      </c>
      <c r="BH101" s="158">
        <f t="shared" si="42"/>
        <v>0</v>
      </c>
      <c r="BI101" s="158">
        <f t="shared" si="42"/>
        <v>0</v>
      </c>
      <c r="BJ101" s="158">
        <f t="shared" si="42"/>
        <v>0</v>
      </c>
      <c r="BK101" s="158">
        <f t="shared" si="42"/>
        <v>0</v>
      </c>
      <c r="BL101" s="158">
        <f t="shared" si="42"/>
        <v>0</v>
      </c>
      <c r="BM101" s="158">
        <f t="shared" si="42"/>
        <v>0</v>
      </c>
      <c r="BN101" s="158">
        <f t="shared" si="42"/>
        <v>0</v>
      </c>
      <c r="BO101" s="158">
        <f t="shared" si="42"/>
        <v>0</v>
      </c>
      <c r="BP101" s="158">
        <f t="shared" si="42"/>
        <v>0</v>
      </c>
      <c r="BQ101" s="158">
        <f t="shared" si="42"/>
        <v>0</v>
      </c>
      <c r="BR101" s="158">
        <f t="shared" si="42"/>
        <v>0</v>
      </c>
      <c r="BS101" s="158">
        <f t="shared" si="42"/>
        <v>0</v>
      </c>
      <c r="BT101" s="158">
        <f t="shared" si="42"/>
        <v>0</v>
      </c>
      <c r="BU101" s="158">
        <f t="shared" si="42"/>
        <v>0</v>
      </c>
      <c r="BV101" s="158">
        <f t="shared" si="42"/>
        <v>0</v>
      </c>
      <c r="BW101" s="158">
        <f t="shared" si="42"/>
        <v>0</v>
      </c>
      <c r="BX101" s="158">
        <f t="shared" si="42"/>
        <v>0</v>
      </c>
      <c r="BY101" s="158">
        <f t="shared" si="42"/>
        <v>0</v>
      </c>
      <c r="BZ101" s="158">
        <f t="shared" si="42"/>
        <v>0</v>
      </c>
      <c r="CA101" s="158">
        <f t="shared" si="42"/>
        <v>0</v>
      </c>
      <c r="CB101" s="158">
        <f t="shared" si="42"/>
        <v>0</v>
      </c>
      <c r="CC101" s="158">
        <f t="shared" si="42"/>
        <v>0</v>
      </c>
      <c r="CD101" s="158">
        <f t="shared" ref="CD101:CV101" si="43">SUM(CD92:CD100)</f>
        <v>0</v>
      </c>
      <c r="CE101" s="158">
        <f t="shared" si="43"/>
        <v>978300000</v>
      </c>
      <c r="CF101" s="158">
        <f t="shared" si="43"/>
        <v>772885935.79999995</v>
      </c>
      <c r="CG101" s="158">
        <f t="shared" si="43"/>
        <v>756393446.79999995</v>
      </c>
      <c r="CH101" s="158">
        <f t="shared" si="43"/>
        <v>0</v>
      </c>
      <c r="CI101" s="158">
        <f t="shared" si="43"/>
        <v>0</v>
      </c>
      <c r="CJ101" s="158">
        <f t="shared" si="43"/>
        <v>0</v>
      </c>
      <c r="CK101" s="158">
        <f t="shared" si="43"/>
        <v>56061566</v>
      </c>
      <c r="CL101" s="158">
        <f t="shared" si="43"/>
        <v>56061566</v>
      </c>
      <c r="CM101" s="158">
        <f t="shared" si="43"/>
        <v>56061566</v>
      </c>
      <c r="CN101" s="158">
        <f>SUM(CN92:CN100)</f>
        <v>739890318</v>
      </c>
      <c r="CO101" s="158">
        <f t="shared" si="43"/>
        <v>127997027</v>
      </c>
      <c r="CP101" s="158">
        <f t="shared" si="43"/>
        <v>127997027</v>
      </c>
      <c r="CQ101" s="158">
        <f t="shared" si="43"/>
        <v>0</v>
      </c>
      <c r="CR101" s="158">
        <f t="shared" si="43"/>
        <v>0</v>
      </c>
      <c r="CS101" s="158">
        <f t="shared" si="43"/>
        <v>0</v>
      </c>
      <c r="CT101" s="158">
        <f t="shared" si="43"/>
        <v>10848372431.209999</v>
      </c>
      <c r="CU101" s="158">
        <f t="shared" si="43"/>
        <v>6532202654.4099998</v>
      </c>
      <c r="CV101" s="158">
        <f t="shared" si="43"/>
        <v>5804028192.6099997</v>
      </c>
    </row>
    <row r="102" spans="1:100" ht="15" x14ac:dyDescent="0.25">
      <c r="A102" s="160"/>
      <c r="B102" s="161"/>
      <c r="C102" s="162"/>
      <c r="D102" s="161"/>
      <c r="E102" s="162"/>
      <c r="F102" s="162"/>
      <c r="G102" s="161"/>
      <c r="H102" s="162"/>
      <c r="I102" s="161"/>
      <c r="J102" s="257"/>
      <c r="K102" s="257"/>
      <c r="L102" s="257"/>
      <c r="M102" s="257"/>
      <c r="N102" s="164"/>
      <c r="O102" s="161"/>
      <c r="P102" s="162"/>
      <c r="Q102" s="165">
        <f t="shared" ref="Q102:CB102" si="44">Q101+Q89</f>
        <v>0</v>
      </c>
      <c r="R102" s="165">
        <f t="shared" si="44"/>
        <v>0</v>
      </c>
      <c r="S102" s="165">
        <f t="shared" si="44"/>
        <v>0</v>
      </c>
      <c r="T102" s="165">
        <f t="shared" si="44"/>
        <v>0</v>
      </c>
      <c r="U102" s="165">
        <f t="shared" si="44"/>
        <v>0</v>
      </c>
      <c r="V102" s="165">
        <f t="shared" si="44"/>
        <v>0</v>
      </c>
      <c r="W102" s="165">
        <f t="shared" si="44"/>
        <v>9074120547.2099991</v>
      </c>
      <c r="X102" s="165">
        <f t="shared" si="44"/>
        <v>5575258125.6099997</v>
      </c>
      <c r="Y102" s="165">
        <f t="shared" si="44"/>
        <v>4863576152.8099995</v>
      </c>
      <c r="Z102" s="165">
        <f t="shared" si="44"/>
        <v>0</v>
      </c>
      <c r="AA102" s="165">
        <f t="shared" si="44"/>
        <v>0</v>
      </c>
      <c r="AB102" s="165">
        <f t="shared" si="44"/>
        <v>0</v>
      </c>
      <c r="AC102" s="165">
        <f t="shared" si="44"/>
        <v>0</v>
      </c>
      <c r="AD102" s="165">
        <f t="shared" si="44"/>
        <v>0</v>
      </c>
      <c r="AE102" s="165">
        <f t="shared" si="44"/>
        <v>0</v>
      </c>
      <c r="AF102" s="165">
        <f t="shared" si="44"/>
        <v>636637204.06999993</v>
      </c>
      <c r="AG102" s="165">
        <f t="shared" si="44"/>
        <v>534121651.06999999</v>
      </c>
      <c r="AH102" s="165">
        <f t="shared" si="44"/>
        <v>376661651.06999999</v>
      </c>
      <c r="AI102" s="165">
        <f t="shared" si="44"/>
        <v>0</v>
      </c>
      <c r="AJ102" s="165">
        <f t="shared" si="44"/>
        <v>0</v>
      </c>
      <c r="AK102" s="165">
        <f t="shared" si="44"/>
        <v>0</v>
      </c>
      <c r="AL102" s="165">
        <f t="shared" si="44"/>
        <v>0</v>
      </c>
      <c r="AM102" s="165">
        <f t="shared" si="44"/>
        <v>0</v>
      </c>
      <c r="AN102" s="165">
        <f t="shared" si="44"/>
        <v>0</v>
      </c>
      <c r="AO102" s="165">
        <f t="shared" si="44"/>
        <v>0</v>
      </c>
      <c r="AP102" s="165">
        <f t="shared" si="44"/>
        <v>0</v>
      </c>
      <c r="AQ102" s="165">
        <f t="shared" si="44"/>
        <v>0</v>
      </c>
      <c r="AR102" s="165">
        <f t="shared" si="44"/>
        <v>0</v>
      </c>
      <c r="AS102" s="165">
        <f t="shared" si="44"/>
        <v>0</v>
      </c>
      <c r="AT102" s="165">
        <f t="shared" si="44"/>
        <v>0</v>
      </c>
      <c r="AU102" s="165">
        <f t="shared" si="44"/>
        <v>0</v>
      </c>
      <c r="AV102" s="165">
        <f t="shared" si="44"/>
        <v>0</v>
      </c>
      <c r="AW102" s="165">
        <f t="shared" si="44"/>
        <v>0</v>
      </c>
      <c r="AX102" s="165">
        <f t="shared" si="44"/>
        <v>0</v>
      </c>
      <c r="AY102" s="165">
        <f t="shared" si="44"/>
        <v>0</v>
      </c>
      <c r="AZ102" s="165">
        <f t="shared" si="44"/>
        <v>0</v>
      </c>
      <c r="BA102" s="165">
        <f t="shared" si="44"/>
        <v>0</v>
      </c>
      <c r="BB102" s="165">
        <f t="shared" si="44"/>
        <v>0</v>
      </c>
      <c r="BC102" s="165">
        <f t="shared" si="44"/>
        <v>0</v>
      </c>
      <c r="BD102" s="165">
        <f t="shared" si="44"/>
        <v>0</v>
      </c>
      <c r="BE102" s="165">
        <f t="shared" si="44"/>
        <v>0</v>
      </c>
      <c r="BF102" s="165">
        <f t="shared" si="44"/>
        <v>0</v>
      </c>
      <c r="BG102" s="165">
        <f t="shared" si="44"/>
        <v>0</v>
      </c>
      <c r="BH102" s="165">
        <f t="shared" si="44"/>
        <v>0</v>
      </c>
      <c r="BI102" s="165">
        <f t="shared" si="44"/>
        <v>0</v>
      </c>
      <c r="BJ102" s="165">
        <f t="shared" si="44"/>
        <v>0</v>
      </c>
      <c r="BK102" s="165">
        <f t="shared" si="44"/>
        <v>0</v>
      </c>
      <c r="BL102" s="165">
        <f t="shared" si="44"/>
        <v>0</v>
      </c>
      <c r="BM102" s="165">
        <f t="shared" si="44"/>
        <v>0</v>
      </c>
      <c r="BN102" s="165">
        <f t="shared" si="44"/>
        <v>0</v>
      </c>
      <c r="BO102" s="165">
        <f t="shared" si="44"/>
        <v>0</v>
      </c>
      <c r="BP102" s="165">
        <f t="shared" si="44"/>
        <v>0</v>
      </c>
      <c r="BQ102" s="165">
        <f t="shared" si="44"/>
        <v>0</v>
      </c>
      <c r="BR102" s="165">
        <f t="shared" si="44"/>
        <v>0</v>
      </c>
      <c r="BS102" s="165">
        <f t="shared" si="44"/>
        <v>0</v>
      </c>
      <c r="BT102" s="165">
        <f t="shared" si="44"/>
        <v>0</v>
      </c>
      <c r="BU102" s="165">
        <f t="shared" si="44"/>
        <v>0</v>
      </c>
      <c r="BV102" s="165">
        <f t="shared" si="44"/>
        <v>0</v>
      </c>
      <c r="BW102" s="165">
        <f t="shared" si="44"/>
        <v>0</v>
      </c>
      <c r="BX102" s="165">
        <f t="shared" si="44"/>
        <v>0</v>
      </c>
      <c r="BY102" s="165">
        <f t="shared" si="44"/>
        <v>0</v>
      </c>
      <c r="BZ102" s="165">
        <f t="shared" si="44"/>
        <v>0</v>
      </c>
      <c r="CA102" s="165">
        <f t="shared" si="44"/>
        <v>0</v>
      </c>
      <c r="CB102" s="165">
        <f t="shared" si="44"/>
        <v>0</v>
      </c>
      <c r="CC102" s="165">
        <f t="shared" ref="CC102:CS102" si="45">CC101+CC89</f>
        <v>0</v>
      </c>
      <c r="CD102" s="165">
        <f t="shared" si="45"/>
        <v>0</v>
      </c>
      <c r="CE102" s="165">
        <f t="shared" si="45"/>
        <v>1538701078</v>
      </c>
      <c r="CF102" s="165">
        <f t="shared" si="45"/>
        <v>1203756160.4499998</v>
      </c>
      <c r="CG102" s="165">
        <f t="shared" si="45"/>
        <v>1184463671.4499998</v>
      </c>
      <c r="CH102" s="165">
        <f t="shared" si="45"/>
        <v>0</v>
      </c>
      <c r="CI102" s="165">
        <f t="shared" si="45"/>
        <v>0</v>
      </c>
      <c r="CJ102" s="165">
        <f t="shared" si="45"/>
        <v>0</v>
      </c>
      <c r="CK102" s="165">
        <f t="shared" si="45"/>
        <v>56061566</v>
      </c>
      <c r="CL102" s="165">
        <f t="shared" si="45"/>
        <v>56061566</v>
      </c>
      <c r="CM102" s="165">
        <f t="shared" si="45"/>
        <v>56061566</v>
      </c>
      <c r="CN102" s="165">
        <f>CN101+CN89</f>
        <v>739890318</v>
      </c>
      <c r="CO102" s="165">
        <f t="shared" si="45"/>
        <v>127997027</v>
      </c>
      <c r="CP102" s="165">
        <f t="shared" si="45"/>
        <v>127997027</v>
      </c>
      <c r="CQ102" s="165">
        <f t="shared" si="45"/>
        <v>0</v>
      </c>
      <c r="CR102" s="165">
        <f t="shared" si="45"/>
        <v>0</v>
      </c>
      <c r="CS102" s="165">
        <f t="shared" si="45"/>
        <v>0</v>
      </c>
      <c r="CT102" s="165">
        <f>CT101+CT89</f>
        <v>12045410713.279999</v>
      </c>
      <c r="CU102" s="395">
        <f>CU101+CU89</f>
        <v>7497194530.1300001</v>
      </c>
      <c r="CV102" s="395">
        <f>CV101+CV89</f>
        <v>6608760068.3299999</v>
      </c>
    </row>
    <row r="103" spans="1:100" ht="15" x14ac:dyDescent="0.25">
      <c r="A103" s="258"/>
      <c r="B103" s="166"/>
      <c r="C103" s="167"/>
      <c r="D103" s="166"/>
      <c r="E103" s="167"/>
      <c r="F103" s="167"/>
      <c r="G103" s="166"/>
      <c r="H103" s="167"/>
      <c r="I103" s="166"/>
      <c r="J103" s="259"/>
      <c r="K103" s="259"/>
      <c r="L103" s="259"/>
      <c r="M103" s="259"/>
      <c r="N103" s="169"/>
      <c r="O103" s="166"/>
      <c r="P103" s="167"/>
      <c r="Q103" s="170">
        <f t="shared" ref="Q103:CB103" si="46">Q102</f>
        <v>0</v>
      </c>
      <c r="R103" s="170">
        <f t="shared" si="46"/>
        <v>0</v>
      </c>
      <c r="S103" s="170">
        <f t="shared" si="46"/>
        <v>0</v>
      </c>
      <c r="T103" s="170">
        <f t="shared" si="46"/>
        <v>0</v>
      </c>
      <c r="U103" s="170">
        <f t="shared" si="46"/>
        <v>0</v>
      </c>
      <c r="V103" s="170">
        <f t="shared" si="46"/>
        <v>0</v>
      </c>
      <c r="W103" s="170">
        <f t="shared" si="46"/>
        <v>9074120547.2099991</v>
      </c>
      <c r="X103" s="170">
        <f t="shared" si="46"/>
        <v>5575258125.6099997</v>
      </c>
      <c r="Y103" s="170">
        <f t="shared" si="46"/>
        <v>4863576152.8099995</v>
      </c>
      <c r="Z103" s="170">
        <f t="shared" si="46"/>
        <v>0</v>
      </c>
      <c r="AA103" s="170">
        <f t="shared" si="46"/>
        <v>0</v>
      </c>
      <c r="AB103" s="170">
        <f t="shared" si="46"/>
        <v>0</v>
      </c>
      <c r="AC103" s="170">
        <f t="shared" si="46"/>
        <v>0</v>
      </c>
      <c r="AD103" s="170">
        <f t="shared" si="46"/>
        <v>0</v>
      </c>
      <c r="AE103" s="170">
        <f t="shared" si="46"/>
        <v>0</v>
      </c>
      <c r="AF103" s="170">
        <f t="shared" si="46"/>
        <v>636637204.06999993</v>
      </c>
      <c r="AG103" s="170">
        <f t="shared" si="46"/>
        <v>534121651.06999999</v>
      </c>
      <c r="AH103" s="170">
        <f t="shared" si="46"/>
        <v>376661651.06999999</v>
      </c>
      <c r="AI103" s="170">
        <f t="shared" si="46"/>
        <v>0</v>
      </c>
      <c r="AJ103" s="170">
        <f t="shared" si="46"/>
        <v>0</v>
      </c>
      <c r="AK103" s="170">
        <f t="shared" si="46"/>
        <v>0</v>
      </c>
      <c r="AL103" s="170">
        <f t="shared" si="46"/>
        <v>0</v>
      </c>
      <c r="AM103" s="170">
        <f t="shared" si="46"/>
        <v>0</v>
      </c>
      <c r="AN103" s="170">
        <f t="shared" si="46"/>
        <v>0</v>
      </c>
      <c r="AO103" s="170">
        <f t="shared" si="46"/>
        <v>0</v>
      </c>
      <c r="AP103" s="170">
        <f t="shared" si="46"/>
        <v>0</v>
      </c>
      <c r="AQ103" s="170">
        <f t="shared" si="46"/>
        <v>0</v>
      </c>
      <c r="AR103" s="170">
        <f t="shared" si="46"/>
        <v>0</v>
      </c>
      <c r="AS103" s="170">
        <f t="shared" si="46"/>
        <v>0</v>
      </c>
      <c r="AT103" s="170">
        <f t="shared" si="46"/>
        <v>0</v>
      </c>
      <c r="AU103" s="170">
        <f t="shared" si="46"/>
        <v>0</v>
      </c>
      <c r="AV103" s="170">
        <f t="shared" si="46"/>
        <v>0</v>
      </c>
      <c r="AW103" s="170">
        <f t="shared" si="46"/>
        <v>0</v>
      </c>
      <c r="AX103" s="170">
        <f t="shared" si="46"/>
        <v>0</v>
      </c>
      <c r="AY103" s="170">
        <f t="shared" si="46"/>
        <v>0</v>
      </c>
      <c r="AZ103" s="170">
        <f t="shared" si="46"/>
        <v>0</v>
      </c>
      <c r="BA103" s="170">
        <f t="shared" si="46"/>
        <v>0</v>
      </c>
      <c r="BB103" s="170">
        <f t="shared" si="46"/>
        <v>0</v>
      </c>
      <c r="BC103" s="170">
        <f t="shared" si="46"/>
        <v>0</v>
      </c>
      <c r="BD103" s="170">
        <f t="shared" si="46"/>
        <v>0</v>
      </c>
      <c r="BE103" s="170">
        <f t="shared" si="46"/>
        <v>0</v>
      </c>
      <c r="BF103" s="170">
        <f t="shared" si="46"/>
        <v>0</v>
      </c>
      <c r="BG103" s="170">
        <f t="shared" si="46"/>
        <v>0</v>
      </c>
      <c r="BH103" s="170">
        <f t="shared" si="46"/>
        <v>0</v>
      </c>
      <c r="BI103" s="170">
        <f t="shared" si="46"/>
        <v>0</v>
      </c>
      <c r="BJ103" s="170">
        <f t="shared" si="46"/>
        <v>0</v>
      </c>
      <c r="BK103" s="170">
        <f t="shared" si="46"/>
        <v>0</v>
      </c>
      <c r="BL103" s="170">
        <f t="shared" si="46"/>
        <v>0</v>
      </c>
      <c r="BM103" s="170">
        <f t="shared" si="46"/>
        <v>0</v>
      </c>
      <c r="BN103" s="170">
        <f t="shared" si="46"/>
        <v>0</v>
      </c>
      <c r="BO103" s="170">
        <f t="shared" si="46"/>
        <v>0</v>
      </c>
      <c r="BP103" s="170">
        <f t="shared" si="46"/>
        <v>0</v>
      </c>
      <c r="BQ103" s="170">
        <f t="shared" si="46"/>
        <v>0</v>
      </c>
      <c r="BR103" s="170">
        <f t="shared" si="46"/>
        <v>0</v>
      </c>
      <c r="BS103" s="170">
        <f t="shared" si="46"/>
        <v>0</v>
      </c>
      <c r="BT103" s="170">
        <f t="shared" si="46"/>
        <v>0</v>
      </c>
      <c r="BU103" s="170">
        <f t="shared" si="46"/>
        <v>0</v>
      </c>
      <c r="BV103" s="170">
        <f t="shared" si="46"/>
        <v>0</v>
      </c>
      <c r="BW103" s="170">
        <f t="shared" si="46"/>
        <v>0</v>
      </c>
      <c r="BX103" s="170">
        <f t="shared" si="46"/>
        <v>0</v>
      </c>
      <c r="BY103" s="170">
        <f t="shared" si="46"/>
        <v>0</v>
      </c>
      <c r="BZ103" s="170">
        <f t="shared" si="46"/>
        <v>0</v>
      </c>
      <c r="CA103" s="170">
        <f t="shared" si="46"/>
        <v>0</v>
      </c>
      <c r="CB103" s="170">
        <f t="shared" si="46"/>
        <v>0</v>
      </c>
      <c r="CC103" s="170">
        <f t="shared" ref="CC103:CM103" si="47">CC102</f>
        <v>0</v>
      </c>
      <c r="CD103" s="170">
        <f t="shared" si="47"/>
        <v>0</v>
      </c>
      <c r="CE103" s="170">
        <f t="shared" si="47"/>
        <v>1538701078</v>
      </c>
      <c r="CF103" s="170">
        <f t="shared" si="47"/>
        <v>1203756160.4499998</v>
      </c>
      <c r="CG103" s="170">
        <f t="shared" si="47"/>
        <v>1184463671.4499998</v>
      </c>
      <c r="CH103" s="170">
        <f t="shared" si="47"/>
        <v>0</v>
      </c>
      <c r="CI103" s="170">
        <f t="shared" si="47"/>
        <v>0</v>
      </c>
      <c r="CJ103" s="170">
        <f t="shared" si="47"/>
        <v>0</v>
      </c>
      <c r="CK103" s="170">
        <f t="shared" si="47"/>
        <v>56061566</v>
      </c>
      <c r="CL103" s="170">
        <f t="shared" si="47"/>
        <v>56061566</v>
      </c>
      <c r="CM103" s="170">
        <f t="shared" si="47"/>
        <v>56061566</v>
      </c>
      <c r="CN103" s="170">
        <f t="shared" ref="CN103:CV103" si="48">CN102</f>
        <v>739890318</v>
      </c>
      <c r="CO103" s="170">
        <f t="shared" si="48"/>
        <v>127997027</v>
      </c>
      <c r="CP103" s="170">
        <f t="shared" si="48"/>
        <v>127997027</v>
      </c>
      <c r="CQ103" s="170">
        <f t="shared" si="48"/>
        <v>0</v>
      </c>
      <c r="CR103" s="170">
        <f t="shared" si="48"/>
        <v>0</v>
      </c>
      <c r="CS103" s="170">
        <f t="shared" si="48"/>
        <v>0</v>
      </c>
      <c r="CT103" s="170">
        <f t="shared" si="48"/>
        <v>12045410713.279999</v>
      </c>
      <c r="CU103" s="740">
        <f t="shared" si="48"/>
        <v>7497194530.1300001</v>
      </c>
      <c r="CV103" s="740">
        <f t="shared" si="48"/>
        <v>6608760068.3299999</v>
      </c>
    </row>
    <row r="104" spans="1:100" s="27" customFormat="1" ht="15" x14ac:dyDescent="0.25">
      <c r="A104" s="177"/>
      <c r="B104" s="177"/>
      <c r="C104" s="949"/>
      <c r="D104" s="177"/>
      <c r="E104" s="949"/>
      <c r="F104" s="949"/>
      <c r="G104" s="177"/>
      <c r="H104" s="949"/>
      <c r="I104" s="177"/>
      <c r="J104" s="260"/>
      <c r="K104" s="260"/>
      <c r="L104" s="260"/>
      <c r="M104" s="260"/>
      <c r="N104" s="179"/>
      <c r="O104" s="177"/>
      <c r="P104" s="949"/>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06"/>
      <c r="BF104" s="106"/>
      <c r="BG104" s="261"/>
      <c r="BH104" s="261"/>
      <c r="BI104" s="261"/>
      <c r="BJ104" s="261"/>
      <c r="BK104" s="261"/>
      <c r="BL104" s="261"/>
      <c r="BM104" s="261"/>
      <c r="BN104" s="261"/>
      <c r="BO104" s="261"/>
      <c r="BP104" s="261"/>
      <c r="BQ104" s="261"/>
      <c r="BR104" s="261"/>
      <c r="BS104" s="261"/>
      <c r="BT104" s="261"/>
      <c r="BU104" s="261"/>
      <c r="BV104" s="261"/>
      <c r="BW104" s="261"/>
      <c r="BX104" s="261"/>
      <c r="BY104" s="106"/>
      <c r="BZ104" s="106"/>
      <c r="CA104" s="106"/>
      <c r="CB104" s="180"/>
      <c r="CC104" s="180"/>
      <c r="CD104" s="180"/>
      <c r="CE104" s="182"/>
      <c r="CF104" s="182"/>
      <c r="CG104" s="182"/>
      <c r="CH104" s="183"/>
      <c r="CI104" s="183"/>
      <c r="CJ104" s="183"/>
      <c r="CK104" s="180"/>
      <c r="CL104" s="180"/>
      <c r="CM104" s="180"/>
      <c r="CN104" s="180"/>
      <c r="CO104" s="180"/>
      <c r="CP104" s="180"/>
      <c r="CQ104" s="180"/>
      <c r="CR104" s="180"/>
      <c r="CS104" s="180"/>
      <c r="CT104" s="25"/>
      <c r="CU104" s="739"/>
      <c r="CV104" s="739"/>
    </row>
    <row r="105" spans="1:100" s="27" customFormat="1" ht="15" x14ac:dyDescent="0.25">
      <c r="A105" s="139">
        <v>1</v>
      </c>
      <c r="B105" s="140" t="s">
        <v>136</v>
      </c>
      <c r="C105" s="141"/>
      <c r="D105" s="140"/>
      <c r="E105" s="140"/>
      <c r="F105" s="140"/>
      <c r="G105" s="140"/>
      <c r="H105" s="141"/>
      <c r="I105" s="140"/>
      <c r="J105" s="140"/>
      <c r="K105" s="140"/>
      <c r="L105" s="140"/>
      <c r="M105" s="140"/>
      <c r="N105" s="676"/>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2"/>
      <c r="CF105" s="142"/>
      <c r="CG105" s="142"/>
      <c r="CH105" s="140"/>
      <c r="CI105" s="140"/>
      <c r="CJ105" s="140"/>
      <c r="CK105" s="140"/>
      <c r="CL105" s="140"/>
      <c r="CM105" s="140"/>
      <c r="CN105" s="140"/>
      <c r="CO105" s="140"/>
      <c r="CP105" s="140"/>
      <c r="CQ105" s="140"/>
      <c r="CR105" s="140"/>
      <c r="CS105" s="140"/>
      <c r="CT105" s="540"/>
      <c r="CU105" s="741"/>
      <c r="CV105" s="741"/>
    </row>
    <row r="106" spans="1:100" s="27" customFormat="1" ht="15" x14ac:dyDescent="0.25">
      <c r="A106" s="185"/>
      <c r="B106" s="262">
        <v>1</v>
      </c>
      <c r="C106" s="993" t="s">
        <v>137</v>
      </c>
      <c r="D106" s="146"/>
      <c r="E106" s="146"/>
      <c r="F106" s="146"/>
      <c r="G106" s="146"/>
      <c r="H106" s="147"/>
      <c r="I106" s="146"/>
      <c r="J106" s="146"/>
      <c r="K106" s="146"/>
      <c r="L106" s="146"/>
      <c r="M106" s="146"/>
      <c r="N106" s="677"/>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8"/>
      <c r="CF106" s="148"/>
      <c r="CG106" s="148"/>
      <c r="CH106" s="146"/>
      <c r="CI106" s="146"/>
      <c r="CJ106" s="146"/>
      <c r="CK106" s="146"/>
      <c r="CL106" s="146"/>
      <c r="CM106" s="146"/>
      <c r="CN106" s="146"/>
      <c r="CO106" s="146"/>
      <c r="CP106" s="146"/>
      <c r="CQ106" s="146"/>
      <c r="CR106" s="146"/>
      <c r="CS106" s="146"/>
      <c r="CT106" s="526"/>
      <c r="CU106" s="674"/>
      <c r="CV106" s="674"/>
    </row>
    <row r="107" spans="1:100" s="27" customFormat="1" ht="15" x14ac:dyDescent="0.25">
      <c r="A107" s="19"/>
      <c r="B107" s="185"/>
      <c r="C107" s="240"/>
      <c r="D107" s="186"/>
      <c r="E107" s="186"/>
      <c r="F107" s="187"/>
      <c r="G107" s="188">
        <v>2</v>
      </c>
      <c r="H107" s="189" t="s">
        <v>138</v>
      </c>
      <c r="I107" s="189"/>
      <c r="J107" s="189"/>
      <c r="K107" s="189"/>
      <c r="L107" s="189"/>
      <c r="M107" s="189"/>
      <c r="N107" s="189"/>
      <c r="O107" s="189"/>
      <c r="P107" s="189"/>
      <c r="Q107" s="189"/>
      <c r="R107" s="189"/>
      <c r="S107" s="189"/>
      <c r="T107" s="189"/>
      <c r="U107" s="189"/>
      <c r="V107" s="189"/>
      <c r="W107" s="263"/>
      <c r="X107" s="263"/>
      <c r="Y107" s="263"/>
      <c r="Z107" s="263"/>
      <c r="AA107" s="263"/>
      <c r="AB107" s="263"/>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90"/>
      <c r="CF107" s="190"/>
      <c r="CG107" s="190"/>
      <c r="CH107" s="189"/>
      <c r="CI107" s="189"/>
      <c r="CJ107" s="189"/>
      <c r="CK107" s="189"/>
      <c r="CL107" s="189"/>
      <c r="CM107" s="189"/>
      <c r="CN107" s="189"/>
      <c r="CO107" s="189"/>
      <c r="CP107" s="189"/>
      <c r="CQ107" s="189"/>
      <c r="CR107" s="189"/>
      <c r="CS107" s="189"/>
      <c r="CT107" s="522"/>
      <c r="CU107" s="673"/>
      <c r="CV107" s="673"/>
    </row>
    <row r="108" spans="1:100" s="27" customFormat="1" ht="100.5" customHeight="1" x14ac:dyDescent="0.25">
      <c r="A108" s="19"/>
      <c r="B108" s="19"/>
      <c r="C108" s="927">
        <v>3</v>
      </c>
      <c r="D108" s="928" t="s">
        <v>139</v>
      </c>
      <c r="E108" s="929" t="s">
        <v>140</v>
      </c>
      <c r="F108" s="929" t="s">
        <v>141</v>
      </c>
      <c r="G108" s="22"/>
      <c r="H108" s="989">
        <v>9</v>
      </c>
      <c r="I108" s="928" t="s">
        <v>142</v>
      </c>
      <c r="J108" s="10">
        <v>35</v>
      </c>
      <c r="K108" s="10">
        <v>6</v>
      </c>
      <c r="L108" s="10">
        <v>6</v>
      </c>
      <c r="M108" s="50" t="s">
        <v>143</v>
      </c>
      <c r="N108" s="968" t="s">
        <v>144</v>
      </c>
      <c r="O108" s="928" t="s">
        <v>145</v>
      </c>
      <c r="P108" s="929" t="s">
        <v>34</v>
      </c>
      <c r="Q108" s="25">
        <v>0</v>
      </c>
      <c r="R108" s="25"/>
      <c r="S108" s="25"/>
      <c r="T108" s="25">
        <v>0</v>
      </c>
      <c r="U108" s="25"/>
      <c r="V108" s="25"/>
      <c r="W108" s="31">
        <v>716758463</v>
      </c>
      <c r="X108" s="31">
        <v>543127167.10000002</v>
      </c>
      <c r="Y108" s="31">
        <v>264415374.09999999</v>
      </c>
      <c r="Z108" s="25">
        <v>0</v>
      </c>
      <c r="AA108" s="25"/>
      <c r="AB108" s="25"/>
      <c r="AC108" s="25">
        <v>0</v>
      </c>
      <c r="AD108" s="25"/>
      <c r="AE108" s="25"/>
      <c r="AF108" s="25">
        <v>0</v>
      </c>
      <c r="AG108" s="25"/>
      <c r="AH108" s="25"/>
      <c r="AI108" s="25">
        <v>0</v>
      </c>
      <c r="AJ108" s="25"/>
      <c r="AK108" s="25"/>
      <c r="AL108" s="25"/>
      <c r="AM108" s="25"/>
      <c r="AN108" s="25"/>
      <c r="AO108" s="25"/>
      <c r="AP108" s="25"/>
      <c r="AQ108" s="25"/>
      <c r="AR108" s="25"/>
      <c r="AS108" s="25"/>
      <c r="AT108" s="25"/>
      <c r="AU108" s="25">
        <v>0</v>
      </c>
      <c r="AV108" s="25"/>
      <c r="AW108" s="25"/>
      <c r="AX108" s="25"/>
      <c r="AY108" s="25"/>
      <c r="AZ108" s="25"/>
      <c r="BA108" s="25">
        <v>0</v>
      </c>
      <c r="BB108" s="25"/>
      <c r="BC108" s="25"/>
      <c r="BD108" s="25">
        <v>0</v>
      </c>
      <c r="BE108" s="25"/>
      <c r="BF108" s="25"/>
      <c r="BG108" s="25"/>
      <c r="BH108" s="25"/>
      <c r="BI108" s="25"/>
      <c r="BJ108" s="25"/>
      <c r="BK108" s="25"/>
      <c r="BL108" s="25"/>
      <c r="BM108" s="25"/>
      <c r="BN108" s="25"/>
      <c r="BO108" s="25"/>
      <c r="BP108" s="25"/>
      <c r="BQ108" s="25"/>
      <c r="BR108" s="25"/>
      <c r="BS108" s="25"/>
      <c r="BT108" s="25"/>
      <c r="BU108" s="25"/>
      <c r="BV108" s="25"/>
      <c r="BW108" s="25"/>
      <c r="BX108" s="25"/>
      <c r="BY108" s="25">
        <v>0</v>
      </c>
      <c r="BZ108" s="25"/>
      <c r="CA108" s="25"/>
      <c r="CB108" s="31">
        <f>110991608+3283223</f>
        <v>114274831</v>
      </c>
      <c r="CC108" s="31">
        <v>108539016</v>
      </c>
      <c r="CD108" s="31">
        <v>108539016</v>
      </c>
      <c r="CE108" s="111"/>
      <c r="CF108" s="111"/>
      <c r="CG108" s="111"/>
      <c r="CH108" s="31"/>
      <c r="CI108" s="31"/>
      <c r="CJ108" s="31"/>
      <c r="CK108" s="25">
        <v>0</v>
      </c>
      <c r="CL108" s="26"/>
      <c r="CM108" s="26"/>
      <c r="CN108" s="26">
        <v>0</v>
      </c>
      <c r="CO108" s="26"/>
      <c r="CP108" s="26"/>
      <c r="CQ108" s="26"/>
      <c r="CR108" s="26"/>
      <c r="CS108" s="26"/>
      <c r="CT108" s="25">
        <f t="shared" ref="CT108:CV113" si="49">Q108+T108+W108+Z108+AC108+AF108+AI108+AL108+AO108+AR108+AU108+AX108+BA108+BD108+BG108+BJ108+BM108+BP108+BS108+BV108+BY108+CB108+CE108+CH108+CK108+CQ108+CN108</f>
        <v>831033294</v>
      </c>
      <c r="CU108" s="25">
        <f t="shared" si="49"/>
        <v>651666183.10000002</v>
      </c>
      <c r="CV108" s="25">
        <f t="shared" si="49"/>
        <v>372954390.10000002</v>
      </c>
    </row>
    <row r="109" spans="1:100" s="27" customFormat="1" ht="108.75" customHeight="1" x14ac:dyDescent="0.25">
      <c r="A109" s="19"/>
      <c r="B109" s="19"/>
      <c r="C109" s="927">
        <v>3</v>
      </c>
      <c r="D109" s="928" t="s">
        <v>139</v>
      </c>
      <c r="E109" s="929" t="s">
        <v>140</v>
      </c>
      <c r="F109" s="929" t="s">
        <v>141</v>
      </c>
      <c r="G109" s="28"/>
      <c r="H109" s="929">
        <v>9</v>
      </c>
      <c r="I109" s="928" t="s">
        <v>142</v>
      </c>
      <c r="J109" s="10">
        <v>35</v>
      </c>
      <c r="K109" s="10">
        <v>6</v>
      </c>
      <c r="L109" s="10">
        <v>6</v>
      </c>
      <c r="M109" s="50" t="s">
        <v>143</v>
      </c>
      <c r="N109" s="968" t="s">
        <v>146</v>
      </c>
      <c r="O109" s="928" t="s">
        <v>147</v>
      </c>
      <c r="P109" s="929" t="s">
        <v>34</v>
      </c>
      <c r="Q109" s="25"/>
      <c r="R109" s="25"/>
      <c r="S109" s="25"/>
      <c r="T109" s="25"/>
      <c r="U109" s="25"/>
      <c r="V109" s="25"/>
      <c r="W109" s="25">
        <v>93241537</v>
      </c>
      <c r="X109" s="25">
        <v>30540329.079999998</v>
      </c>
      <c r="Y109" s="25">
        <v>30540329.079999998</v>
      </c>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v>0</v>
      </c>
      <c r="BZ109" s="26"/>
      <c r="CA109" s="26"/>
      <c r="CB109" s="51">
        <v>646707933</v>
      </c>
      <c r="CC109" s="51">
        <v>646707933</v>
      </c>
      <c r="CD109" s="51">
        <v>646707933</v>
      </c>
      <c r="CE109" s="112"/>
      <c r="CF109" s="112"/>
      <c r="CG109" s="112"/>
      <c r="CH109" s="9"/>
      <c r="CI109" s="9"/>
      <c r="CJ109" s="9"/>
      <c r="CK109" s="25"/>
      <c r="CL109" s="26"/>
      <c r="CM109" s="26"/>
      <c r="CN109" s="26"/>
      <c r="CO109" s="26"/>
      <c r="CP109" s="26"/>
      <c r="CQ109" s="26"/>
      <c r="CR109" s="26"/>
      <c r="CS109" s="26"/>
      <c r="CT109" s="25">
        <f t="shared" si="49"/>
        <v>739949470</v>
      </c>
      <c r="CU109" s="25">
        <f t="shared" si="49"/>
        <v>677248262.08000004</v>
      </c>
      <c r="CV109" s="25">
        <f t="shared" si="49"/>
        <v>677248262.08000004</v>
      </c>
    </row>
    <row r="110" spans="1:100" s="27" customFormat="1" ht="119.25" customHeight="1" x14ac:dyDescent="0.25">
      <c r="A110" s="19"/>
      <c r="B110" s="19"/>
      <c r="C110" s="927">
        <v>3</v>
      </c>
      <c r="D110" s="928" t="s">
        <v>139</v>
      </c>
      <c r="E110" s="929" t="s">
        <v>140</v>
      </c>
      <c r="F110" s="929" t="s">
        <v>141</v>
      </c>
      <c r="G110" s="28"/>
      <c r="H110" s="929">
        <v>10</v>
      </c>
      <c r="I110" s="928" t="s">
        <v>148</v>
      </c>
      <c r="J110" s="52">
        <v>1</v>
      </c>
      <c r="K110" s="52">
        <v>5</v>
      </c>
      <c r="L110" s="52">
        <v>5</v>
      </c>
      <c r="M110" s="50" t="s">
        <v>143</v>
      </c>
      <c r="N110" s="968" t="s">
        <v>149</v>
      </c>
      <c r="O110" s="928" t="s">
        <v>150</v>
      </c>
      <c r="P110" s="929" t="s">
        <v>34</v>
      </c>
      <c r="Q110" s="25">
        <v>0</v>
      </c>
      <c r="R110" s="25"/>
      <c r="S110" s="25"/>
      <c r="T110" s="25">
        <v>0</v>
      </c>
      <c r="U110" s="25"/>
      <c r="V110" s="25"/>
      <c r="W110" s="25">
        <v>0</v>
      </c>
      <c r="X110" s="25"/>
      <c r="Y110" s="25"/>
      <c r="Z110" s="25">
        <v>0</v>
      </c>
      <c r="AA110" s="25"/>
      <c r="AB110" s="25"/>
      <c r="AC110" s="25">
        <v>0</v>
      </c>
      <c r="AD110" s="25"/>
      <c r="AE110" s="25"/>
      <c r="AF110" s="25">
        <v>0</v>
      </c>
      <c r="AG110" s="25"/>
      <c r="AH110" s="25"/>
      <c r="AI110" s="25">
        <v>0</v>
      </c>
      <c r="AJ110" s="25"/>
      <c r="AK110" s="25"/>
      <c r="AL110" s="25"/>
      <c r="AM110" s="25"/>
      <c r="AN110" s="25"/>
      <c r="AO110" s="25"/>
      <c r="AP110" s="25"/>
      <c r="AQ110" s="25"/>
      <c r="AR110" s="25"/>
      <c r="AS110" s="25"/>
      <c r="AT110" s="25"/>
      <c r="AU110" s="25">
        <v>0</v>
      </c>
      <c r="AV110" s="25"/>
      <c r="AW110" s="25"/>
      <c r="AX110" s="25"/>
      <c r="AY110" s="25"/>
      <c r="AZ110" s="25"/>
      <c r="BA110" s="25">
        <v>0</v>
      </c>
      <c r="BB110" s="25"/>
      <c r="BC110" s="25"/>
      <c r="BD110" s="25">
        <v>0</v>
      </c>
      <c r="BE110" s="25"/>
      <c r="BF110" s="25"/>
      <c r="BG110" s="25"/>
      <c r="BH110" s="25"/>
      <c r="BI110" s="25"/>
      <c r="BJ110" s="25"/>
      <c r="BK110" s="25"/>
      <c r="BL110" s="25"/>
      <c r="BM110" s="25"/>
      <c r="BN110" s="25"/>
      <c r="BO110" s="25"/>
      <c r="BP110" s="25"/>
      <c r="BQ110" s="25"/>
      <c r="BR110" s="25"/>
      <c r="BS110" s="25"/>
      <c r="BT110" s="25"/>
      <c r="BU110" s="25"/>
      <c r="BV110" s="25"/>
      <c r="BW110" s="25"/>
      <c r="BX110" s="25"/>
      <c r="BY110" s="25">
        <v>0</v>
      </c>
      <c r="BZ110" s="26"/>
      <c r="CA110" s="26"/>
      <c r="CB110" s="51">
        <v>49717418</v>
      </c>
      <c r="CC110" s="51">
        <v>49717418</v>
      </c>
      <c r="CD110" s="51">
        <v>49717418</v>
      </c>
      <c r="CE110" s="110">
        <v>0</v>
      </c>
      <c r="CF110" s="110"/>
      <c r="CG110" s="110"/>
      <c r="CH110" s="37"/>
      <c r="CI110" s="37"/>
      <c r="CJ110" s="37"/>
      <c r="CK110" s="25">
        <v>0</v>
      </c>
      <c r="CL110" s="26"/>
      <c r="CM110" s="26"/>
      <c r="CN110" s="26">
        <v>0</v>
      </c>
      <c r="CO110" s="26"/>
      <c r="CP110" s="26"/>
      <c r="CQ110" s="26"/>
      <c r="CR110" s="26"/>
      <c r="CS110" s="26"/>
      <c r="CT110" s="25">
        <f t="shared" si="49"/>
        <v>49717418</v>
      </c>
      <c r="CU110" s="25">
        <f t="shared" si="49"/>
        <v>49717418</v>
      </c>
      <c r="CV110" s="25">
        <f t="shared" si="49"/>
        <v>49717418</v>
      </c>
    </row>
    <row r="111" spans="1:100" s="46" customFormat="1" ht="81" customHeight="1" x14ac:dyDescent="0.25">
      <c r="A111" s="19"/>
      <c r="B111" s="19"/>
      <c r="C111" s="927">
        <v>3</v>
      </c>
      <c r="D111" s="928" t="s">
        <v>139</v>
      </c>
      <c r="E111" s="929" t="s">
        <v>140</v>
      </c>
      <c r="F111" s="929" t="s">
        <v>141</v>
      </c>
      <c r="G111" s="28"/>
      <c r="H111" s="929">
        <v>11</v>
      </c>
      <c r="I111" s="928" t="s">
        <v>151</v>
      </c>
      <c r="J111" s="10">
        <v>1</v>
      </c>
      <c r="K111" s="10">
        <v>1</v>
      </c>
      <c r="L111" s="10">
        <v>0.5</v>
      </c>
      <c r="M111" s="50" t="s">
        <v>143</v>
      </c>
      <c r="N111" s="968" t="s">
        <v>152</v>
      </c>
      <c r="O111" s="53" t="s">
        <v>153</v>
      </c>
      <c r="P111" s="929" t="s">
        <v>38</v>
      </c>
      <c r="Q111" s="25">
        <v>0</v>
      </c>
      <c r="R111" s="25"/>
      <c r="S111" s="25"/>
      <c r="T111" s="25">
        <v>0</v>
      </c>
      <c r="U111" s="25"/>
      <c r="V111" s="25"/>
      <c r="W111" s="25">
        <v>0</v>
      </c>
      <c r="X111" s="25"/>
      <c r="Y111" s="25"/>
      <c r="Z111" s="25">
        <v>0</v>
      </c>
      <c r="AA111" s="25"/>
      <c r="AB111" s="25"/>
      <c r="AC111" s="25">
        <v>0</v>
      </c>
      <c r="AD111" s="25"/>
      <c r="AE111" s="25"/>
      <c r="AF111" s="25">
        <v>0</v>
      </c>
      <c r="AG111" s="25"/>
      <c r="AH111" s="25"/>
      <c r="AI111" s="25">
        <v>0</v>
      </c>
      <c r="AJ111" s="25"/>
      <c r="AK111" s="25"/>
      <c r="AL111" s="25"/>
      <c r="AM111" s="25"/>
      <c r="AN111" s="25"/>
      <c r="AO111" s="25"/>
      <c r="AP111" s="25"/>
      <c r="AQ111" s="25"/>
      <c r="AR111" s="25"/>
      <c r="AS111" s="25"/>
      <c r="AT111" s="25"/>
      <c r="AU111" s="25">
        <v>0</v>
      </c>
      <c r="AV111" s="25"/>
      <c r="AW111" s="25"/>
      <c r="AX111" s="25"/>
      <c r="AY111" s="25"/>
      <c r="AZ111" s="25"/>
      <c r="BA111" s="25">
        <v>0</v>
      </c>
      <c r="BB111" s="25"/>
      <c r="BC111" s="25"/>
      <c r="BD111" s="25">
        <v>0</v>
      </c>
      <c r="BE111" s="25"/>
      <c r="BF111" s="25"/>
      <c r="BG111" s="25"/>
      <c r="BH111" s="25"/>
      <c r="BI111" s="25"/>
      <c r="BJ111" s="25"/>
      <c r="BK111" s="25"/>
      <c r="BL111" s="25"/>
      <c r="BM111" s="25"/>
      <c r="BN111" s="25"/>
      <c r="BO111" s="25"/>
      <c r="BP111" s="25"/>
      <c r="BQ111" s="25"/>
      <c r="BR111" s="25"/>
      <c r="BS111" s="25"/>
      <c r="BT111" s="25"/>
      <c r="BU111" s="25"/>
      <c r="BV111" s="25"/>
      <c r="BW111" s="25"/>
      <c r="BX111" s="25"/>
      <c r="BY111" s="25">
        <v>0</v>
      </c>
      <c r="BZ111" s="26"/>
      <c r="CA111" s="26"/>
      <c r="CB111" s="51">
        <v>324800000</v>
      </c>
      <c r="CC111" s="51">
        <v>324800000</v>
      </c>
      <c r="CD111" s="51">
        <v>324800000</v>
      </c>
      <c r="CE111" s="110">
        <v>0</v>
      </c>
      <c r="CF111" s="110"/>
      <c r="CG111" s="110"/>
      <c r="CH111" s="37"/>
      <c r="CI111" s="37"/>
      <c r="CJ111" s="37"/>
      <c r="CK111" s="25">
        <v>0</v>
      </c>
      <c r="CL111" s="26"/>
      <c r="CM111" s="26"/>
      <c r="CN111" s="26">
        <v>0</v>
      </c>
      <c r="CO111" s="26"/>
      <c r="CP111" s="26"/>
      <c r="CQ111" s="26"/>
      <c r="CR111" s="26"/>
      <c r="CS111" s="26"/>
      <c r="CT111" s="25">
        <f t="shared" si="49"/>
        <v>324800000</v>
      </c>
      <c r="CU111" s="25">
        <f t="shared" si="49"/>
        <v>324800000</v>
      </c>
      <c r="CV111" s="25">
        <f t="shared" si="49"/>
        <v>324800000</v>
      </c>
    </row>
    <row r="112" spans="1:100" s="27" customFormat="1" ht="114" customHeight="1" x14ac:dyDescent="0.25">
      <c r="A112" s="19"/>
      <c r="B112" s="19"/>
      <c r="C112" s="927">
        <v>3</v>
      </c>
      <c r="D112" s="928" t="s">
        <v>139</v>
      </c>
      <c r="E112" s="929" t="s">
        <v>140</v>
      </c>
      <c r="F112" s="929" t="s">
        <v>141</v>
      </c>
      <c r="G112" s="28"/>
      <c r="H112" s="929">
        <v>12</v>
      </c>
      <c r="I112" s="928" t="s">
        <v>154</v>
      </c>
      <c r="J112" s="10">
        <v>1</v>
      </c>
      <c r="K112" s="10">
        <v>3</v>
      </c>
      <c r="L112" s="10">
        <v>2</v>
      </c>
      <c r="M112" s="50" t="s">
        <v>143</v>
      </c>
      <c r="N112" s="968" t="s">
        <v>155</v>
      </c>
      <c r="O112" s="53" t="s">
        <v>156</v>
      </c>
      <c r="P112" s="929" t="s">
        <v>38</v>
      </c>
      <c r="Q112" s="25">
        <v>0</v>
      </c>
      <c r="R112" s="25"/>
      <c r="S112" s="25"/>
      <c r="T112" s="25">
        <v>0</v>
      </c>
      <c r="U112" s="25"/>
      <c r="V112" s="25"/>
      <c r="W112" s="25">
        <v>0</v>
      </c>
      <c r="X112" s="25"/>
      <c r="Y112" s="25"/>
      <c r="Z112" s="25">
        <v>0</v>
      </c>
      <c r="AA112" s="25"/>
      <c r="AB112" s="25"/>
      <c r="AC112" s="25">
        <v>0</v>
      </c>
      <c r="AD112" s="25"/>
      <c r="AE112" s="25"/>
      <c r="AF112" s="25">
        <v>0</v>
      </c>
      <c r="AG112" s="25"/>
      <c r="AH112" s="25"/>
      <c r="AI112" s="25">
        <v>0</v>
      </c>
      <c r="AJ112" s="25"/>
      <c r="AK112" s="25"/>
      <c r="AL112" s="25"/>
      <c r="AM112" s="25"/>
      <c r="AN112" s="25"/>
      <c r="AO112" s="25"/>
      <c r="AP112" s="25"/>
      <c r="AQ112" s="25"/>
      <c r="AR112" s="25"/>
      <c r="AS112" s="25"/>
      <c r="AT112" s="25"/>
      <c r="AU112" s="25">
        <v>0</v>
      </c>
      <c r="AV112" s="25"/>
      <c r="AW112" s="25"/>
      <c r="AX112" s="25"/>
      <c r="AY112" s="25"/>
      <c r="AZ112" s="25"/>
      <c r="BA112" s="25">
        <v>0</v>
      </c>
      <c r="BB112" s="25"/>
      <c r="BC112" s="25"/>
      <c r="BD112" s="25">
        <v>0</v>
      </c>
      <c r="BE112" s="25"/>
      <c r="BF112" s="25"/>
      <c r="BG112" s="25"/>
      <c r="BH112" s="25"/>
      <c r="BI112" s="25"/>
      <c r="BJ112" s="25"/>
      <c r="BK112" s="25"/>
      <c r="BL112" s="25"/>
      <c r="BM112" s="25"/>
      <c r="BN112" s="25"/>
      <c r="BO112" s="25"/>
      <c r="BP112" s="25"/>
      <c r="BQ112" s="25"/>
      <c r="BR112" s="25"/>
      <c r="BS112" s="25"/>
      <c r="BT112" s="25"/>
      <c r="BU112" s="25"/>
      <c r="BV112" s="25"/>
      <c r="BW112" s="25"/>
      <c r="BX112" s="25"/>
      <c r="BY112" s="25">
        <v>0</v>
      </c>
      <c r="BZ112" s="26"/>
      <c r="CA112" s="26"/>
      <c r="CB112" s="51">
        <v>1032300000</v>
      </c>
      <c r="CC112" s="51">
        <v>1032300000</v>
      </c>
      <c r="CD112" s="51">
        <v>1032300000</v>
      </c>
      <c r="CE112" s="110">
        <v>0</v>
      </c>
      <c r="CF112" s="110"/>
      <c r="CG112" s="110"/>
      <c r="CH112" s="37"/>
      <c r="CI112" s="37"/>
      <c r="CJ112" s="37"/>
      <c r="CK112" s="25">
        <v>0</v>
      </c>
      <c r="CL112" s="26"/>
      <c r="CM112" s="26"/>
      <c r="CN112" s="26">
        <v>0</v>
      </c>
      <c r="CO112" s="26"/>
      <c r="CP112" s="26"/>
      <c r="CQ112" s="26"/>
      <c r="CR112" s="26"/>
      <c r="CS112" s="26"/>
      <c r="CT112" s="25">
        <f t="shared" si="49"/>
        <v>1032300000</v>
      </c>
      <c r="CU112" s="25">
        <f t="shared" si="49"/>
        <v>1032300000</v>
      </c>
      <c r="CV112" s="25">
        <f t="shared" si="49"/>
        <v>1032300000</v>
      </c>
    </row>
    <row r="113" spans="1:100" s="27" customFormat="1" ht="104.25" customHeight="1" x14ac:dyDescent="0.25">
      <c r="A113" s="19"/>
      <c r="B113" s="19"/>
      <c r="C113" s="927">
        <v>3</v>
      </c>
      <c r="D113" s="928" t="s">
        <v>139</v>
      </c>
      <c r="E113" s="929" t="s">
        <v>140</v>
      </c>
      <c r="F113" s="929" t="s">
        <v>141</v>
      </c>
      <c r="G113" s="29"/>
      <c r="H113" s="929">
        <v>13</v>
      </c>
      <c r="I113" s="928" t="s">
        <v>157</v>
      </c>
      <c r="J113" s="10">
        <v>0</v>
      </c>
      <c r="K113" s="10">
        <v>2</v>
      </c>
      <c r="L113" s="10">
        <v>0</v>
      </c>
      <c r="M113" s="50" t="s">
        <v>143</v>
      </c>
      <c r="N113" s="968" t="s">
        <v>158</v>
      </c>
      <c r="O113" s="53" t="s">
        <v>159</v>
      </c>
      <c r="P113" s="929" t="s">
        <v>38</v>
      </c>
      <c r="Q113" s="25">
        <v>0</v>
      </c>
      <c r="R113" s="25"/>
      <c r="S113" s="25"/>
      <c r="T113" s="25">
        <v>0</v>
      </c>
      <c r="U113" s="25"/>
      <c r="V113" s="25"/>
      <c r="W113" s="25">
        <v>0</v>
      </c>
      <c r="X113" s="25"/>
      <c r="Y113" s="25"/>
      <c r="Z113" s="25">
        <v>0</v>
      </c>
      <c r="AA113" s="25"/>
      <c r="AB113" s="25"/>
      <c r="AC113" s="25">
        <v>0</v>
      </c>
      <c r="AD113" s="25"/>
      <c r="AE113" s="25"/>
      <c r="AF113" s="25">
        <v>0</v>
      </c>
      <c r="AG113" s="25"/>
      <c r="AH113" s="25"/>
      <c r="AI113" s="25">
        <v>0</v>
      </c>
      <c r="AJ113" s="25"/>
      <c r="AK113" s="25"/>
      <c r="AL113" s="25"/>
      <c r="AM113" s="25"/>
      <c r="AN113" s="25"/>
      <c r="AO113" s="25"/>
      <c r="AP113" s="25"/>
      <c r="AQ113" s="25"/>
      <c r="AR113" s="25"/>
      <c r="AS113" s="25"/>
      <c r="AT113" s="25"/>
      <c r="AU113" s="25">
        <v>0</v>
      </c>
      <c r="AV113" s="25"/>
      <c r="AW113" s="25"/>
      <c r="AX113" s="25"/>
      <c r="AY113" s="25"/>
      <c r="AZ113" s="25"/>
      <c r="BA113" s="25">
        <v>0</v>
      </c>
      <c r="BB113" s="25"/>
      <c r="BC113" s="25"/>
      <c r="BD113" s="25">
        <v>0</v>
      </c>
      <c r="BE113" s="25"/>
      <c r="BF113" s="25"/>
      <c r="BG113" s="25"/>
      <c r="BH113" s="25"/>
      <c r="BI113" s="25"/>
      <c r="BJ113" s="25"/>
      <c r="BK113" s="25"/>
      <c r="BL113" s="25"/>
      <c r="BM113" s="25"/>
      <c r="BN113" s="25"/>
      <c r="BO113" s="25"/>
      <c r="BP113" s="25"/>
      <c r="BQ113" s="25"/>
      <c r="BR113" s="25"/>
      <c r="BS113" s="25"/>
      <c r="BT113" s="25"/>
      <c r="BU113" s="25"/>
      <c r="BV113" s="25"/>
      <c r="BW113" s="25"/>
      <c r="BX113" s="25"/>
      <c r="BY113" s="25">
        <v>0</v>
      </c>
      <c r="BZ113" s="26"/>
      <c r="CA113" s="26"/>
      <c r="CB113" s="51">
        <v>265000000</v>
      </c>
      <c r="CC113" s="51">
        <v>265000000</v>
      </c>
      <c r="CD113" s="51">
        <v>265000000</v>
      </c>
      <c r="CE113" s="110">
        <v>0</v>
      </c>
      <c r="CF113" s="110"/>
      <c r="CG113" s="110"/>
      <c r="CH113" s="37"/>
      <c r="CI113" s="37"/>
      <c r="CJ113" s="37"/>
      <c r="CK113" s="25">
        <v>0</v>
      </c>
      <c r="CL113" s="26"/>
      <c r="CM113" s="26"/>
      <c r="CN113" s="26">
        <v>0</v>
      </c>
      <c r="CO113" s="26"/>
      <c r="CP113" s="26"/>
      <c r="CQ113" s="26"/>
      <c r="CR113" s="26"/>
      <c r="CS113" s="26"/>
      <c r="CT113" s="25">
        <f t="shared" si="49"/>
        <v>265000000</v>
      </c>
      <c r="CU113" s="25">
        <f t="shared" si="49"/>
        <v>265000000</v>
      </c>
      <c r="CV113" s="25">
        <f t="shared" si="49"/>
        <v>265000000</v>
      </c>
    </row>
    <row r="114" spans="1:100" s="27" customFormat="1" ht="15" x14ac:dyDescent="0.25">
      <c r="A114" s="19"/>
      <c r="B114" s="152"/>
      <c r="C114" s="927"/>
      <c r="D114" s="928"/>
      <c r="E114" s="929"/>
      <c r="F114" s="929"/>
      <c r="G114" s="264"/>
      <c r="H114" s="265"/>
      <c r="I114" s="264"/>
      <c r="J114" s="266"/>
      <c r="K114" s="266"/>
      <c r="L114" s="266"/>
      <c r="M114" s="266"/>
      <c r="N114" s="267"/>
      <c r="O114" s="268"/>
      <c r="P114" s="265"/>
      <c r="Q114" s="269">
        <f>SUM(Q108:Q113)</f>
        <v>0</v>
      </c>
      <c r="R114" s="269">
        <f t="shared" ref="R114:CC114" si="50">SUM(R108:R113)</f>
        <v>0</v>
      </c>
      <c r="S114" s="269">
        <f t="shared" si="50"/>
        <v>0</v>
      </c>
      <c r="T114" s="269">
        <f t="shared" si="50"/>
        <v>0</v>
      </c>
      <c r="U114" s="269">
        <f t="shared" si="50"/>
        <v>0</v>
      </c>
      <c r="V114" s="269">
        <f t="shared" si="50"/>
        <v>0</v>
      </c>
      <c r="W114" s="269">
        <f t="shared" si="50"/>
        <v>810000000</v>
      </c>
      <c r="X114" s="269">
        <f t="shared" si="50"/>
        <v>573667496.18000007</v>
      </c>
      <c r="Y114" s="269">
        <f t="shared" si="50"/>
        <v>294955703.18000001</v>
      </c>
      <c r="Z114" s="269">
        <f t="shared" si="50"/>
        <v>0</v>
      </c>
      <c r="AA114" s="269">
        <f t="shared" si="50"/>
        <v>0</v>
      </c>
      <c r="AB114" s="269">
        <f t="shared" si="50"/>
        <v>0</v>
      </c>
      <c r="AC114" s="269">
        <f t="shared" si="50"/>
        <v>0</v>
      </c>
      <c r="AD114" s="269">
        <f t="shared" si="50"/>
        <v>0</v>
      </c>
      <c r="AE114" s="269">
        <f t="shared" si="50"/>
        <v>0</v>
      </c>
      <c r="AF114" s="269">
        <f t="shared" si="50"/>
        <v>0</v>
      </c>
      <c r="AG114" s="269">
        <f t="shared" si="50"/>
        <v>0</v>
      </c>
      <c r="AH114" s="269">
        <f t="shared" si="50"/>
        <v>0</v>
      </c>
      <c r="AI114" s="269">
        <f t="shared" si="50"/>
        <v>0</v>
      </c>
      <c r="AJ114" s="269">
        <f t="shared" si="50"/>
        <v>0</v>
      </c>
      <c r="AK114" s="269">
        <f t="shared" si="50"/>
        <v>0</v>
      </c>
      <c r="AL114" s="269">
        <f t="shared" si="50"/>
        <v>0</v>
      </c>
      <c r="AM114" s="269">
        <f t="shared" si="50"/>
        <v>0</v>
      </c>
      <c r="AN114" s="269">
        <f t="shared" si="50"/>
        <v>0</v>
      </c>
      <c r="AO114" s="269">
        <f t="shared" si="50"/>
        <v>0</v>
      </c>
      <c r="AP114" s="269">
        <f t="shared" si="50"/>
        <v>0</v>
      </c>
      <c r="AQ114" s="269">
        <f t="shared" si="50"/>
        <v>0</v>
      </c>
      <c r="AR114" s="269">
        <f t="shared" si="50"/>
        <v>0</v>
      </c>
      <c r="AS114" s="269">
        <f t="shared" si="50"/>
        <v>0</v>
      </c>
      <c r="AT114" s="269">
        <f t="shared" si="50"/>
        <v>0</v>
      </c>
      <c r="AU114" s="269">
        <f t="shared" si="50"/>
        <v>0</v>
      </c>
      <c r="AV114" s="269">
        <f t="shared" si="50"/>
        <v>0</v>
      </c>
      <c r="AW114" s="269">
        <f t="shared" si="50"/>
        <v>0</v>
      </c>
      <c r="AX114" s="269">
        <f t="shared" si="50"/>
        <v>0</v>
      </c>
      <c r="AY114" s="269">
        <f t="shared" si="50"/>
        <v>0</v>
      </c>
      <c r="AZ114" s="269">
        <f t="shared" si="50"/>
        <v>0</v>
      </c>
      <c r="BA114" s="269">
        <f t="shared" si="50"/>
        <v>0</v>
      </c>
      <c r="BB114" s="269">
        <f t="shared" si="50"/>
        <v>0</v>
      </c>
      <c r="BC114" s="269">
        <f t="shared" si="50"/>
        <v>0</v>
      </c>
      <c r="BD114" s="269">
        <f t="shared" si="50"/>
        <v>0</v>
      </c>
      <c r="BE114" s="269">
        <f t="shared" si="50"/>
        <v>0</v>
      </c>
      <c r="BF114" s="269">
        <f t="shared" si="50"/>
        <v>0</v>
      </c>
      <c r="BG114" s="269">
        <f t="shared" si="50"/>
        <v>0</v>
      </c>
      <c r="BH114" s="269">
        <f t="shared" si="50"/>
        <v>0</v>
      </c>
      <c r="BI114" s="269">
        <f t="shared" si="50"/>
        <v>0</v>
      </c>
      <c r="BJ114" s="269">
        <f t="shared" si="50"/>
        <v>0</v>
      </c>
      <c r="BK114" s="269">
        <f t="shared" si="50"/>
        <v>0</v>
      </c>
      <c r="BL114" s="269">
        <f t="shared" si="50"/>
        <v>0</v>
      </c>
      <c r="BM114" s="269">
        <f t="shared" si="50"/>
        <v>0</v>
      </c>
      <c r="BN114" s="269">
        <f t="shared" si="50"/>
        <v>0</v>
      </c>
      <c r="BO114" s="269">
        <f t="shared" si="50"/>
        <v>0</v>
      </c>
      <c r="BP114" s="269">
        <f t="shared" si="50"/>
        <v>0</v>
      </c>
      <c r="BQ114" s="269">
        <f t="shared" si="50"/>
        <v>0</v>
      </c>
      <c r="BR114" s="269">
        <f t="shared" si="50"/>
        <v>0</v>
      </c>
      <c r="BS114" s="269">
        <f t="shared" si="50"/>
        <v>0</v>
      </c>
      <c r="BT114" s="269">
        <f t="shared" si="50"/>
        <v>0</v>
      </c>
      <c r="BU114" s="269">
        <f t="shared" si="50"/>
        <v>0</v>
      </c>
      <c r="BV114" s="269">
        <f t="shared" si="50"/>
        <v>0</v>
      </c>
      <c r="BW114" s="269">
        <f t="shared" si="50"/>
        <v>0</v>
      </c>
      <c r="BX114" s="269">
        <f t="shared" si="50"/>
        <v>0</v>
      </c>
      <c r="BY114" s="269">
        <f t="shared" si="50"/>
        <v>0</v>
      </c>
      <c r="BZ114" s="269">
        <f t="shared" si="50"/>
        <v>0</v>
      </c>
      <c r="CA114" s="269">
        <f t="shared" si="50"/>
        <v>0</v>
      </c>
      <c r="CB114" s="269">
        <f t="shared" si="50"/>
        <v>2432800182</v>
      </c>
      <c r="CC114" s="269">
        <f t="shared" si="50"/>
        <v>2427064367</v>
      </c>
      <c r="CD114" s="269">
        <f t="shared" ref="CD114:CV114" si="51">SUM(CD108:CD113)</f>
        <v>2427064367</v>
      </c>
      <c r="CE114" s="269">
        <f t="shared" si="51"/>
        <v>0</v>
      </c>
      <c r="CF114" s="269">
        <f t="shared" si="51"/>
        <v>0</v>
      </c>
      <c r="CG114" s="269">
        <f t="shared" si="51"/>
        <v>0</v>
      </c>
      <c r="CH114" s="269">
        <f t="shared" si="51"/>
        <v>0</v>
      </c>
      <c r="CI114" s="269">
        <f t="shared" si="51"/>
        <v>0</v>
      </c>
      <c r="CJ114" s="269">
        <f t="shared" si="51"/>
        <v>0</v>
      </c>
      <c r="CK114" s="269">
        <f t="shared" si="51"/>
        <v>0</v>
      </c>
      <c r="CL114" s="269">
        <f t="shared" si="51"/>
        <v>0</v>
      </c>
      <c r="CM114" s="269">
        <f t="shared" si="51"/>
        <v>0</v>
      </c>
      <c r="CN114" s="269">
        <f t="shared" si="51"/>
        <v>0</v>
      </c>
      <c r="CO114" s="269">
        <f t="shared" si="51"/>
        <v>0</v>
      </c>
      <c r="CP114" s="269">
        <f t="shared" si="51"/>
        <v>0</v>
      </c>
      <c r="CQ114" s="269">
        <f t="shared" si="51"/>
        <v>0</v>
      </c>
      <c r="CR114" s="269">
        <f t="shared" si="51"/>
        <v>0</v>
      </c>
      <c r="CS114" s="269">
        <f t="shared" si="51"/>
        <v>0</v>
      </c>
      <c r="CT114" s="269">
        <f t="shared" si="51"/>
        <v>3242800182</v>
      </c>
      <c r="CU114" s="269">
        <f t="shared" si="51"/>
        <v>3000731863.1800003</v>
      </c>
      <c r="CV114" s="269">
        <f t="shared" si="51"/>
        <v>2722020070.1800003</v>
      </c>
    </row>
    <row r="115" spans="1:100" ht="15" x14ac:dyDescent="0.25">
      <c r="A115" s="152"/>
      <c r="B115" s="161"/>
      <c r="C115" s="218"/>
      <c r="D115" s="161"/>
      <c r="E115" s="162"/>
      <c r="F115" s="162"/>
      <c r="G115" s="161"/>
      <c r="H115" s="162"/>
      <c r="I115" s="161"/>
      <c r="J115" s="257"/>
      <c r="K115" s="257"/>
      <c r="L115" s="257"/>
      <c r="M115" s="257"/>
      <c r="N115" s="164"/>
      <c r="O115" s="161"/>
      <c r="P115" s="162"/>
      <c r="Q115" s="165">
        <f>Q114</f>
        <v>0</v>
      </c>
      <c r="R115" s="165">
        <f t="shared" ref="R115:CC115" si="52">R114</f>
        <v>0</v>
      </c>
      <c r="S115" s="165">
        <f t="shared" si="52"/>
        <v>0</v>
      </c>
      <c r="T115" s="165">
        <f t="shared" si="52"/>
        <v>0</v>
      </c>
      <c r="U115" s="165">
        <f t="shared" si="52"/>
        <v>0</v>
      </c>
      <c r="V115" s="165">
        <f t="shared" si="52"/>
        <v>0</v>
      </c>
      <c r="W115" s="165">
        <f t="shared" si="52"/>
        <v>810000000</v>
      </c>
      <c r="X115" s="165">
        <f t="shared" si="52"/>
        <v>573667496.18000007</v>
      </c>
      <c r="Y115" s="165">
        <f t="shared" si="52"/>
        <v>294955703.18000001</v>
      </c>
      <c r="Z115" s="165">
        <f t="shared" si="52"/>
        <v>0</v>
      </c>
      <c r="AA115" s="165">
        <f t="shared" si="52"/>
        <v>0</v>
      </c>
      <c r="AB115" s="165">
        <f t="shared" si="52"/>
        <v>0</v>
      </c>
      <c r="AC115" s="165">
        <f t="shared" si="52"/>
        <v>0</v>
      </c>
      <c r="AD115" s="165">
        <f t="shared" si="52"/>
        <v>0</v>
      </c>
      <c r="AE115" s="165">
        <f t="shared" si="52"/>
        <v>0</v>
      </c>
      <c r="AF115" s="165">
        <f t="shared" si="52"/>
        <v>0</v>
      </c>
      <c r="AG115" s="165">
        <f t="shared" si="52"/>
        <v>0</v>
      </c>
      <c r="AH115" s="165">
        <f t="shared" si="52"/>
        <v>0</v>
      </c>
      <c r="AI115" s="165">
        <f t="shared" si="52"/>
        <v>0</v>
      </c>
      <c r="AJ115" s="165">
        <f t="shared" si="52"/>
        <v>0</v>
      </c>
      <c r="AK115" s="165">
        <f t="shared" si="52"/>
        <v>0</v>
      </c>
      <c r="AL115" s="165">
        <f t="shared" si="52"/>
        <v>0</v>
      </c>
      <c r="AM115" s="165">
        <f t="shared" si="52"/>
        <v>0</v>
      </c>
      <c r="AN115" s="165">
        <f t="shared" si="52"/>
        <v>0</v>
      </c>
      <c r="AO115" s="165">
        <f t="shared" si="52"/>
        <v>0</v>
      </c>
      <c r="AP115" s="165">
        <f t="shared" si="52"/>
        <v>0</v>
      </c>
      <c r="AQ115" s="165">
        <f t="shared" si="52"/>
        <v>0</v>
      </c>
      <c r="AR115" s="165">
        <f t="shared" si="52"/>
        <v>0</v>
      </c>
      <c r="AS115" s="165">
        <f t="shared" si="52"/>
        <v>0</v>
      </c>
      <c r="AT115" s="165">
        <f t="shared" si="52"/>
        <v>0</v>
      </c>
      <c r="AU115" s="165">
        <f t="shared" si="52"/>
        <v>0</v>
      </c>
      <c r="AV115" s="165">
        <f t="shared" si="52"/>
        <v>0</v>
      </c>
      <c r="AW115" s="165">
        <f t="shared" si="52"/>
        <v>0</v>
      </c>
      <c r="AX115" s="165">
        <f t="shared" si="52"/>
        <v>0</v>
      </c>
      <c r="AY115" s="165">
        <f t="shared" si="52"/>
        <v>0</v>
      </c>
      <c r="AZ115" s="165">
        <f t="shared" si="52"/>
        <v>0</v>
      </c>
      <c r="BA115" s="165">
        <f t="shared" si="52"/>
        <v>0</v>
      </c>
      <c r="BB115" s="165">
        <f t="shared" si="52"/>
        <v>0</v>
      </c>
      <c r="BC115" s="165">
        <f t="shared" si="52"/>
        <v>0</v>
      </c>
      <c r="BD115" s="165">
        <f t="shared" si="52"/>
        <v>0</v>
      </c>
      <c r="BE115" s="165">
        <f t="shared" si="52"/>
        <v>0</v>
      </c>
      <c r="BF115" s="165">
        <f t="shared" si="52"/>
        <v>0</v>
      </c>
      <c r="BG115" s="165">
        <f t="shared" si="52"/>
        <v>0</v>
      </c>
      <c r="BH115" s="165">
        <f t="shared" si="52"/>
        <v>0</v>
      </c>
      <c r="BI115" s="165">
        <f t="shared" si="52"/>
        <v>0</v>
      </c>
      <c r="BJ115" s="165">
        <f t="shared" si="52"/>
        <v>0</v>
      </c>
      <c r="BK115" s="165">
        <f t="shared" si="52"/>
        <v>0</v>
      </c>
      <c r="BL115" s="165">
        <f t="shared" si="52"/>
        <v>0</v>
      </c>
      <c r="BM115" s="165">
        <f t="shared" si="52"/>
        <v>0</v>
      </c>
      <c r="BN115" s="165">
        <f t="shared" si="52"/>
        <v>0</v>
      </c>
      <c r="BO115" s="165">
        <f t="shared" si="52"/>
        <v>0</v>
      </c>
      <c r="BP115" s="165">
        <f t="shared" si="52"/>
        <v>0</v>
      </c>
      <c r="BQ115" s="165">
        <f t="shared" si="52"/>
        <v>0</v>
      </c>
      <c r="BR115" s="165">
        <f t="shared" si="52"/>
        <v>0</v>
      </c>
      <c r="BS115" s="165">
        <f t="shared" si="52"/>
        <v>0</v>
      </c>
      <c r="BT115" s="165">
        <f t="shared" si="52"/>
        <v>0</v>
      </c>
      <c r="BU115" s="165">
        <f t="shared" si="52"/>
        <v>0</v>
      </c>
      <c r="BV115" s="165">
        <f t="shared" si="52"/>
        <v>0</v>
      </c>
      <c r="BW115" s="165">
        <f t="shared" si="52"/>
        <v>0</v>
      </c>
      <c r="BX115" s="165">
        <f t="shared" si="52"/>
        <v>0</v>
      </c>
      <c r="BY115" s="165">
        <f t="shared" si="52"/>
        <v>0</v>
      </c>
      <c r="BZ115" s="165">
        <f t="shared" si="52"/>
        <v>0</v>
      </c>
      <c r="CA115" s="165">
        <f t="shared" si="52"/>
        <v>0</v>
      </c>
      <c r="CB115" s="165">
        <f t="shared" si="52"/>
        <v>2432800182</v>
      </c>
      <c r="CC115" s="165">
        <f t="shared" si="52"/>
        <v>2427064367</v>
      </c>
      <c r="CD115" s="165">
        <f t="shared" ref="CD115:CV115" si="53">CD114</f>
        <v>2427064367</v>
      </c>
      <c r="CE115" s="165">
        <f t="shared" si="53"/>
        <v>0</v>
      </c>
      <c r="CF115" s="165">
        <f t="shared" si="53"/>
        <v>0</v>
      </c>
      <c r="CG115" s="165">
        <f t="shared" si="53"/>
        <v>0</v>
      </c>
      <c r="CH115" s="165">
        <f t="shared" si="53"/>
        <v>0</v>
      </c>
      <c r="CI115" s="165">
        <f t="shared" si="53"/>
        <v>0</v>
      </c>
      <c r="CJ115" s="165">
        <f t="shared" si="53"/>
        <v>0</v>
      </c>
      <c r="CK115" s="165">
        <f t="shared" si="53"/>
        <v>0</v>
      </c>
      <c r="CL115" s="165">
        <f t="shared" si="53"/>
        <v>0</v>
      </c>
      <c r="CM115" s="165">
        <f t="shared" si="53"/>
        <v>0</v>
      </c>
      <c r="CN115" s="165">
        <f t="shared" si="53"/>
        <v>0</v>
      </c>
      <c r="CO115" s="165">
        <f t="shared" si="53"/>
        <v>0</v>
      </c>
      <c r="CP115" s="165">
        <f t="shared" si="53"/>
        <v>0</v>
      </c>
      <c r="CQ115" s="165">
        <f t="shared" si="53"/>
        <v>0</v>
      </c>
      <c r="CR115" s="165">
        <f t="shared" si="53"/>
        <v>0</v>
      </c>
      <c r="CS115" s="165">
        <f t="shared" si="53"/>
        <v>0</v>
      </c>
      <c r="CT115" s="165">
        <f t="shared" si="53"/>
        <v>3242800182</v>
      </c>
      <c r="CU115" s="165">
        <f t="shared" si="53"/>
        <v>3000731863.1800003</v>
      </c>
      <c r="CV115" s="165">
        <f t="shared" si="53"/>
        <v>2722020070.1800003</v>
      </c>
    </row>
    <row r="116" spans="1:100" ht="15" x14ac:dyDescent="0.25">
      <c r="A116" s="139">
        <v>4</v>
      </c>
      <c r="B116" s="140" t="s">
        <v>161</v>
      </c>
      <c r="C116" s="141"/>
      <c r="D116" s="140"/>
      <c r="E116" s="140"/>
      <c r="F116" s="140"/>
      <c r="G116" s="140"/>
      <c r="H116" s="141"/>
      <c r="I116" s="140"/>
      <c r="J116" s="140"/>
      <c r="K116" s="140"/>
      <c r="L116" s="140"/>
      <c r="M116" s="140"/>
      <c r="N116" s="676"/>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2"/>
      <c r="CF116" s="142"/>
      <c r="CG116" s="142"/>
      <c r="CH116" s="140"/>
      <c r="CI116" s="140"/>
      <c r="CJ116" s="140"/>
      <c r="CK116" s="140"/>
      <c r="CL116" s="140"/>
      <c r="CM116" s="140"/>
      <c r="CN116" s="140"/>
      <c r="CO116" s="140"/>
      <c r="CP116" s="140"/>
      <c r="CQ116" s="140"/>
      <c r="CR116" s="140"/>
      <c r="CS116" s="140"/>
      <c r="CT116" s="540"/>
      <c r="CU116" s="540"/>
      <c r="CV116" s="540"/>
    </row>
    <row r="117" spans="1:100" ht="15" x14ac:dyDescent="0.25">
      <c r="A117" s="185"/>
      <c r="B117" s="262">
        <v>23</v>
      </c>
      <c r="C117" s="145" t="s">
        <v>162</v>
      </c>
      <c r="D117" s="146"/>
      <c r="E117" s="146"/>
      <c r="F117" s="146"/>
      <c r="G117" s="146"/>
      <c r="H117" s="147"/>
      <c r="I117" s="146"/>
      <c r="J117" s="146"/>
      <c r="K117" s="146"/>
      <c r="L117" s="146"/>
      <c r="M117" s="146"/>
      <c r="N117" s="677"/>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8"/>
      <c r="CF117" s="148"/>
      <c r="CG117" s="148"/>
      <c r="CH117" s="146"/>
      <c r="CI117" s="146"/>
      <c r="CJ117" s="146"/>
      <c r="CK117" s="146"/>
      <c r="CL117" s="146"/>
      <c r="CM117" s="146"/>
      <c r="CN117" s="146"/>
      <c r="CO117" s="146"/>
      <c r="CP117" s="146"/>
      <c r="CQ117" s="146"/>
      <c r="CR117" s="146"/>
      <c r="CS117" s="146"/>
      <c r="CT117" s="526"/>
      <c r="CU117" s="526"/>
      <c r="CV117" s="526"/>
    </row>
    <row r="118" spans="1:100" ht="15" x14ac:dyDescent="0.25">
      <c r="A118" s="19"/>
      <c r="B118" s="19"/>
      <c r="C118" s="213"/>
      <c r="D118" s="954"/>
      <c r="E118" s="581"/>
      <c r="F118" s="581"/>
      <c r="G118" s="254">
        <v>77</v>
      </c>
      <c r="H118" s="616" t="s">
        <v>983</v>
      </c>
      <c r="I118" s="279"/>
      <c r="J118" s="279"/>
      <c r="K118" s="279"/>
      <c r="L118" s="839"/>
      <c r="M118" s="279"/>
      <c r="N118" s="682"/>
      <c r="O118" s="27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c r="BC118" s="189"/>
      <c r="BD118" s="189"/>
      <c r="BE118" s="189"/>
      <c r="BF118" s="189"/>
      <c r="BG118" s="189"/>
      <c r="BH118" s="189"/>
      <c r="BI118" s="189"/>
      <c r="BJ118" s="189"/>
      <c r="BK118" s="189"/>
      <c r="BL118" s="189"/>
      <c r="BM118" s="189"/>
      <c r="BN118" s="189"/>
      <c r="BO118" s="189"/>
      <c r="BP118" s="189"/>
      <c r="BQ118" s="189"/>
      <c r="BR118" s="189"/>
      <c r="BS118" s="189"/>
      <c r="BT118" s="189"/>
      <c r="BU118" s="189"/>
      <c r="BV118" s="189"/>
      <c r="BW118" s="189"/>
      <c r="BX118" s="189"/>
      <c r="BY118" s="189"/>
      <c r="BZ118" s="189"/>
      <c r="CA118" s="189"/>
      <c r="CB118" s="189"/>
      <c r="CC118" s="189"/>
      <c r="CD118" s="189"/>
      <c r="CE118" s="190"/>
      <c r="CF118" s="190"/>
      <c r="CG118" s="190"/>
      <c r="CH118" s="189"/>
      <c r="CI118" s="189"/>
      <c r="CJ118" s="189"/>
      <c r="CK118" s="189"/>
      <c r="CL118" s="189"/>
      <c r="CM118" s="189"/>
      <c r="CN118" s="189"/>
      <c r="CO118" s="189"/>
      <c r="CP118" s="189"/>
      <c r="CQ118" s="189"/>
      <c r="CR118" s="189"/>
      <c r="CS118" s="189"/>
      <c r="CT118" s="522"/>
      <c r="CU118" s="522"/>
      <c r="CV118" s="522"/>
    </row>
    <row r="119" spans="1:100" ht="91.5" customHeight="1" x14ac:dyDescent="0.25">
      <c r="A119" s="19"/>
      <c r="B119" s="614"/>
      <c r="C119" s="240"/>
      <c r="D119" s="186"/>
      <c r="E119" s="186"/>
      <c r="F119" s="187"/>
      <c r="G119" s="99"/>
      <c r="H119" s="983">
        <v>223</v>
      </c>
      <c r="I119" s="982" t="s">
        <v>878</v>
      </c>
      <c r="J119" s="23" t="s">
        <v>30</v>
      </c>
      <c r="K119" s="23">
        <v>1</v>
      </c>
      <c r="L119" s="23">
        <v>1</v>
      </c>
      <c r="M119" s="490" t="s">
        <v>118</v>
      </c>
      <c r="N119" s="985"/>
      <c r="O119" s="69" t="s">
        <v>984</v>
      </c>
      <c r="P119" s="929" t="s">
        <v>38</v>
      </c>
      <c r="Q119" s="25">
        <v>0</v>
      </c>
      <c r="R119" s="25"/>
      <c r="S119" s="25"/>
      <c r="T119" s="25">
        <v>0</v>
      </c>
      <c r="U119" s="25"/>
      <c r="V119" s="25"/>
      <c r="W119" s="25">
        <v>0</v>
      </c>
      <c r="X119" s="25"/>
      <c r="Y119" s="25"/>
      <c r="Z119" s="25">
        <v>0</v>
      </c>
      <c r="AA119" s="25"/>
      <c r="AB119" s="25"/>
      <c r="AC119" s="25">
        <v>0</v>
      </c>
      <c r="AD119" s="25"/>
      <c r="AE119" s="25"/>
      <c r="AF119" s="25">
        <v>0</v>
      </c>
      <c r="AG119" s="25"/>
      <c r="AH119" s="25"/>
      <c r="AI119" s="25">
        <v>0</v>
      </c>
      <c r="AJ119" s="25"/>
      <c r="AK119" s="25"/>
      <c r="AL119" s="25"/>
      <c r="AM119" s="25"/>
      <c r="AN119" s="25"/>
      <c r="AO119" s="25"/>
      <c r="AP119" s="25"/>
      <c r="AQ119" s="25"/>
      <c r="AR119" s="25"/>
      <c r="AS119" s="25"/>
      <c r="AT119" s="25"/>
      <c r="AU119" s="25">
        <v>0</v>
      </c>
      <c r="AV119" s="25"/>
      <c r="AW119" s="25"/>
      <c r="AX119" s="25"/>
      <c r="AY119" s="25"/>
      <c r="AZ119" s="25"/>
      <c r="BA119" s="25">
        <v>0</v>
      </c>
      <c r="BB119" s="25"/>
      <c r="BC119" s="25"/>
      <c r="BD119" s="25">
        <v>0</v>
      </c>
      <c r="BE119" s="25"/>
      <c r="BF119" s="25"/>
      <c r="BG119" s="250"/>
      <c r="BH119" s="250"/>
      <c r="BI119" s="250"/>
      <c r="BJ119" s="250"/>
      <c r="BK119" s="250"/>
      <c r="BL119" s="250"/>
      <c r="BM119" s="250"/>
      <c r="BN119" s="250"/>
      <c r="BO119" s="250"/>
      <c r="BP119" s="250"/>
      <c r="BQ119" s="250"/>
      <c r="BR119" s="250"/>
      <c r="BS119" s="250"/>
      <c r="BT119" s="250"/>
      <c r="BU119" s="250"/>
      <c r="BV119" s="250"/>
      <c r="BW119" s="250"/>
      <c r="BX119" s="250"/>
      <c r="BY119" s="25">
        <v>0</v>
      </c>
      <c r="BZ119" s="25"/>
      <c r="CA119" s="25"/>
      <c r="CB119" s="25">
        <v>0</v>
      </c>
      <c r="CC119" s="25"/>
      <c r="CD119" s="25"/>
      <c r="CE119" s="110">
        <v>0</v>
      </c>
      <c r="CF119" s="110"/>
      <c r="CG119" s="110"/>
      <c r="CH119" s="110">
        <v>0</v>
      </c>
      <c r="CI119" s="110"/>
      <c r="CJ119" s="110"/>
      <c r="CK119" s="13"/>
      <c r="CL119" s="9"/>
      <c r="CM119" s="9"/>
      <c r="CN119" s="288">
        <v>500000000</v>
      </c>
      <c r="CO119" s="130">
        <v>0</v>
      </c>
      <c r="CP119" s="288"/>
      <c r="CQ119" s="288">
        <v>0</v>
      </c>
      <c r="CR119" s="288"/>
      <c r="CS119" s="288"/>
      <c r="CT119" s="25">
        <f>Q119+T119+W119+Z119+AC119+AF119+AI119+AL119+AO119+AR119+AU119+AX119+BA119+BD119+BG119+BJ119+BM119+BP119+BS119+BV119+BY119+CB119+CE119+CH119+CK119+CQ119+CN119</f>
        <v>500000000</v>
      </c>
      <c r="CU119" s="25">
        <f>R119+U119+X119+AA119+AD119+AG119+AJ119+AM119+AP119+AS119+AV119+AY119+BB119+BE119+BH119+BK119+BN119+BQ119+BT119+BW119+BZ119+CC119+CF119+CI119+CL119+CR119+CO119</f>
        <v>0</v>
      </c>
      <c r="CV119" s="25">
        <f>S119+V119+Y119+AB119+AE119+AH119+AK119+AN119+AQ119+AT119+AW119+AZ119+BC119+BF119+BI119+BL119+BO119+BR119+BU119+BX119+CA119+CD119+CG119+CJ119+CM119+CS119+CP119</f>
        <v>0</v>
      </c>
    </row>
    <row r="120" spans="1:100" s="27" customFormat="1" ht="15" x14ac:dyDescent="0.25">
      <c r="A120" s="19"/>
      <c r="B120" s="152"/>
      <c r="C120" s="927"/>
      <c r="D120" s="928"/>
      <c r="E120" s="929"/>
      <c r="F120" s="929"/>
      <c r="G120" s="264"/>
      <c r="H120" s="265"/>
      <c r="I120" s="264"/>
      <c r="J120" s="266"/>
      <c r="K120" s="266"/>
      <c r="L120" s="266"/>
      <c r="M120" s="266"/>
      <c r="N120" s="267"/>
      <c r="O120" s="268"/>
      <c r="P120" s="265"/>
      <c r="Q120" s="269">
        <f>SUM(Q119)</f>
        <v>0</v>
      </c>
      <c r="R120" s="269">
        <f t="shared" ref="R120:CC120" si="54">SUM(R119)</f>
        <v>0</v>
      </c>
      <c r="S120" s="269">
        <f t="shared" si="54"/>
        <v>0</v>
      </c>
      <c r="T120" s="269">
        <f t="shared" si="54"/>
        <v>0</v>
      </c>
      <c r="U120" s="269">
        <f t="shared" si="54"/>
        <v>0</v>
      </c>
      <c r="V120" s="269">
        <f t="shared" si="54"/>
        <v>0</v>
      </c>
      <c r="W120" s="269">
        <f t="shared" si="54"/>
        <v>0</v>
      </c>
      <c r="X120" s="269">
        <f t="shared" si="54"/>
        <v>0</v>
      </c>
      <c r="Y120" s="269">
        <f t="shared" si="54"/>
        <v>0</v>
      </c>
      <c r="Z120" s="269">
        <f t="shared" si="54"/>
        <v>0</v>
      </c>
      <c r="AA120" s="269">
        <f t="shared" si="54"/>
        <v>0</v>
      </c>
      <c r="AB120" s="269">
        <f t="shared" si="54"/>
        <v>0</v>
      </c>
      <c r="AC120" s="269">
        <f t="shared" si="54"/>
        <v>0</v>
      </c>
      <c r="AD120" s="269">
        <f t="shared" si="54"/>
        <v>0</v>
      </c>
      <c r="AE120" s="269">
        <f t="shared" si="54"/>
        <v>0</v>
      </c>
      <c r="AF120" s="269">
        <f t="shared" si="54"/>
        <v>0</v>
      </c>
      <c r="AG120" s="269">
        <f t="shared" si="54"/>
        <v>0</v>
      </c>
      <c r="AH120" s="269">
        <f t="shared" si="54"/>
        <v>0</v>
      </c>
      <c r="AI120" s="269">
        <f t="shared" si="54"/>
        <v>0</v>
      </c>
      <c r="AJ120" s="269">
        <f t="shared" si="54"/>
        <v>0</v>
      </c>
      <c r="AK120" s="269">
        <f t="shared" si="54"/>
        <v>0</v>
      </c>
      <c r="AL120" s="269">
        <f t="shared" si="54"/>
        <v>0</v>
      </c>
      <c r="AM120" s="269">
        <f t="shared" si="54"/>
        <v>0</v>
      </c>
      <c r="AN120" s="269">
        <f t="shared" si="54"/>
        <v>0</v>
      </c>
      <c r="AO120" s="269">
        <f t="shared" si="54"/>
        <v>0</v>
      </c>
      <c r="AP120" s="269">
        <f t="shared" si="54"/>
        <v>0</v>
      </c>
      <c r="AQ120" s="269">
        <f t="shared" si="54"/>
        <v>0</v>
      </c>
      <c r="AR120" s="269">
        <f t="shared" si="54"/>
        <v>0</v>
      </c>
      <c r="AS120" s="269">
        <f t="shared" si="54"/>
        <v>0</v>
      </c>
      <c r="AT120" s="269">
        <f t="shared" si="54"/>
        <v>0</v>
      </c>
      <c r="AU120" s="269">
        <f t="shared" si="54"/>
        <v>0</v>
      </c>
      <c r="AV120" s="269">
        <f t="shared" si="54"/>
        <v>0</v>
      </c>
      <c r="AW120" s="269">
        <f t="shared" si="54"/>
        <v>0</v>
      </c>
      <c r="AX120" s="269">
        <f t="shared" si="54"/>
        <v>0</v>
      </c>
      <c r="AY120" s="269">
        <f t="shared" si="54"/>
        <v>0</v>
      </c>
      <c r="AZ120" s="269">
        <f t="shared" si="54"/>
        <v>0</v>
      </c>
      <c r="BA120" s="269">
        <f t="shared" si="54"/>
        <v>0</v>
      </c>
      <c r="BB120" s="269">
        <f t="shared" si="54"/>
        <v>0</v>
      </c>
      <c r="BC120" s="269">
        <f t="shared" si="54"/>
        <v>0</v>
      </c>
      <c r="BD120" s="269">
        <f t="shared" si="54"/>
        <v>0</v>
      </c>
      <c r="BE120" s="269">
        <f t="shared" si="54"/>
        <v>0</v>
      </c>
      <c r="BF120" s="269">
        <f t="shared" si="54"/>
        <v>0</v>
      </c>
      <c r="BG120" s="269">
        <f t="shared" si="54"/>
        <v>0</v>
      </c>
      <c r="BH120" s="269">
        <f t="shared" si="54"/>
        <v>0</v>
      </c>
      <c r="BI120" s="269">
        <f t="shared" si="54"/>
        <v>0</v>
      </c>
      <c r="BJ120" s="269">
        <f t="shared" si="54"/>
        <v>0</v>
      </c>
      <c r="BK120" s="269">
        <f t="shared" si="54"/>
        <v>0</v>
      </c>
      <c r="BL120" s="269">
        <f t="shared" si="54"/>
        <v>0</v>
      </c>
      <c r="BM120" s="269">
        <f t="shared" si="54"/>
        <v>0</v>
      </c>
      <c r="BN120" s="269">
        <f t="shared" si="54"/>
        <v>0</v>
      </c>
      <c r="BO120" s="269">
        <f t="shared" si="54"/>
        <v>0</v>
      </c>
      <c r="BP120" s="269">
        <f t="shared" si="54"/>
        <v>0</v>
      </c>
      <c r="BQ120" s="269">
        <f t="shared" si="54"/>
        <v>0</v>
      </c>
      <c r="BR120" s="269">
        <f t="shared" si="54"/>
        <v>0</v>
      </c>
      <c r="BS120" s="269">
        <f t="shared" si="54"/>
        <v>0</v>
      </c>
      <c r="BT120" s="269">
        <f t="shared" si="54"/>
        <v>0</v>
      </c>
      <c r="BU120" s="269">
        <f t="shared" si="54"/>
        <v>0</v>
      </c>
      <c r="BV120" s="269">
        <f t="shared" si="54"/>
        <v>0</v>
      </c>
      <c r="BW120" s="269">
        <f t="shared" si="54"/>
        <v>0</v>
      </c>
      <c r="BX120" s="269">
        <f t="shared" si="54"/>
        <v>0</v>
      </c>
      <c r="BY120" s="269">
        <f t="shared" si="54"/>
        <v>0</v>
      </c>
      <c r="BZ120" s="269">
        <f t="shared" si="54"/>
        <v>0</v>
      </c>
      <c r="CA120" s="269">
        <f t="shared" si="54"/>
        <v>0</v>
      </c>
      <c r="CB120" s="269">
        <f t="shared" si="54"/>
        <v>0</v>
      </c>
      <c r="CC120" s="269">
        <f t="shared" si="54"/>
        <v>0</v>
      </c>
      <c r="CD120" s="269">
        <f t="shared" ref="CD120:CV120" si="55">SUM(CD119)</f>
        <v>0</v>
      </c>
      <c r="CE120" s="269">
        <f t="shared" si="55"/>
        <v>0</v>
      </c>
      <c r="CF120" s="269">
        <f t="shared" si="55"/>
        <v>0</v>
      </c>
      <c r="CG120" s="269">
        <f t="shared" si="55"/>
        <v>0</v>
      </c>
      <c r="CH120" s="269">
        <f t="shared" si="55"/>
        <v>0</v>
      </c>
      <c r="CI120" s="269">
        <f t="shared" si="55"/>
        <v>0</v>
      </c>
      <c r="CJ120" s="269">
        <f t="shared" si="55"/>
        <v>0</v>
      </c>
      <c r="CK120" s="269">
        <f t="shared" si="55"/>
        <v>0</v>
      </c>
      <c r="CL120" s="269">
        <f t="shared" si="55"/>
        <v>0</v>
      </c>
      <c r="CM120" s="269">
        <f t="shared" si="55"/>
        <v>0</v>
      </c>
      <c r="CN120" s="269">
        <f t="shared" si="55"/>
        <v>500000000</v>
      </c>
      <c r="CO120" s="269">
        <f t="shared" si="55"/>
        <v>0</v>
      </c>
      <c r="CP120" s="269">
        <f t="shared" si="55"/>
        <v>0</v>
      </c>
      <c r="CQ120" s="269">
        <f t="shared" si="55"/>
        <v>0</v>
      </c>
      <c r="CR120" s="269">
        <f t="shared" si="55"/>
        <v>0</v>
      </c>
      <c r="CS120" s="269">
        <f t="shared" si="55"/>
        <v>0</v>
      </c>
      <c r="CT120" s="269">
        <f t="shared" si="55"/>
        <v>500000000</v>
      </c>
      <c r="CU120" s="269">
        <f t="shared" si="55"/>
        <v>0</v>
      </c>
      <c r="CV120" s="269">
        <f t="shared" si="55"/>
        <v>0</v>
      </c>
    </row>
    <row r="121" spans="1:100" ht="15" x14ac:dyDescent="0.25">
      <c r="A121" s="152"/>
      <c r="B121" s="161"/>
      <c r="C121" s="218"/>
      <c r="D121" s="161"/>
      <c r="E121" s="162"/>
      <c r="F121" s="162"/>
      <c r="G121" s="161"/>
      <c r="H121" s="162"/>
      <c r="I121" s="161"/>
      <c r="J121" s="257"/>
      <c r="K121" s="257"/>
      <c r="L121" s="257"/>
      <c r="M121" s="257"/>
      <c r="N121" s="164"/>
      <c r="O121" s="161"/>
      <c r="P121" s="162"/>
      <c r="Q121" s="165">
        <f t="shared" ref="Q121:CB121" si="56">Q120</f>
        <v>0</v>
      </c>
      <c r="R121" s="165">
        <f t="shared" si="56"/>
        <v>0</v>
      </c>
      <c r="S121" s="165">
        <f t="shared" si="56"/>
        <v>0</v>
      </c>
      <c r="T121" s="165">
        <f t="shared" si="56"/>
        <v>0</v>
      </c>
      <c r="U121" s="165">
        <f t="shared" si="56"/>
        <v>0</v>
      </c>
      <c r="V121" s="165">
        <f t="shared" si="56"/>
        <v>0</v>
      </c>
      <c r="W121" s="165">
        <f t="shared" si="56"/>
        <v>0</v>
      </c>
      <c r="X121" s="165">
        <f t="shared" si="56"/>
        <v>0</v>
      </c>
      <c r="Y121" s="165">
        <f t="shared" si="56"/>
        <v>0</v>
      </c>
      <c r="Z121" s="165">
        <f t="shared" si="56"/>
        <v>0</v>
      </c>
      <c r="AA121" s="165">
        <f t="shared" si="56"/>
        <v>0</v>
      </c>
      <c r="AB121" s="165">
        <f t="shared" si="56"/>
        <v>0</v>
      </c>
      <c r="AC121" s="165">
        <f t="shared" si="56"/>
        <v>0</v>
      </c>
      <c r="AD121" s="165">
        <f t="shared" si="56"/>
        <v>0</v>
      </c>
      <c r="AE121" s="165">
        <f t="shared" si="56"/>
        <v>0</v>
      </c>
      <c r="AF121" s="165">
        <f t="shared" si="56"/>
        <v>0</v>
      </c>
      <c r="AG121" s="165">
        <f t="shared" si="56"/>
        <v>0</v>
      </c>
      <c r="AH121" s="165">
        <f t="shared" si="56"/>
        <v>0</v>
      </c>
      <c r="AI121" s="165">
        <f t="shared" si="56"/>
        <v>0</v>
      </c>
      <c r="AJ121" s="165">
        <f t="shared" si="56"/>
        <v>0</v>
      </c>
      <c r="AK121" s="165">
        <f t="shared" si="56"/>
        <v>0</v>
      </c>
      <c r="AL121" s="165">
        <f t="shared" si="56"/>
        <v>0</v>
      </c>
      <c r="AM121" s="165">
        <f t="shared" si="56"/>
        <v>0</v>
      </c>
      <c r="AN121" s="165">
        <f t="shared" si="56"/>
        <v>0</v>
      </c>
      <c r="AO121" s="165">
        <f t="shared" si="56"/>
        <v>0</v>
      </c>
      <c r="AP121" s="165">
        <f t="shared" si="56"/>
        <v>0</v>
      </c>
      <c r="AQ121" s="165">
        <f t="shared" si="56"/>
        <v>0</v>
      </c>
      <c r="AR121" s="165">
        <f t="shared" si="56"/>
        <v>0</v>
      </c>
      <c r="AS121" s="165">
        <f t="shared" si="56"/>
        <v>0</v>
      </c>
      <c r="AT121" s="165">
        <f t="shared" si="56"/>
        <v>0</v>
      </c>
      <c r="AU121" s="165">
        <f t="shared" si="56"/>
        <v>0</v>
      </c>
      <c r="AV121" s="165">
        <f t="shared" si="56"/>
        <v>0</v>
      </c>
      <c r="AW121" s="165">
        <f t="shared" si="56"/>
        <v>0</v>
      </c>
      <c r="AX121" s="165">
        <f t="shared" si="56"/>
        <v>0</v>
      </c>
      <c r="AY121" s="165">
        <f t="shared" si="56"/>
        <v>0</v>
      </c>
      <c r="AZ121" s="165">
        <f t="shared" si="56"/>
        <v>0</v>
      </c>
      <c r="BA121" s="165">
        <f t="shared" si="56"/>
        <v>0</v>
      </c>
      <c r="BB121" s="165">
        <f t="shared" si="56"/>
        <v>0</v>
      </c>
      <c r="BC121" s="165">
        <f t="shared" si="56"/>
        <v>0</v>
      </c>
      <c r="BD121" s="165">
        <f t="shared" si="56"/>
        <v>0</v>
      </c>
      <c r="BE121" s="165">
        <f t="shared" si="56"/>
        <v>0</v>
      </c>
      <c r="BF121" s="165">
        <f t="shared" si="56"/>
        <v>0</v>
      </c>
      <c r="BG121" s="165">
        <f t="shared" si="56"/>
        <v>0</v>
      </c>
      <c r="BH121" s="165">
        <f t="shared" si="56"/>
        <v>0</v>
      </c>
      <c r="BI121" s="165">
        <f t="shared" si="56"/>
        <v>0</v>
      </c>
      <c r="BJ121" s="165">
        <f t="shared" si="56"/>
        <v>0</v>
      </c>
      <c r="BK121" s="165">
        <f t="shared" si="56"/>
        <v>0</v>
      </c>
      <c r="BL121" s="165">
        <f t="shared" si="56"/>
        <v>0</v>
      </c>
      <c r="BM121" s="165">
        <f t="shared" si="56"/>
        <v>0</v>
      </c>
      <c r="BN121" s="165">
        <f t="shared" si="56"/>
        <v>0</v>
      </c>
      <c r="BO121" s="165">
        <f t="shared" si="56"/>
        <v>0</v>
      </c>
      <c r="BP121" s="165">
        <f t="shared" si="56"/>
        <v>0</v>
      </c>
      <c r="BQ121" s="165">
        <f t="shared" si="56"/>
        <v>0</v>
      </c>
      <c r="BR121" s="165">
        <f t="shared" si="56"/>
        <v>0</v>
      </c>
      <c r="BS121" s="165">
        <f t="shared" si="56"/>
        <v>0</v>
      </c>
      <c r="BT121" s="165">
        <f t="shared" si="56"/>
        <v>0</v>
      </c>
      <c r="BU121" s="165">
        <f t="shared" si="56"/>
        <v>0</v>
      </c>
      <c r="BV121" s="165">
        <f t="shared" si="56"/>
        <v>0</v>
      </c>
      <c r="BW121" s="165">
        <f t="shared" si="56"/>
        <v>0</v>
      </c>
      <c r="BX121" s="165">
        <f t="shared" si="56"/>
        <v>0</v>
      </c>
      <c r="BY121" s="165">
        <f t="shared" si="56"/>
        <v>0</v>
      </c>
      <c r="BZ121" s="165">
        <f t="shared" si="56"/>
        <v>0</v>
      </c>
      <c r="CA121" s="165">
        <f t="shared" si="56"/>
        <v>0</v>
      </c>
      <c r="CB121" s="165">
        <f t="shared" si="56"/>
        <v>0</v>
      </c>
      <c r="CC121" s="165">
        <f t="shared" ref="CC121:CT121" si="57">CC120</f>
        <v>0</v>
      </c>
      <c r="CD121" s="165">
        <f t="shared" si="57"/>
        <v>0</v>
      </c>
      <c r="CE121" s="165">
        <f t="shared" si="57"/>
        <v>0</v>
      </c>
      <c r="CF121" s="165">
        <f t="shared" si="57"/>
        <v>0</v>
      </c>
      <c r="CG121" s="165">
        <f t="shared" si="57"/>
        <v>0</v>
      </c>
      <c r="CH121" s="165">
        <f t="shared" si="57"/>
        <v>0</v>
      </c>
      <c r="CI121" s="165">
        <f t="shared" si="57"/>
        <v>0</v>
      </c>
      <c r="CJ121" s="165">
        <f t="shared" si="57"/>
        <v>0</v>
      </c>
      <c r="CK121" s="165">
        <f t="shared" si="57"/>
        <v>0</v>
      </c>
      <c r="CL121" s="165">
        <f t="shared" si="57"/>
        <v>0</v>
      </c>
      <c r="CM121" s="165">
        <f t="shared" si="57"/>
        <v>0</v>
      </c>
      <c r="CN121" s="165">
        <f>CN120</f>
        <v>500000000</v>
      </c>
      <c r="CO121" s="165">
        <f t="shared" si="57"/>
        <v>0</v>
      </c>
      <c r="CP121" s="165">
        <f t="shared" si="57"/>
        <v>0</v>
      </c>
      <c r="CQ121" s="165">
        <f t="shared" si="57"/>
        <v>0</v>
      </c>
      <c r="CR121" s="165">
        <f t="shared" si="57"/>
        <v>0</v>
      </c>
      <c r="CS121" s="165">
        <f t="shared" si="57"/>
        <v>0</v>
      </c>
      <c r="CT121" s="165">
        <f t="shared" si="57"/>
        <v>500000000</v>
      </c>
      <c r="CU121" s="165">
        <f>CU120</f>
        <v>0</v>
      </c>
      <c r="CV121" s="165">
        <f>CV120</f>
        <v>0</v>
      </c>
    </row>
    <row r="122" spans="1:100" ht="15" x14ac:dyDescent="0.25">
      <c r="A122" s="166"/>
      <c r="B122" s="166"/>
      <c r="C122" s="167"/>
      <c r="D122" s="166"/>
      <c r="E122" s="167"/>
      <c r="F122" s="167"/>
      <c r="G122" s="166"/>
      <c r="H122" s="167"/>
      <c r="I122" s="166"/>
      <c r="J122" s="259"/>
      <c r="K122" s="259"/>
      <c r="L122" s="259"/>
      <c r="M122" s="259"/>
      <c r="N122" s="169"/>
      <c r="O122" s="166"/>
      <c r="P122" s="167"/>
      <c r="Q122" s="170">
        <f>+Q121+Q115+Q102</f>
        <v>0</v>
      </c>
      <c r="R122" s="170">
        <f t="shared" ref="R122:CC122" si="58">+R121+R115+R102</f>
        <v>0</v>
      </c>
      <c r="S122" s="170">
        <f t="shared" si="58"/>
        <v>0</v>
      </c>
      <c r="T122" s="170">
        <f t="shared" si="58"/>
        <v>0</v>
      </c>
      <c r="U122" s="170">
        <f t="shared" si="58"/>
        <v>0</v>
      </c>
      <c r="V122" s="170">
        <f t="shared" si="58"/>
        <v>0</v>
      </c>
      <c r="W122" s="170">
        <f t="shared" si="58"/>
        <v>9884120547.2099991</v>
      </c>
      <c r="X122" s="170">
        <f t="shared" si="58"/>
        <v>6148925621.79</v>
      </c>
      <c r="Y122" s="170">
        <f t="shared" si="58"/>
        <v>5158531855.9899998</v>
      </c>
      <c r="Z122" s="170">
        <f t="shared" si="58"/>
        <v>0</v>
      </c>
      <c r="AA122" s="170">
        <f t="shared" si="58"/>
        <v>0</v>
      </c>
      <c r="AB122" s="170">
        <f t="shared" si="58"/>
        <v>0</v>
      </c>
      <c r="AC122" s="170">
        <f t="shared" si="58"/>
        <v>0</v>
      </c>
      <c r="AD122" s="170">
        <f t="shared" si="58"/>
        <v>0</v>
      </c>
      <c r="AE122" s="170">
        <f t="shared" si="58"/>
        <v>0</v>
      </c>
      <c r="AF122" s="170">
        <f t="shared" si="58"/>
        <v>636637204.06999993</v>
      </c>
      <c r="AG122" s="170">
        <f t="shared" si="58"/>
        <v>534121651.06999999</v>
      </c>
      <c r="AH122" s="170">
        <f t="shared" si="58"/>
        <v>376661651.06999999</v>
      </c>
      <c r="AI122" s="170">
        <f t="shared" si="58"/>
        <v>0</v>
      </c>
      <c r="AJ122" s="170">
        <f t="shared" si="58"/>
        <v>0</v>
      </c>
      <c r="AK122" s="170">
        <f t="shared" si="58"/>
        <v>0</v>
      </c>
      <c r="AL122" s="170">
        <f t="shared" si="58"/>
        <v>0</v>
      </c>
      <c r="AM122" s="170">
        <f t="shared" si="58"/>
        <v>0</v>
      </c>
      <c r="AN122" s="170">
        <f t="shared" si="58"/>
        <v>0</v>
      </c>
      <c r="AO122" s="170">
        <f t="shared" si="58"/>
        <v>0</v>
      </c>
      <c r="AP122" s="170">
        <f t="shared" si="58"/>
        <v>0</v>
      </c>
      <c r="AQ122" s="170">
        <f t="shared" si="58"/>
        <v>0</v>
      </c>
      <c r="AR122" s="170">
        <f t="shared" si="58"/>
        <v>0</v>
      </c>
      <c r="AS122" s="170">
        <f t="shared" si="58"/>
        <v>0</v>
      </c>
      <c r="AT122" s="170">
        <f t="shared" si="58"/>
        <v>0</v>
      </c>
      <c r="AU122" s="170">
        <f t="shared" si="58"/>
        <v>0</v>
      </c>
      <c r="AV122" s="170">
        <f t="shared" si="58"/>
        <v>0</v>
      </c>
      <c r="AW122" s="170">
        <f t="shared" si="58"/>
        <v>0</v>
      </c>
      <c r="AX122" s="170">
        <f t="shared" si="58"/>
        <v>0</v>
      </c>
      <c r="AY122" s="170">
        <f t="shared" si="58"/>
        <v>0</v>
      </c>
      <c r="AZ122" s="170">
        <f t="shared" si="58"/>
        <v>0</v>
      </c>
      <c r="BA122" s="170">
        <f t="shared" si="58"/>
        <v>0</v>
      </c>
      <c r="BB122" s="170">
        <f t="shared" si="58"/>
        <v>0</v>
      </c>
      <c r="BC122" s="170">
        <f t="shared" si="58"/>
        <v>0</v>
      </c>
      <c r="BD122" s="170">
        <f t="shared" si="58"/>
        <v>0</v>
      </c>
      <c r="BE122" s="170">
        <f t="shared" si="58"/>
        <v>0</v>
      </c>
      <c r="BF122" s="170">
        <f t="shared" si="58"/>
        <v>0</v>
      </c>
      <c r="BG122" s="170">
        <f t="shared" si="58"/>
        <v>0</v>
      </c>
      <c r="BH122" s="170">
        <f t="shared" si="58"/>
        <v>0</v>
      </c>
      <c r="BI122" s="170">
        <f t="shared" si="58"/>
        <v>0</v>
      </c>
      <c r="BJ122" s="170">
        <f t="shared" si="58"/>
        <v>0</v>
      </c>
      <c r="BK122" s="170">
        <f t="shared" si="58"/>
        <v>0</v>
      </c>
      <c r="BL122" s="170">
        <f t="shared" si="58"/>
        <v>0</v>
      </c>
      <c r="BM122" s="170">
        <f t="shared" si="58"/>
        <v>0</v>
      </c>
      <c r="BN122" s="170">
        <f t="shared" si="58"/>
        <v>0</v>
      </c>
      <c r="BO122" s="170">
        <f t="shared" si="58"/>
        <v>0</v>
      </c>
      <c r="BP122" s="170">
        <f t="shared" si="58"/>
        <v>0</v>
      </c>
      <c r="BQ122" s="170">
        <f t="shared" si="58"/>
        <v>0</v>
      </c>
      <c r="BR122" s="170">
        <f t="shared" si="58"/>
        <v>0</v>
      </c>
      <c r="BS122" s="170">
        <f t="shared" si="58"/>
        <v>0</v>
      </c>
      <c r="BT122" s="170">
        <f t="shared" si="58"/>
        <v>0</v>
      </c>
      <c r="BU122" s="170">
        <f t="shared" si="58"/>
        <v>0</v>
      </c>
      <c r="BV122" s="170">
        <f t="shared" si="58"/>
        <v>0</v>
      </c>
      <c r="BW122" s="170">
        <f t="shared" si="58"/>
        <v>0</v>
      </c>
      <c r="BX122" s="170">
        <f t="shared" si="58"/>
        <v>0</v>
      </c>
      <c r="BY122" s="170">
        <f t="shared" si="58"/>
        <v>0</v>
      </c>
      <c r="BZ122" s="170">
        <f t="shared" si="58"/>
        <v>0</v>
      </c>
      <c r="CA122" s="170">
        <f t="shared" si="58"/>
        <v>0</v>
      </c>
      <c r="CB122" s="170">
        <f t="shared" si="58"/>
        <v>2432800182</v>
      </c>
      <c r="CC122" s="170">
        <f t="shared" si="58"/>
        <v>2427064367</v>
      </c>
      <c r="CD122" s="170">
        <f t="shared" ref="CD122:CS122" si="59">+CD121+CD115+CD102</f>
        <v>2427064367</v>
      </c>
      <c r="CE122" s="170">
        <f t="shared" si="59"/>
        <v>1538701078</v>
      </c>
      <c r="CF122" s="170">
        <f t="shared" si="59"/>
        <v>1203756160.4499998</v>
      </c>
      <c r="CG122" s="170">
        <f t="shared" si="59"/>
        <v>1184463671.4499998</v>
      </c>
      <c r="CH122" s="170">
        <f t="shared" si="59"/>
        <v>0</v>
      </c>
      <c r="CI122" s="170">
        <f t="shared" si="59"/>
        <v>0</v>
      </c>
      <c r="CJ122" s="170">
        <f t="shared" si="59"/>
        <v>0</v>
      </c>
      <c r="CK122" s="170">
        <f t="shared" si="59"/>
        <v>56061566</v>
      </c>
      <c r="CL122" s="170">
        <f t="shared" si="59"/>
        <v>56061566</v>
      </c>
      <c r="CM122" s="170">
        <f t="shared" si="59"/>
        <v>56061566</v>
      </c>
      <c r="CN122" s="170">
        <f t="shared" si="59"/>
        <v>1239890318</v>
      </c>
      <c r="CO122" s="170">
        <f t="shared" si="59"/>
        <v>127997027</v>
      </c>
      <c r="CP122" s="170">
        <f t="shared" si="59"/>
        <v>127997027</v>
      </c>
      <c r="CQ122" s="170">
        <f t="shared" si="59"/>
        <v>0</v>
      </c>
      <c r="CR122" s="170">
        <f t="shared" si="59"/>
        <v>0</v>
      </c>
      <c r="CS122" s="170">
        <f t="shared" si="59"/>
        <v>0</v>
      </c>
      <c r="CT122" s="170">
        <f>+CT121+CT115+CT102</f>
        <v>15788210895.279999</v>
      </c>
      <c r="CU122" s="170">
        <f>+CU121+CU115+CU102</f>
        <v>10497926393.310001</v>
      </c>
      <c r="CV122" s="170">
        <f>+CV121+CV115+CV102</f>
        <v>9330780138.5100002</v>
      </c>
    </row>
    <row r="123" spans="1:100" ht="15" x14ac:dyDescent="0.25">
      <c r="A123" s="171"/>
      <c r="B123" s="171"/>
      <c r="C123" s="172"/>
      <c r="D123" s="171"/>
      <c r="E123" s="172"/>
      <c r="F123" s="172"/>
      <c r="G123" s="171"/>
      <c r="H123" s="172"/>
      <c r="I123" s="171"/>
      <c r="J123" s="270"/>
      <c r="K123" s="270"/>
      <c r="L123" s="270"/>
      <c r="M123" s="270"/>
      <c r="N123" s="174"/>
      <c r="O123" s="171"/>
      <c r="P123" s="172"/>
      <c r="Q123" s="175">
        <f>+Q122</f>
        <v>0</v>
      </c>
      <c r="R123" s="175">
        <f t="shared" ref="R123:CC123" si="60">+R122</f>
        <v>0</v>
      </c>
      <c r="S123" s="175">
        <f t="shared" si="60"/>
        <v>0</v>
      </c>
      <c r="T123" s="175">
        <f t="shared" si="60"/>
        <v>0</v>
      </c>
      <c r="U123" s="175">
        <f t="shared" si="60"/>
        <v>0</v>
      </c>
      <c r="V123" s="175">
        <f t="shared" si="60"/>
        <v>0</v>
      </c>
      <c r="W123" s="175">
        <f t="shared" si="60"/>
        <v>9884120547.2099991</v>
      </c>
      <c r="X123" s="175">
        <f t="shared" si="60"/>
        <v>6148925621.79</v>
      </c>
      <c r="Y123" s="175">
        <f t="shared" si="60"/>
        <v>5158531855.9899998</v>
      </c>
      <c r="Z123" s="175">
        <f t="shared" si="60"/>
        <v>0</v>
      </c>
      <c r="AA123" s="175">
        <f t="shared" si="60"/>
        <v>0</v>
      </c>
      <c r="AB123" s="175">
        <f t="shared" si="60"/>
        <v>0</v>
      </c>
      <c r="AC123" s="175">
        <f t="shared" si="60"/>
        <v>0</v>
      </c>
      <c r="AD123" s="175">
        <f t="shared" si="60"/>
        <v>0</v>
      </c>
      <c r="AE123" s="175">
        <f t="shared" si="60"/>
        <v>0</v>
      </c>
      <c r="AF123" s="175">
        <f t="shared" si="60"/>
        <v>636637204.06999993</v>
      </c>
      <c r="AG123" s="175">
        <f t="shared" si="60"/>
        <v>534121651.06999999</v>
      </c>
      <c r="AH123" s="175">
        <f t="shared" si="60"/>
        <v>376661651.06999999</v>
      </c>
      <c r="AI123" s="175">
        <f t="shared" si="60"/>
        <v>0</v>
      </c>
      <c r="AJ123" s="175">
        <f t="shared" si="60"/>
        <v>0</v>
      </c>
      <c r="AK123" s="175">
        <f t="shared" si="60"/>
        <v>0</v>
      </c>
      <c r="AL123" s="175">
        <f t="shared" si="60"/>
        <v>0</v>
      </c>
      <c r="AM123" s="175">
        <f t="shared" si="60"/>
        <v>0</v>
      </c>
      <c r="AN123" s="175">
        <f t="shared" si="60"/>
        <v>0</v>
      </c>
      <c r="AO123" s="175">
        <f t="shared" si="60"/>
        <v>0</v>
      </c>
      <c r="AP123" s="175">
        <f t="shared" si="60"/>
        <v>0</v>
      </c>
      <c r="AQ123" s="175">
        <f t="shared" si="60"/>
        <v>0</v>
      </c>
      <c r="AR123" s="175">
        <f t="shared" si="60"/>
        <v>0</v>
      </c>
      <c r="AS123" s="175">
        <f t="shared" si="60"/>
        <v>0</v>
      </c>
      <c r="AT123" s="175">
        <f t="shared" si="60"/>
        <v>0</v>
      </c>
      <c r="AU123" s="175">
        <f t="shared" si="60"/>
        <v>0</v>
      </c>
      <c r="AV123" s="175">
        <f t="shared" si="60"/>
        <v>0</v>
      </c>
      <c r="AW123" s="175">
        <f t="shared" si="60"/>
        <v>0</v>
      </c>
      <c r="AX123" s="175">
        <f t="shared" si="60"/>
        <v>0</v>
      </c>
      <c r="AY123" s="175">
        <f t="shared" si="60"/>
        <v>0</v>
      </c>
      <c r="AZ123" s="175">
        <f t="shared" si="60"/>
        <v>0</v>
      </c>
      <c r="BA123" s="175">
        <f t="shared" si="60"/>
        <v>0</v>
      </c>
      <c r="BB123" s="175">
        <f t="shared" si="60"/>
        <v>0</v>
      </c>
      <c r="BC123" s="175">
        <f t="shared" si="60"/>
        <v>0</v>
      </c>
      <c r="BD123" s="175">
        <f t="shared" si="60"/>
        <v>0</v>
      </c>
      <c r="BE123" s="175">
        <f t="shared" si="60"/>
        <v>0</v>
      </c>
      <c r="BF123" s="175">
        <f t="shared" si="60"/>
        <v>0</v>
      </c>
      <c r="BG123" s="175">
        <f t="shared" si="60"/>
        <v>0</v>
      </c>
      <c r="BH123" s="175">
        <f t="shared" si="60"/>
        <v>0</v>
      </c>
      <c r="BI123" s="175">
        <f t="shared" si="60"/>
        <v>0</v>
      </c>
      <c r="BJ123" s="175">
        <f t="shared" si="60"/>
        <v>0</v>
      </c>
      <c r="BK123" s="175">
        <f t="shared" si="60"/>
        <v>0</v>
      </c>
      <c r="BL123" s="175">
        <f t="shared" si="60"/>
        <v>0</v>
      </c>
      <c r="BM123" s="175">
        <f t="shared" si="60"/>
        <v>0</v>
      </c>
      <c r="BN123" s="175">
        <f t="shared" si="60"/>
        <v>0</v>
      </c>
      <c r="BO123" s="175">
        <f t="shared" si="60"/>
        <v>0</v>
      </c>
      <c r="BP123" s="175">
        <f t="shared" si="60"/>
        <v>0</v>
      </c>
      <c r="BQ123" s="175">
        <f t="shared" si="60"/>
        <v>0</v>
      </c>
      <c r="BR123" s="175">
        <f t="shared" si="60"/>
        <v>0</v>
      </c>
      <c r="BS123" s="175">
        <f t="shared" si="60"/>
        <v>0</v>
      </c>
      <c r="BT123" s="175">
        <f t="shared" si="60"/>
        <v>0</v>
      </c>
      <c r="BU123" s="175">
        <f t="shared" si="60"/>
        <v>0</v>
      </c>
      <c r="BV123" s="175">
        <f t="shared" si="60"/>
        <v>0</v>
      </c>
      <c r="BW123" s="175">
        <f t="shared" si="60"/>
        <v>0</v>
      </c>
      <c r="BX123" s="175">
        <f t="shared" si="60"/>
        <v>0</v>
      </c>
      <c r="BY123" s="175">
        <f t="shared" si="60"/>
        <v>0</v>
      </c>
      <c r="BZ123" s="175">
        <f t="shared" si="60"/>
        <v>0</v>
      </c>
      <c r="CA123" s="175">
        <f t="shared" si="60"/>
        <v>0</v>
      </c>
      <c r="CB123" s="175">
        <f t="shared" si="60"/>
        <v>2432800182</v>
      </c>
      <c r="CC123" s="175">
        <f t="shared" si="60"/>
        <v>2427064367</v>
      </c>
      <c r="CD123" s="175">
        <f t="shared" ref="CD123:CV123" si="61">+CD122</f>
        <v>2427064367</v>
      </c>
      <c r="CE123" s="175">
        <f t="shared" si="61"/>
        <v>1538701078</v>
      </c>
      <c r="CF123" s="175">
        <f t="shared" si="61"/>
        <v>1203756160.4499998</v>
      </c>
      <c r="CG123" s="175">
        <f t="shared" si="61"/>
        <v>1184463671.4499998</v>
      </c>
      <c r="CH123" s="175">
        <f t="shared" si="61"/>
        <v>0</v>
      </c>
      <c r="CI123" s="175">
        <f t="shared" si="61"/>
        <v>0</v>
      </c>
      <c r="CJ123" s="175">
        <f t="shared" si="61"/>
        <v>0</v>
      </c>
      <c r="CK123" s="175">
        <f t="shared" si="61"/>
        <v>56061566</v>
      </c>
      <c r="CL123" s="175">
        <f t="shared" si="61"/>
        <v>56061566</v>
      </c>
      <c r="CM123" s="175">
        <f t="shared" si="61"/>
        <v>56061566</v>
      </c>
      <c r="CN123" s="175">
        <f t="shared" si="61"/>
        <v>1239890318</v>
      </c>
      <c r="CO123" s="175">
        <f t="shared" si="61"/>
        <v>127997027</v>
      </c>
      <c r="CP123" s="175">
        <f t="shared" si="61"/>
        <v>127997027</v>
      </c>
      <c r="CQ123" s="175">
        <f t="shared" si="61"/>
        <v>0</v>
      </c>
      <c r="CR123" s="175">
        <f t="shared" si="61"/>
        <v>0</v>
      </c>
      <c r="CS123" s="175">
        <f t="shared" si="61"/>
        <v>0</v>
      </c>
      <c r="CT123" s="856">
        <f t="shared" si="61"/>
        <v>15788210895.279999</v>
      </c>
      <c r="CU123" s="175">
        <f t="shared" si="61"/>
        <v>10497926393.310001</v>
      </c>
      <c r="CV123" s="175">
        <f t="shared" si="61"/>
        <v>9330780138.5100002</v>
      </c>
    </row>
    <row r="124" spans="1:100" s="27" customFormat="1" ht="15" x14ac:dyDescent="0.25">
      <c r="A124" s="176"/>
      <c r="B124" s="177"/>
      <c r="C124" s="949"/>
      <c r="D124" s="221"/>
      <c r="E124" s="949"/>
      <c r="F124" s="949"/>
      <c r="G124" s="177"/>
      <c r="H124" s="949"/>
      <c r="I124" s="177"/>
      <c r="J124" s="260"/>
      <c r="K124" s="260"/>
      <c r="L124" s="260"/>
      <c r="M124" s="260"/>
      <c r="N124" s="179"/>
      <c r="O124" s="177"/>
      <c r="P124" s="949"/>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1"/>
      <c r="BH124" s="181"/>
      <c r="BI124" s="181"/>
      <c r="BJ124" s="181"/>
      <c r="BK124" s="181"/>
      <c r="BL124" s="181"/>
      <c r="BM124" s="181"/>
      <c r="BN124" s="181"/>
      <c r="BO124" s="181"/>
      <c r="BP124" s="181"/>
      <c r="BQ124" s="181"/>
      <c r="BR124" s="181"/>
      <c r="BS124" s="181"/>
      <c r="BT124" s="181"/>
      <c r="BU124" s="181"/>
      <c r="BV124" s="181"/>
      <c r="BW124" s="181"/>
      <c r="BX124" s="181"/>
      <c r="BY124" s="180"/>
      <c r="BZ124" s="180"/>
      <c r="CA124" s="180"/>
      <c r="CB124" s="180"/>
      <c r="CC124" s="180"/>
      <c r="CD124" s="180"/>
      <c r="CE124" s="182"/>
      <c r="CF124" s="182"/>
      <c r="CG124" s="182"/>
      <c r="CH124" s="180"/>
      <c r="CI124" s="180"/>
      <c r="CJ124" s="180"/>
      <c r="CK124" s="180"/>
      <c r="CL124" s="180"/>
      <c r="CM124" s="180"/>
      <c r="CN124" s="180"/>
      <c r="CO124" s="180"/>
      <c r="CP124" s="180"/>
      <c r="CQ124" s="180"/>
      <c r="CR124" s="180"/>
      <c r="CS124" s="180"/>
      <c r="CT124" s="25"/>
      <c r="CU124" s="742"/>
      <c r="CV124" s="742"/>
    </row>
    <row r="125" spans="1:100" ht="20.25" x14ac:dyDescent="0.25">
      <c r="A125" s="134" t="s">
        <v>160</v>
      </c>
      <c r="B125" s="135"/>
      <c r="C125" s="136"/>
      <c r="D125" s="235"/>
      <c r="E125" s="135"/>
      <c r="F125" s="135"/>
      <c r="G125" s="135"/>
      <c r="H125" s="136"/>
      <c r="I125" s="135"/>
      <c r="J125" s="135"/>
      <c r="K125" s="135"/>
      <c r="L125" s="135"/>
      <c r="M125" s="135"/>
      <c r="N125" s="675"/>
      <c r="O125" s="135"/>
      <c r="P125" s="136"/>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7"/>
      <c r="CF125" s="137"/>
      <c r="CG125" s="137"/>
      <c r="CH125" s="138"/>
      <c r="CI125" s="138"/>
      <c r="CJ125" s="138"/>
      <c r="CK125" s="135"/>
      <c r="CL125" s="135"/>
      <c r="CM125" s="135"/>
      <c r="CN125" s="135"/>
      <c r="CO125" s="135"/>
      <c r="CP125" s="135"/>
      <c r="CQ125" s="135"/>
      <c r="CR125" s="135"/>
      <c r="CS125" s="135"/>
      <c r="CT125" s="566" t="s">
        <v>0</v>
      </c>
      <c r="CU125" s="566" t="s">
        <v>0</v>
      </c>
      <c r="CV125" s="566" t="s">
        <v>0</v>
      </c>
    </row>
    <row r="126" spans="1:100" ht="15" x14ac:dyDescent="0.25">
      <c r="A126" s="139">
        <v>4</v>
      </c>
      <c r="B126" s="140" t="s">
        <v>161</v>
      </c>
      <c r="C126" s="141"/>
      <c r="D126" s="140"/>
      <c r="E126" s="140"/>
      <c r="F126" s="140"/>
      <c r="G126" s="140"/>
      <c r="H126" s="141"/>
      <c r="I126" s="140"/>
      <c r="J126" s="140"/>
      <c r="K126" s="140"/>
      <c r="L126" s="140"/>
      <c r="M126" s="140"/>
      <c r="N126" s="676"/>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2"/>
      <c r="CF126" s="142"/>
      <c r="CG126" s="142"/>
      <c r="CH126" s="140"/>
      <c r="CI126" s="140"/>
      <c r="CJ126" s="140"/>
      <c r="CK126" s="140"/>
      <c r="CL126" s="140"/>
      <c r="CM126" s="140"/>
      <c r="CN126" s="140"/>
      <c r="CO126" s="140"/>
      <c r="CP126" s="140"/>
      <c r="CQ126" s="140"/>
      <c r="CR126" s="140"/>
      <c r="CS126" s="140"/>
      <c r="CT126" s="540"/>
      <c r="CU126" s="540"/>
      <c r="CV126" s="540"/>
    </row>
    <row r="127" spans="1:100" ht="15" x14ac:dyDescent="0.25">
      <c r="A127" s="185"/>
      <c r="B127" s="262">
        <v>23</v>
      </c>
      <c r="C127" s="145" t="s">
        <v>162</v>
      </c>
      <c r="D127" s="146"/>
      <c r="E127" s="146"/>
      <c r="F127" s="146"/>
      <c r="G127" s="146"/>
      <c r="H127" s="147"/>
      <c r="I127" s="146"/>
      <c r="J127" s="146"/>
      <c r="K127" s="146"/>
      <c r="L127" s="146"/>
      <c r="M127" s="146"/>
      <c r="N127" s="677"/>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8"/>
      <c r="CF127" s="148"/>
      <c r="CG127" s="148"/>
      <c r="CH127" s="146"/>
      <c r="CI127" s="146"/>
      <c r="CJ127" s="146"/>
      <c r="CK127" s="146"/>
      <c r="CL127" s="146"/>
      <c r="CM127" s="146"/>
      <c r="CN127" s="146"/>
      <c r="CO127" s="146"/>
      <c r="CP127" s="146"/>
      <c r="CQ127" s="146"/>
      <c r="CR127" s="146"/>
      <c r="CS127" s="146"/>
      <c r="CT127" s="526"/>
      <c r="CU127" s="526"/>
      <c r="CV127" s="526"/>
    </row>
    <row r="128" spans="1:100" thickBot="1" x14ac:dyDescent="0.3">
      <c r="A128" s="19"/>
      <c r="B128" s="185"/>
      <c r="C128" s="240"/>
      <c r="D128" s="186"/>
      <c r="E128" s="186"/>
      <c r="F128" s="187"/>
      <c r="G128" s="188">
        <v>75</v>
      </c>
      <c r="H128" s="189" t="s">
        <v>163</v>
      </c>
      <c r="I128" s="189"/>
      <c r="J128" s="189"/>
      <c r="K128" s="189"/>
      <c r="L128" s="189"/>
      <c r="M128" s="189"/>
      <c r="N128" s="678"/>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c r="BS128" s="189"/>
      <c r="BT128" s="189"/>
      <c r="BU128" s="189"/>
      <c r="BV128" s="189"/>
      <c r="BW128" s="189"/>
      <c r="BX128" s="189"/>
      <c r="BY128" s="189"/>
      <c r="BZ128" s="189"/>
      <c r="CA128" s="189"/>
      <c r="CB128" s="189"/>
      <c r="CC128" s="189"/>
      <c r="CD128" s="189"/>
      <c r="CE128" s="190"/>
      <c r="CF128" s="190"/>
      <c r="CG128" s="190"/>
      <c r="CH128" s="189"/>
      <c r="CI128" s="189"/>
      <c r="CJ128" s="189"/>
      <c r="CK128" s="189"/>
      <c r="CL128" s="189"/>
      <c r="CM128" s="189"/>
      <c r="CN128" s="189"/>
      <c r="CO128" s="189"/>
      <c r="CP128" s="189"/>
      <c r="CQ128" s="189"/>
      <c r="CR128" s="189"/>
      <c r="CS128" s="189"/>
      <c r="CT128" s="522"/>
      <c r="CU128" s="522"/>
      <c r="CV128" s="522"/>
    </row>
    <row r="129" spans="1:100" s="27" customFormat="1" ht="71.25" x14ac:dyDescent="0.25">
      <c r="A129" s="19"/>
      <c r="B129" s="19"/>
      <c r="C129" s="1144">
        <v>10</v>
      </c>
      <c r="D129" s="1149" t="s">
        <v>164</v>
      </c>
      <c r="E129" s="1161" t="s">
        <v>165</v>
      </c>
      <c r="F129" s="1161" t="s">
        <v>166</v>
      </c>
      <c r="G129" s="22"/>
      <c r="H129" s="929">
        <v>214</v>
      </c>
      <c r="I129" s="928" t="s">
        <v>167</v>
      </c>
      <c r="J129" s="23" t="s">
        <v>30</v>
      </c>
      <c r="K129" s="55">
        <v>1</v>
      </c>
      <c r="L129" s="904">
        <v>1</v>
      </c>
      <c r="M129" s="1158" t="s">
        <v>168</v>
      </c>
      <c r="N129" s="1017" t="s">
        <v>169</v>
      </c>
      <c r="O129" s="1012" t="s">
        <v>170</v>
      </c>
      <c r="P129" s="56" t="s">
        <v>34</v>
      </c>
      <c r="Q129" s="25">
        <v>0</v>
      </c>
      <c r="R129" s="25"/>
      <c r="S129" s="25"/>
      <c r="T129" s="25">
        <v>0</v>
      </c>
      <c r="U129" s="25"/>
      <c r="V129" s="25"/>
      <c r="W129" s="25">
        <v>0</v>
      </c>
      <c r="X129" s="43"/>
      <c r="Y129" s="43"/>
      <c r="Z129" s="57">
        <v>49300000</v>
      </c>
      <c r="AA129" s="710">
        <v>12649921</v>
      </c>
      <c r="AB129" s="710">
        <v>12649921</v>
      </c>
      <c r="AC129" s="25">
        <v>0</v>
      </c>
      <c r="AD129" s="25"/>
      <c r="AE129" s="25"/>
      <c r="AF129" s="25">
        <v>0</v>
      </c>
      <c r="AG129" s="25"/>
      <c r="AH129" s="25"/>
      <c r="AI129" s="25">
        <v>0</v>
      </c>
      <c r="AJ129" s="25"/>
      <c r="AK129" s="25"/>
      <c r="AL129" s="25"/>
      <c r="AM129" s="25"/>
      <c r="AN129" s="25"/>
      <c r="AO129" s="25"/>
      <c r="AP129" s="25"/>
      <c r="AQ129" s="25"/>
      <c r="AR129" s="25"/>
      <c r="AS129" s="25"/>
      <c r="AT129" s="25"/>
      <c r="AU129" s="25">
        <v>0</v>
      </c>
      <c r="AV129" s="25"/>
      <c r="AW129" s="25"/>
      <c r="AX129" s="25"/>
      <c r="AY129" s="25"/>
      <c r="AZ129" s="25"/>
      <c r="BA129" s="25">
        <v>0</v>
      </c>
      <c r="BB129" s="25"/>
      <c r="BC129" s="25"/>
      <c r="BD129" s="25">
        <v>0</v>
      </c>
      <c r="BE129" s="25"/>
      <c r="BF129" s="25"/>
      <c r="BG129" s="25"/>
      <c r="BH129" s="25"/>
      <c r="BI129" s="25"/>
      <c r="BJ129" s="25"/>
      <c r="BK129" s="25"/>
      <c r="BL129" s="25"/>
      <c r="BM129" s="25"/>
      <c r="BN129" s="25"/>
      <c r="BO129" s="25"/>
      <c r="BP129" s="25"/>
      <c r="BQ129" s="25"/>
      <c r="BR129" s="25"/>
      <c r="BS129" s="25"/>
      <c r="BT129" s="25"/>
      <c r="BU129" s="25"/>
      <c r="BV129" s="25"/>
      <c r="BW129" s="25"/>
      <c r="BX129" s="25"/>
      <c r="BY129" s="25">
        <v>0</v>
      </c>
      <c r="BZ129" s="25"/>
      <c r="CA129" s="25"/>
      <c r="CB129" s="25">
        <v>0</v>
      </c>
      <c r="CC129" s="25"/>
      <c r="CD129" s="25"/>
      <c r="CE129" s="110">
        <f>30000000-30000000</f>
        <v>0</v>
      </c>
      <c r="CF129" s="110"/>
      <c r="CG129" s="110"/>
      <c r="CH129" s="37"/>
      <c r="CI129" s="37"/>
      <c r="CJ129" s="37"/>
      <c r="CK129" s="25">
        <v>0</v>
      </c>
      <c r="CL129" s="26"/>
      <c r="CM129" s="26"/>
      <c r="CN129" s="58">
        <v>0</v>
      </c>
      <c r="CO129" s="58"/>
      <c r="CP129" s="58"/>
      <c r="CQ129" s="58"/>
      <c r="CR129" s="58"/>
      <c r="CS129" s="58"/>
      <c r="CT129" s="25">
        <f t="shared" ref="CT129:CV133" si="62">Q129+T129+W129+Z129+AC129+AF129+AI129+AL129+AO129+AR129+AU129+AX129+BA129+BD129+BG129+BJ129+BM129+BP129+BS129+BV129+BY129+CB129+CE129+CH129+CK129+CQ129+CN129</f>
        <v>49300000</v>
      </c>
      <c r="CU129" s="25">
        <f t="shared" si="62"/>
        <v>12649921</v>
      </c>
      <c r="CV129" s="25">
        <f t="shared" si="62"/>
        <v>12649921</v>
      </c>
    </row>
    <row r="130" spans="1:100" s="27" customFormat="1" ht="60.75" customHeight="1" x14ac:dyDescent="0.25">
      <c r="A130" s="19"/>
      <c r="B130" s="19"/>
      <c r="C130" s="1032"/>
      <c r="D130" s="1149"/>
      <c r="E130" s="1021"/>
      <c r="F130" s="1021"/>
      <c r="G130" s="28"/>
      <c r="H130" s="929">
        <v>215</v>
      </c>
      <c r="I130" s="928" t="s">
        <v>171</v>
      </c>
      <c r="J130" s="23">
        <v>10</v>
      </c>
      <c r="K130" s="55">
        <v>3</v>
      </c>
      <c r="L130" s="904">
        <v>3</v>
      </c>
      <c r="M130" s="1159"/>
      <c r="N130" s="1018"/>
      <c r="O130" s="1020"/>
      <c r="P130" s="59" t="s">
        <v>135</v>
      </c>
      <c r="Q130" s="25">
        <v>0</v>
      </c>
      <c r="R130" s="25"/>
      <c r="S130" s="25"/>
      <c r="T130" s="25">
        <v>0</v>
      </c>
      <c r="U130" s="25"/>
      <c r="V130" s="25"/>
      <c r="W130" s="25">
        <v>0</v>
      </c>
      <c r="X130" s="80"/>
      <c r="Y130" s="80"/>
      <c r="Z130" s="54">
        <f>5100000+100000000</f>
        <v>105100000</v>
      </c>
      <c r="AA130" s="54">
        <v>15000000</v>
      </c>
      <c r="AB130" s="54">
        <v>15000000</v>
      </c>
      <c r="AC130" s="25">
        <v>0</v>
      </c>
      <c r="AD130" s="25"/>
      <c r="AE130" s="25"/>
      <c r="AF130" s="25">
        <v>0</v>
      </c>
      <c r="AG130" s="25"/>
      <c r="AH130" s="25"/>
      <c r="AI130" s="25">
        <v>0</v>
      </c>
      <c r="AJ130" s="25"/>
      <c r="AK130" s="25"/>
      <c r="AL130" s="25"/>
      <c r="AM130" s="25"/>
      <c r="AN130" s="25"/>
      <c r="AO130" s="25"/>
      <c r="AP130" s="25"/>
      <c r="AQ130" s="25"/>
      <c r="AR130" s="25"/>
      <c r="AS130" s="25"/>
      <c r="AT130" s="25"/>
      <c r="AU130" s="25">
        <v>0</v>
      </c>
      <c r="AV130" s="25"/>
      <c r="AW130" s="25"/>
      <c r="AX130" s="25"/>
      <c r="AY130" s="25"/>
      <c r="AZ130" s="25"/>
      <c r="BA130" s="25">
        <v>0</v>
      </c>
      <c r="BB130" s="25"/>
      <c r="BC130" s="25"/>
      <c r="BD130" s="25">
        <v>0</v>
      </c>
      <c r="BE130" s="25"/>
      <c r="BF130" s="25"/>
      <c r="BG130" s="25"/>
      <c r="BH130" s="25"/>
      <c r="BI130" s="25"/>
      <c r="BJ130" s="25"/>
      <c r="BK130" s="25"/>
      <c r="BL130" s="25"/>
      <c r="BM130" s="25"/>
      <c r="BN130" s="25"/>
      <c r="BO130" s="25"/>
      <c r="BP130" s="25"/>
      <c r="BQ130" s="25"/>
      <c r="BR130" s="25"/>
      <c r="BS130" s="25"/>
      <c r="BT130" s="25"/>
      <c r="BU130" s="25"/>
      <c r="BV130" s="25"/>
      <c r="BW130" s="25"/>
      <c r="BX130" s="25"/>
      <c r="BY130" s="25">
        <v>0</v>
      </c>
      <c r="BZ130" s="25"/>
      <c r="CA130" s="25"/>
      <c r="CB130" s="25">
        <v>0</v>
      </c>
      <c r="CC130" s="25"/>
      <c r="CD130" s="25"/>
      <c r="CE130" s="110"/>
      <c r="CF130" s="110"/>
      <c r="CG130" s="110"/>
      <c r="CH130" s="37"/>
      <c r="CI130" s="37"/>
      <c r="CJ130" s="37"/>
      <c r="CK130" s="25">
        <v>0</v>
      </c>
      <c r="CL130" s="25"/>
      <c r="CM130" s="25"/>
      <c r="CN130" s="25">
        <v>0</v>
      </c>
      <c r="CO130" s="25"/>
      <c r="CP130" s="25"/>
      <c r="CQ130" s="25"/>
      <c r="CR130" s="25"/>
      <c r="CS130" s="25"/>
      <c r="CT130" s="25">
        <f t="shared" si="62"/>
        <v>105100000</v>
      </c>
      <c r="CU130" s="25">
        <f t="shared" si="62"/>
        <v>15000000</v>
      </c>
      <c r="CV130" s="25">
        <f t="shared" si="62"/>
        <v>15000000</v>
      </c>
    </row>
    <row r="131" spans="1:100" s="27" customFormat="1" ht="72" customHeight="1" x14ac:dyDescent="0.25">
      <c r="A131" s="19"/>
      <c r="B131" s="19"/>
      <c r="C131" s="1032"/>
      <c r="D131" s="1149"/>
      <c r="E131" s="1021"/>
      <c r="F131" s="1021"/>
      <c r="G131" s="28"/>
      <c r="H131" s="929">
        <v>216</v>
      </c>
      <c r="I131" s="928" t="s">
        <v>172</v>
      </c>
      <c r="J131" s="60" t="s">
        <v>173</v>
      </c>
      <c r="K131" s="699">
        <v>2.9940000000000002</v>
      </c>
      <c r="L131" s="905">
        <v>2</v>
      </c>
      <c r="M131" s="1159"/>
      <c r="N131" s="1018"/>
      <c r="O131" s="1020"/>
      <c r="P131" s="59" t="s">
        <v>34</v>
      </c>
      <c r="Q131" s="25">
        <v>0</v>
      </c>
      <c r="R131" s="25"/>
      <c r="S131" s="25"/>
      <c r="T131" s="25">
        <v>0</v>
      </c>
      <c r="U131" s="25"/>
      <c r="V131" s="25"/>
      <c r="W131" s="25">
        <v>0</v>
      </c>
      <c r="X131" s="80"/>
      <c r="Y131" s="80"/>
      <c r="Z131" s="54">
        <f>767600000+2000000000-284356796.9</f>
        <v>2483243203.0999999</v>
      </c>
      <c r="AA131" s="54"/>
      <c r="AB131" s="54"/>
      <c r="AC131" s="25">
        <v>0</v>
      </c>
      <c r="AD131" s="25"/>
      <c r="AE131" s="25"/>
      <c r="AF131" s="25">
        <v>0</v>
      </c>
      <c r="AG131" s="25"/>
      <c r="AH131" s="25"/>
      <c r="AI131" s="25">
        <v>0</v>
      </c>
      <c r="AJ131" s="25"/>
      <c r="AK131" s="25"/>
      <c r="AL131" s="25"/>
      <c r="AM131" s="25"/>
      <c r="AN131" s="25"/>
      <c r="AO131" s="25"/>
      <c r="AP131" s="25"/>
      <c r="AQ131" s="25"/>
      <c r="AR131" s="25"/>
      <c r="AS131" s="25"/>
      <c r="AT131" s="25"/>
      <c r="AU131" s="25">
        <v>0</v>
      </c>
      <c r="AV131" s="25"/>
      <c r="AW131" s="25"/>
      <c r="AX131" s="25"/>
      <c r="AY131" s="25"/>
      <c r="AZ131" s="25"/>
      <c r="BA131" s="25">
        <v>0</v>
      </c>
      <c r="BB131" s="25"/>
      <c r="BC131" s="25"/>
      <c r="BD131" s="25">
        <v>0</v>
      </c>
      <c r="BE131" s="25"/>
      <c r="BF131" s="25"/>
      <c r="BG131" s="25"/>
      <c r="BH131" s="25"/>
      <c r="BI131" s="25"/>
      <c r="BJ131" s="25"/>
      <c r="BK131" s="25"/>
      <c r="BL131" s="25"/>
      <c r="BM131" s="25"/>
      <c r="BN131" s="25"/>
      <c r="BO131" s="25"/>
      <c r="BP131" s="25"/>
      <c r="BQ131" s="25"/>
      <c r="BR131" s="25"/>
      <c r="BS131" s="25"/>
      <c r="BT131" s="25"/>
      <c r="BU131" s="25"/>
      <c r="BV131" s="25"/>
      <c r="BW131" s="25"/>
      <c r="BX131" s="25"/>
      <c r="BY131" s="25">
        <v>0</v>
      </c>
      <c r="BZ131" s="25"/>
      <c r="CA131" s="25"/>
      <c r="CB131" s="25">
        <v>0</v>
      </c>
      <c r="CC131" s="25"/>
      <c r="CD131" s="25"/>
      <c r="CE131" s="110">
        <f>50000000+30000000</f>
        <v>80000000</v>
      </c>
      <c r="CF131" s="110">
        <v>77984035</v>
      </c>
      <c r="CG131" s="110">
        <v>77984035</v>
      </c>
      <c r="CH131" s="37"/>
      <c r="CI131" s="37"/>
      <c r="CJ131" s="37"/>
      <c r="CK131" s="25">
        <v>0</v>
      </c>
      <c r="CL131" s="26"/>
      <c r="CM131" s="26"/>
      <c r="CN131" s="26">
        <v>0</v>
      </c>
      <c r="CO131" s="26"/>
      <c r="CP131" s="26"/>
      <c r="CQ131" s="26"/>
      <c r="CR131" s="26"/>
      <c r="CS131" s="26"/>
      <c r="CT131" s="25">
        <f t="shared" si="62"/>
        <v>2563243203.0999999</v>
      </c>
      <c r="CU131" s="25">
        <f t="shared" si="62"/>
        <v>77984035</v>
      </c>
      <c r="CV131" s="25">
        <f t="shared" si="62"/>
        <v>77984035</v>
      </c>
    </row>
    <row r="132" spans="1:100" s="27" customFormat="1" ht="90.75" customHeight="1" x14ac:dyDescent="0.25">
      <c r="A132" s="19"/>
      <c r="B132" s="19"/>
      <c r="C132" s="1038">
        <v>12</v>
      </c>
      <c r="D132" s="1149" t="s">
        <v>174</v>
      </c>
      <c r="E132" s="1023">
        <v>3166</v>
      </c>
      <c r="F132" s="1023">
        <v>2500</v>
      </c>
      <c r="G132" s="28"/>
      <c r="H132" s="929">
        <v>217</v>
      </c>
      <c r="I132" s="928" t="s">
        <v>175</v>
      </c>
      <c r="J132" s="60" t="s">
        <v>173</v>
      </c>
      <c r="K132" s="61" t="s">
        <v>176</v>
      </c>
      <c r="L132" s="905">
        <v>5</v>
      </c>
      <c r="M132" s="1159"/>
      <c r="N132" s="1018"/>
      <c r="O132" s="1020"/>
      <c r="P132" s="56" t="s">
        <v>38</v>
      </c>
      <c r="Q132" s="25">
        <v>0</v>
      </c>
      <c r="R132" s="25"/>
      <c r="S132" s="25"/>
      <c r="T132" s="25">
        <v>0</v>
      </c>
      <c r="U132" s="25"/>
      <c r="V132" s="25"/>
      <c r="W132" s="25">
        <v>0</v>
      </c>
      <c r="X132" s="80"/>
      <c r="Y132" s="80"/>
      <c r="Z132" s="54">
        <f>460500000+5333631612</f>
        <v>5794131612</v>
      </c>
      <c r="AA132" s="54">
        <v>4281767815</v>
      </c>
      <c r="AB132" s="54">
        <v>4152940576</v>
      </c>
      <c r="AC132" s="25">
        <v>0</v>
      </c>
      <c r="AD132" s="25"/>
      <c r="AE132" s="25"/>
      <c r="AF132" s="25">
        <v>0</v>
      </c>
      <c r="AG132" s="25"/>
      <c r="AH132" s="25"/>
      <c r="AI132" s="25">
        <v>0</v>
      </c>
      <c r="AJ132" s="25"/>
      <c r="AK132" s="25"/>
      <c r="AL132" s="25"/>
      <c r="AM132" s="25"/>
      <c r="AN132" s="25"/>
      <c r="AO132" s="25"/>
      <c r="AP132" s="25"/>
      <c r="AQ132" s="25"/>
      <c r="AR132" s="25"/>
      <c r="AS132" s="25"/>
      <c r="AT132" s="25"/>
      <c r="AU132" s="25">
        <v>0</v>
      </c>
      <c r="AV132" s="25"/>
      <c r="AW132" s="25"/>
      <c r="AX132" s="25"/>
      <c r="AY132" s="25"/>
      <c r="AZ132" s="25"/>
      <c r="BA132" s="25">
        <v>0</v>
      </c>
      <c r="BB132" s="25"/>
      <c r="BC132" s="25"/>
      <c r="BD132" s="25">
        <v>0</v>
      </c>
      <c r="BE132" s="25"/>
      <c r="BF132" s="25"/>
      <c r="BG132" s="25"/>
      <c r="BH132" s="25"/>
      <c r="BI132" s="25"/>
      <c r="BJ132" s="25"/>
      <c r="BK132" s="25"/>
      <c r="BL132" s="25"/>
      <c r="BM132" s="25"/>
      <c r="BN132" s="25"/>
      <c r="BO132" s="25"/>
      <c r="BP132" s="25"/>
      <c r="BQ132" s="25"/>
      <c r="BR132" s="25"/>
      <c r="BS132" s="25"/>
      <c r="BT132" s="25"/>
      <c r="BU132" s="25"/>
      <c r="BV132" s="25"/>
      <c r="BW132" s="25"/>
      <c r="BX132" s="25"/>
      <c r="BY132" s="25">
        <v>0</v>
      </c>
      <c r="BZ132" s="25"/>
      <c r="CA132" s="25"/>
      <c r="CB132" s="25">
        <v>0</v>
      </c>
      <c r="CC132" s="25"/>
      <c r="CD132" s="25"/>
      <c r="CE132" s="110">
        <v>0</v>
      </c>
      <c r="CF132" s="110"/>
      <c r="CG132" s="110"/>
      <c r="CH132" s="37"/>
      <c r="CI132" s="37"/>
      <c r="CJ132" s="37"/>
      <c r="CK132" s="25">
        <v>0</v>
      </c>
      <c r="CL132" s="26"/>
      <c r="CM132" s="26"/>
      <c r="CN132" s="26">
        <v>0</v>
      </c>
      <c r="CO132" s="26"/>
      <c r="CP132" s="26"/>
      <c r="CQ132" s="26"/>
      <c r="CR132" s="26"/>
      <c r="CS132" s="26"/>
      <c r="CT132" s="25">
        <f t="shared" si="62"/>
        <v>5794131612</v>
      </c>
      <c r="CU132" s="25">
        <f t="shared" si="62"/>
        <v>4281767815</v>
      </c>
      <c r="CV132" s="25">
        <f t="shared" si="62"/>
        <v>4152940576</v>
      </c>
    </row>
    <row r="133" spans="1:100" s="27" customFormat="1" ht="39.75" customHeight="1" x14ac:dyDescent="0.25">
      <c r="A133" s="19"/>
      <c r="B133" s="19"/>
      <c r="C133" s="1033"/>
      <c r="D133" s="1149"/>
      <c r="E133" s="1022"/>
      <c r="F133" s="1022"/>
      <c r="G133" s="29"/>
      <c r="H133" s="929">
        <v>218</v>
      </c>
      <c r="I133" s="928" t="s">
        <v>177</v>
      </c>
      <c r="J133" s="23">
        <v>3</v>
      </c>
      <c r="K133" s="23">
        <v>3</v>
      </c>
      <c r="L133" s="905">
        <v>3</v>
      </c>
      <c r="M133" s="1160"/>
      <c r="N133" s="1019"/>
      <c r="O133" s="1013"/>
      <c r="P133" s="56" t="s">
        <v>38</v>
      </c>
      <c r="Q133" s="25">
        <v>0</v>
      </c>
      <c r="R133" s="25"/>
      <c r="S133" s="25"/>
      <c r="T133" s="25">
        <v>0</v>
      </c>
      <c r="U133" s="25"/>
      <c r="V133" s="25"/>
      <c r="W133" s="25">
        <v>0</v>
      </c>
      <c r="X133" s="80"/>
      <c r="Y133" s="80"/>
      <c r="Z133" s="54">
        <f>230500000+25000000</f>
        <v>255500000</v>
      </c>
      <c r="AA133" s="54">
        <v>205616660</v>
      </c>
      <c r="AB133" s="54">
        <v>205616660</v>
      </c>
      <c r="AC133" s="25">
        <v>0</v>
      </c>
      <c r="AD133" s="25"/>
      <c r="AE133" s="25"/>
      <c r="AF133" s="25">
        <v>0</v>
      </c>
      <c r="AG133" s="25"/>
      <c r="AH133" s="25"/>
      <c r="AI133" s="25">
        <v>0</v>
      </c>
      <c r="AJ133" s="25"/>
      <c r="AK133" s="25"/>
      <c r="AL133" s="25"/>
      <c r="AM133" s="25"/>
      <c r="AN133" s="25"/>
      <c r="AO133" s="25"/>
      <c r="AP133" s="25"/>
      <c r="AQ133" s="25"/>
      <c r="AR133" s="25"/>
      <c r="AS133" s="25"/>
      <c r="AT133" s="25"/>
      <c r="AU133" s="25">
        <v>0</v>
      </c>
      <c r="AV133" s="25"/>
      <c r="AW133" s="25"/>
      <c r="AX133" s="25"/>
      <c r="AY133" s="25"/>
      <c r="AZ133" s="25"/>
      <c r="BA133" s="25">
        <v>0</v>
      </c>
      <c r="BB133" s="25"/>
      <c r="BC133" s="25"/>
      <c r="BD133" s="25">
        <v>0</v>
      </c>
      <c r="BE133" s="25"/>
      <c r="BF133" s="25"/>
      <c r="BG133" s="25"/>
      <c r="BH133" s="25"/>
      <c r="BI133" s="25"/>
      <c r="BJ133" s="25"/>
      <c r="BK133" s="25"/>
      <c r="BL133" s="25"/>
      <c r="BM133" s="25"/>
      <c r="BN133" s="25"/>
      <c r="BO133" s="25"/>
      <c r="BP133" s="25"/>
      <c r="BQ133" s="25"/>
      <c r="BR133" s="25"/>
      <c r="BS133" s="25"/>
      <c r="BT133" s="25"/>
      <c r="BU133" s="25"/>
      <c r="BV133" s="25"/>
      <c r="BW133" s="25"/>
      <c r="BX133" s="25"/>
      <c r="BY133" s="25">
        <v>0</v>
      </c>
      <c r="BZ133" s="25"/>
      <c r="CA133" s="25"/>
      <c r="CB133" s="25">
        <v>0</v>
      </c>
      <c r="CC133" s="25"/>
      <c r="CD133" s="25"/>
      <c r="CE133" s="110">
        <v>0</v>
      </c>
      <c r="CF133" s="110"/>
      <c r="CG133" s="110"/>
      <c r="CH133" s="37"/>
      <c r="CI133" s="37"/>
      <c r="CJ133" s="37"/>
      <c r="CK133" s="25">
        <v>0</v>
      </c>
      <c r="CL133" s="26"/>
      <c r="CM133" s="26"/>
      <c r="CN133" s="26">
        <v>0</v>
      </c>
      <c r="CO133" s="26"/>
      <c r="CP133" s="26"/>
      <c r="CQ133" s="26"/>
      <c r="CR133" s="26"/>
      <c r="CS133" s="26"/>
      <c r="CT133" s="25">
        <f t="shared" si="62"/>
        <v>255500000</v>
      </c>
      <c r="CU133" s="25">
        <f t="shared" si="62"/>
        <v>205616660</v>
      </c>
      <c r="CV133" s="25">
        <f t="shared" si="62"/>
        <v>205616660</v>
      </c>
    </row>
    <row r="134" spans="1:100" ht="15" x14ac:dyDescent="0.25">
      <c r="A134" s="19"/>
      <c r="B134" s="19"/>
      <c r="C134" s="213"/>
      <c r="D134" s="954"/>
      <c r="E134" s="581"/>
      <c r="F134" s="581"/>
      <c r="G134" s="154"/>
      <c r="H134" s="155"/>
      <c r="I134" s="154"/>
      <c r="J134" s="156"/>
      <c r="K134" s="156"/>
      <c r="L134" s="837"/>
      <c r="M134" s="156"/>
      <c r="N134" s="157"/>
      <c r="O134" s="154"/>
      <c r="P134" s="155"/>
      <c r="Q134" s="158">
        <f t="shared" ref="Q134:CB134" si="63">SUM(Q129:Q133)</f>
        <v>0</v>
      </c>
      <c r="R134" s="158">
        <f t="shared" si="63"/>
        <v>0</v>
      </c>
      <c r="S134" s="158">
        <f t="shared" si="63"/>
        <v>0</v>
      </c>
      <c r="T134" s="158">
        <f t="shared" si="63"/>
        <v>0</v>
      </c>
      <c r="U134" s="158">
        <f t="shared" si="63"/>
        <v>0</v>
      </c>
      <c r="V134" s="158">
        <f t="shared" si="63"/>
        <v>0</v>
      </c>
      <c r="W134" s="158">
        <f t="shared" si="63"/>
        <v>0</v>
      </c>
      <c r="X134" s="158">
        <f t="shared" si="63"/>
        <v>0</v>
      </c>
      <c r="Y134" s="158">
        <f t="shared" si="63"/>
        <v>0</v>
      </c>
      <c r="Z134" s="158">
        <f t="shared" si="63"/>
        <v>8687274815.1000004</v>
      </c>
      <c r="AA134" s="158">
        <f t="shared" si="63"/>
        <v>4515034396</v>
      </c>
      <c r="AB134" s="158">
        <f t="shared" si="63"/>
        <v>4386207157</v>
      </c>
      <c r="AC134" s="158">
        <f t="shared" si="63"/>
        <v>0</v>
      </c>
      <c r="AD134" s="158">
        <f t="shared" si="63"/>
        <v>0</v>
      </c>
      <c r="AE134" s="158">
        <f t="shared" si="63"/>
        <v>0</v>
      </c>
      <c r="AF134" s="158">
        <f t="shared" si="63"/>
        <v>0</v>
      </c>
      <c r="AG134" s="158">
        <f t="shared" si="63"/>
        <v>0</v>
      </c>
      <c r="AH134" s="158">
        <f t="shared" si="63"/>
        <v>0</v>
      </c>
      <c r="AI134" s="158">
        <f t="shared" si="63"/>
        <v>0</v>
      </c>
      <c r="AJ134" s="158">
        <f t="shared" si="63"/>
        <v>0</v>
      </c>
      <c r="AK134" s="158">
        <f t="shared" si="63"/>
        <v>0</v>
      </c>
      <c r="AL134" s="158">
        <f t="shared" si="63"/>
        <v>0</v>
      </c>
      <c r="AM134" s="158">
        <f t="shared" si="63"/>
        <v>0</v>
      </c>
      <c r="AN134" s="158">
        <f t="shared" si="63"/>
        <v>0</v>
      </c>
      <c r="AO134" s="158">
        <f t="shared" si="63"/>
        <v>0</v>
      </c>
      <c r="AP134" s="158">
        <f t="shared" si="63"/>
        <v>0</v>
      </c>
      <c r="AQ134" s="158">
        <f t="shared" si="63"/>
        <v>0</v>
      </c>
      <c r="AR134" s="158">
        <f t="shared" si="63"/>
        <v>0</v>
      </c>
      <c r="AS134" s="158">
        <f t="shared" si="63"/>
        <v>0</v>
      </c>
      <c r="AT134" s="158">
        <f t="shared" si="63"/>
        <v>0</v>
      </c>
      <c r="AU134" s="158">
        <f t="shared" si="63"/>
        <v>0</v>
      </c>
      <c r="AV134" s="158">
        <f t="shared" si="63"/>
        <v>0</v>
      </c>
      <c r="AW134" s="158">
        <f t="shared" si="63"/>
        <v>0</v>
      </c>
      <c r="AX134" s="158">
        <f t="shared" si="63"/>
        <v>0</v>
      </c>
      <c r="AY134" s="158">
        <f t="shared" si="63"/>
        <v>0</v>
      </c>
      <c r="AZ134" s="158">
        <f t="shared" si="63"/>
        <v>0</v>
      </c>
      <c r="BA134" s="158">
        <f t="shared" si="63"/>
        <v>0</v>
      </c>
      <c r="BB134" s="158">
        <f t="shared" si="63"/>
        <v>0</v>
      </c>
      <c r="BC134" s="158">
        <f t="shared" si="63"/>
        <v>0</v>
      </c>
      <c r="BD134" s="158">
        <f t="shared" si="63"/>
        <v>0</v>
      </c>
      <c r="BE134" s="158">
        <f t="shared" si="63"/>
        <v>0</v>
      </c>
      <c r="BF134" s="158">
        <f t="shared" si="63"/>
        <v>0</v>
      </c>
      <c r="BG134" s="158">
        <f t="shared" si="63"/>
        <v>0</v>
      </c>
      <c r="BH134" s="158">
        <f t="shared" si="63"/>
        <v>0</v>
      </c>
      <c r="BI134" s="158">
        <f t="shared" si="63"/>
        <v>0</v>
      </c>
      <c r="BJ134" s="158">
        <f t="shared" si="63"/>
        <v>0</v>
      </c>
      <c r="BK134" s="158">
        <f t="shared" si="63"/>
        <v>0</v>
      </c>
      <c r="BL134" s="158">
        <f t="shared" si="63"/>
        <v>0</v>
      </c>
      <c r="BM134" s="158">
        <f t="shared" si="63"/>
        <v>0</v>
      </c>
      <c r="BN134" s="158">
        <f t="shared" si="63"/>
        <v>0</v>
      </c>
      <c r="BO134" s="158">
        <f t="shared" si="63"/>
        <v>0</v>
      </c>
      <c r="BP134" s="158">
        <f t="shared" si="63"/>
        <v>0</v>
      </c>
      <c r="BQ134" s="158">
        <f t="shared" si="63"/>
        <v>0</v>
      </c>
      <c r="BR134" s="158">
        <f t="shared" si="63"/>
        <v>0</v>
      </c>
      <c r="BS134" s="158">
        <f t="shared" si="63"/>
        <v>0</v>
      </c>
      <c r="BT134" s="158">
        <f t="shared" si="63"/>
        <v>0</v>
      </c>
      <c r="BU134" s="158">
        <f t="shared" si="63"/>
        <v>0</v>
      </c>
      <c r="BV134" s="158">
        <f t="shared" si="63"/>
        <v>0</v>
      </c>
      <c r="BW134" s="158">
        <f t="shared" si="63"/>
        <v>0</v>
      </c>
      <c r="BX134" s="158">
        <f t="shared" si="63"/>
        <v>0</v>
      </c>
      <c r="BY134" s="158">
        <f t="shared" si="63"/>
        <v>0</v>
      </c>
      <c r="BZ134" s="158">
        <f t="shared" si="63"/>
        <v>0</v>
      </c>
      <c r="CA134" s="158">
        <f t="shared" si="63"/>
        <v>0</v>
      </c>
      <c r="CB134" s="158">
        <f t="shared" si="63"/>
        <v>0</v>
      </c>
      <c r="CC134" s="158">
        <f t="shared" ref="CC134:CR134" si="64">SUM(CC129:CC133)</f>
        <v>0</v>
      </c>
      <c r="CD134" s="158">
        <f t="shared" si="64"/>
        <v>0</v>
      </c>
      <c r="CE134" s="158">
        <f t="shared" si="64"/>
        <v>80000000</v>
      </c>
      <c r="CF134" s="158">
        <f t="shared" si="64"/>
        <v>77984035</v>
      </c>
      <c r="CG134" s="158">
        <f t="shared" si="64"/>
        <v>77984035</v>
      </c>
      <c r="CH134" s="158">
        <f t="shared" si="64"/>
        <v>0</v>
      </c>
      <c r="CI134" s="158">
        <f t="shared" si="64"/>
        <v>0</v>
      </c>
      <c r="CJ134" s="158">
        <f t="shared" si="64"/>
        <v>0</v>
      </c>
      <c r="CK134" s="158">
        <f t="shared" si="64"/>
        <v>0</v>
      </c>
      <c r="CL134" s="158">
        <f t="shared" si="64"/>
        <v>0</v>
      </c>
      <c r="CM134" s="158">
        <f t="shared" si="64"/>
        <v>0</v>
      </c>
      <c r="CN134" s="158">
        <f t="shared" si="64"/>
        <v>0</v>
      </c>
      <c r="CO134" s="158">
        <f t="shared" si="64"/>
        <v>0</v>
      </c>
      <c r="CP134" s="158">
        <f t="shared" si="64"/>
        <v>0</v>
      </c>
      <c r="CQ134" s="158">
        <f t="shared" si="64"/>
        <v>0</v>
      </c>
      <c r="CR134" s="158">
        <f t="shared" si="64"/>
        <v>0</v>
      </c>
      <c r="CS134" s="158">
        <f>SUM(CS129:CS133)</f>
        <v>0</v>
      </c>
      <c r="CT134" s="394">
        <f>SUM(CT129:CT133)</f>
        <v>8767274815.1000004</v>
      </c>
      <c r="CU134" s="853">
        <f>SUM(CU129:CU133)</f>
        <v>4593018431</v>
      </c>
      <c r="CV134" s="853">
        <f>SUM(CV129:CV133)</f>
        <v>4464191192</v>
      </c>
    </row>
    <row r="135" spans="1:100" s="27" customFormat="1" ht="15" x14ac:dyDescent="0.25">
      <c r="A135" s="19"/>
      <c r="B135" s="19"/>
      <c r="C135" s="927"/>
      <c r="D135" s="919"/>
      <c r="E135" s="929"/>
      <c r="F135" s="929"/>
      <c r="G135" s="928"/>
      <c r="H135" s="251"/>
      <c r="I135" s="177"/>
      <c r="J135" s="178"/>
      <c r="K135" s="178"/>
      <c r="L135" s="838"/>
      <c r="M135" s="229"/>
      <c r="N135" s="230"/>
      <c r="O135" s="221"/>
      <c r="P135" s="949"/>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1"/>
      <c r="BH135" s="181"/>
      <c r="BI135" s="181"/>
      <c r="BJ135" s="181"/>
      <c r="BK135" s="181"/>
      <c r="BL135" s="181"/>
      <c r="BM135" s="181"/>
      <c r="BN135" s="181"/>
      <c r="BO135" s="181"/>
      <c r="BP135" s="181"/>
      <c r="BQ135" s="181"/>
      <c r="BR135" s="181"/>
      <c r="BS135" s="181"/>
      <c r="BT135" s="181"/>
      <c r="BU135" s="181"/>
      <c r="BV135" s="181"/>
      <c r="BW135" s="181"/>
      <c r="BX135" s="181"/>
      <c r="BY135" s="180"/>
      <c r="BZ135" s="180"/>
      <c r="CA135" s="180"/>
      <c r="CB135" s="180"/>
      <c r="CC135" s="180"/>
      <c r="CD135" s="180"/>
      <c r="CE135" s="182"/>
      <c r="CF135" s="182"/>
      <c r="CG135" s="182"/>
      <c r="CH135" s="183"/>
      <c r="CI135" s="183"/>
      <c r="CJ135" s="183"/>
      <c r="CK135" s="180"/>
      <c r="CL135" s="180"/>
      <c r="CM135" s="180"/>
      <c r="CN135" s="180"/>
      <c r="CO135" s="180"/>
      <c r="CP135" s="180"/>
      <c r="CQ135" s="180"/>
      <c r="CR135" s="180"/>
      <c r="CS135" s="180"/>
      <c r="CT135" s="25"/>
      <c r="CU135" s="76"/>
      <c r="CV135" s="76"/>
    </row>
    <row r="136" spans="1:100" thickBot="1" x14ac:dyDescent="0.3">
      <c r="A136" s="19"/>
      <c r="B136" s="19"/>
      <c r="C136" s="213"/>
      <c r="D136" s="954"/>
      <c r="E136" s="581"/>
      <c r="F136" s="581"/>
      <c r="G136" s="254">
        <v>76</v>
      </c>
      <c r="H136" s="616" t="s">
        <v>178</v>
      </c>
      <c r="I136" s="279"/>
      <c r="J136" s="279"/>
      <c r="K136" s="279"/>
      <c r="L136" s="839"/>
      <c r="M136" s="279"/>
      <c r="N136" s="682"/>
      <c r="O136" s="27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c r="BS136" s="189"/>
      <c r="BT136" s="189"/>
      <c r="BU136" s="189"/>
      <c r="BV136" s="189"/>
      <c r="BW136" s="189"/>
      <c r="BX136" s="189"/>
      <c r="BY136" s="189"/>
      <c r="BZ136" s="189"/>
      <c r="CA136" s="189"/>
      <c r="CB136" s="189"/>
      <c r="CC136" s="189"/>
      <c r="CD136" s="189"/>
      <c r="CE136" s="190"/>
      <c r="CF136" s="190"/>
      <c r="CG136" s="190"/>
      <c r="CH136" s="189"/>
      <c r="CI136" s="189"/>
      <c r="CJ136" s="189"/>
      <c r="CK136" s="189"/>
      <c r="CL136" s="189"/>
      <c r="CM136" s="189"/>
      <c r="CN136" s="189"/>
      <c r="CO136" s="189"/>
      <c r="CP136" s="189"/>
      <c r="CQ136" s="189"/>
      <c r="CR136" s="189"/>
      <c r="CS136" s="189"/>
      <c r="CT136" s="522"/>
      <c r="CU136" s="522"/>
      <c r="CV136" s="522"/>
    </row>
    <row r="137" spans="1:100" s="27" customFormat="1" ht="95.25" customHeight="1" x14ac:dyDescent="0.25">
      <c r="A137" s="19"/>
      <c r="B137" s="19"/>
      <c r="C137" s="1162">
        <v>10</v>
      </c>
      <c r="D137" s="1149" t="s">
        <v>164</v>
      </c>
      <c r="E137" s="1161" t="s">
        <v>165</v>
      </c>
      <c r="F137" s="1161" t="s">
        <v>166</v>
      </c>
      <c r="G137" s="22"/>
      <c r="H137" s="929">
        <v>219</v>
      </c>
      <c r="I137" s="928" t="s">
        <v>179</v>
      </c>
      <c r="J137" s="23" t="s">
        <v>30</v>
      </c>
      <c r="K137" s="62">
        <v>11</v>
      </c>
      <c r="L137" s="646">
        <v>11</v>
      </c>
      <c r="M137" s="1158" t="s">
        <v>180</v>
      </c>
      <c r="N137" s="1017" t="s">
        <v>181</v>
      </c>
      <c r="O137" s="1012" t="s">
        <v>182</v>
      </c>
      <c r="P137" s="929" t="s">
        <v>34</v>
      </c>
      <c r="Q137" s="25">
        <v>0</v>
      </c>
      <c r="R137" s="25"/>
      <c r="S137" s="25"/>
      <c r="T137" s="25">
        <v>0</v>
      </c>
      <c r="U137" s="25"/>
      <c r="V137" s="25"/>
      <c r="W137" s="25">
        <v>0</v>
      </c>
      <c r="X137" s="25"/>
      <c r="Y137" s="25"/>
      <c r="Z137" s="13">
        <f>111600000+90000000</f>
        <v>201600000</v>
      </c>
      <c r="AA137" s="13">
        <v>160719971</v>
      </c>
      <c r="AB137" s="13">
        <v>160719971</v>
      </c>
      <c r="AC137" s="25">
        <v>0</v>
      </c>
      <c r="AD137" s="25"/>
      <c r="AE137" s="25"/>
      <c r="AF137" s="25">
        <v>0</v>
      </c>
      <c r="AG137" s="25"/>
      <c r="AH137" s="25"/>
      <c r="AI137" s="25">
        <v>0</v>
      </c>
      <c r="AJ137" s="25"/>
      <c r="AK137" s="25"/>
      <c r="AL137" s="25"/>
      <c r="AM137" s="25"/>
      <c r="AN137" s="25"/>
      <c r="AO137" s="25"/>
      <c r="AP137" s="25"/>
      <c r="AQ137" s="25"/>
      <c r="AR137" s="25"/>
      <c r="AS137" s="25"/>
      <c r="AT137" s="25"/>
      <c r="AU137" s="25">
        <v>0</v>
      </c>
      <c r="AV137" s="25"/>
      <c r="AW137" s="25"/>
      <c r="AX137" s="25"/>
      <c r="AY137" s="25"/>
      <c r="AZ137" s="25"/>
      <c r="BA137" s="25">
        <v>0</v>
      </c>
      <c r="BB137" s="25"/>
      <c r="BC137" s="25"/>
      <c r="BD137" s="25">
        <v>0</v>
      </c>
      <c r="BE137" s="25"/>
      <c r="BF137" s="25"/>
      <c r="BG137" s="25"/>
      <c r="BH137" s="25"/>
      <c r="BI137" s="25"/>
      <c r="BJ137" s="25"/>
      <c r="BK137" s="25"/>
      <c r="BL137" s="25"/>
      <c r="BM137" s="25"/>
      <c r="BN137" s="25"/>
      <c r="BO137" s="25"/>
      <c r="BP137" s="25"/>
      <c r="BQ137" s="25"/>
      <c r="BR137" s="25"/>
      <c r="BS137" s="25"/>
      <c r="BT137" s="25"/>
      <c r="BU137" s="25"/>
      <c r="BV137" s="25"/>
      <c r="BW137" s="25"/>
      <c r="BX137" s="25"/>
      <c r="BY137" s="25">
        <v>0</v>
      </c>
      <c r="BZ137" s="25"/>
      <c r="CA137" s="25"/>
      <c r="CB137" s="25">
        <v>0</v>
      </c>
      <c r="CC137" s="25"/>
      <c r="CD137" s="25"/>
      <c r="CE137" s="110"/>
      <c r="CF137" s="110"/>
      <c r="CG137" s="110"/>
      <c r="CH137" s="13"/>
      <c r="CI137" s="13"/>
      <c r="CJ137" s="13"/>
      <c r="CK137" s="25">
        <v>0</v>
      </c>
      <c r="CL137" s="26"/>
      <c r="CM137" s="26"/>
      <c r="CN137" s="26">
        <v>0</v>
      </c>
      <c r="CO137" s="26"/>
      <c r="CP137" s="26"/>
      <c r="CQ137" s="26"/>
      <c r="CR137" s="26"/>
      <c r="CS137" s="26"/>
      <c r="CT137" s="25">
        <f t="shared" ref="CT137:CV140" si="65">Q137+T137+W137+Z137+AC137+AF137+AI137+AL137+AO137+AR137+AU137+AX137+BA137+BD137+BG137+BJ137+BM137+BP137+BS137+BV137+BY137+CB137+CE137+CH137+CK137+CQ137+CN137</f>
        <v>201600000</v>
      </c>
      <c r="CU137" s="25">
        <f t="shared" si="65"/>
        <v>160719971</v>
      </c>
      <c r="CV137" s="25">
        <f t="shared" si="65"/>
        <v>160719971</v>
      </c>
    </row>
    <row r="138" spans="1:100" s="27" customFormat="1" ht="60.75" customHeight="1" x14ac:dyDescent="0.25">
      <c r="A138" s="19"/>
      <c r="B138" s="19"/>
      <c r="C138" s="1163"/>
      <c r="D138" s="1149"/>
      <c r="E138" s="1161"/>
      <c r="F138" s="1161"/>
      <c r="G138" s="28"/>
      <c r="H138" s="929">
        <v>220</v>
      </c>
      <c r="I138" s="928" t="s">
        <v>183</v>
      </c>
      <c r="J138" s="23">
        <v>0</v>
      </c>
      <c r="K138" s="63">
        <v>9</v>
      </c>
      <c r="L138" s="646">
        <v>9</v>
      </c>
      <c r="M138" s="1159"/>
      <c r="N138" s="1018"/>
      <c r="O138" s="1020"/>
      <c r="P138" s="929" t="s">
        <v>34</v>
      </c>
      <c r="Q138" s="25">
        <v>0</v>
      </c>
      <c r="R138" s="25"/>
      <c r="S138" s="25"/>
      <c r="T138" s="25">
        <v>0</v>
      </c>
      <c r="U138" s="25"/>
      <c r="V138" s="25"/>
      <c r="W138" s="25">
        <v>0</v>
      </c>
      <c r="X138" s="25"/>
      <c r="Y138" s="25"/>
      <c r="Z138" s="13">
        <f>111600000+130000000-18000000</f>
        <v>223600000</v>
      </c>
      <c r="AA138" s="13">
        <v>179309989</v>
      </c>
      <c r="AB138" s="13">
        <v>179309989</v>
      </c>
      <c r="AC138" s="25">
        <v>0</v>
      </c>
      <c r="AD138" s="25"/>
      <c r="AE138" s="25"/>
      <c r="AF138" s="25">
        <v>0</v>
      </c>
      <c r="AG138" s="25"/>
      <c r="AH138" s="25"/>
      <c r="AI138" s="25">
        <v>0</v>
      </c>
      <c r="AJ138" s="25"/>
      <c r="AK138" s="25"/>
      <c r="AL138" s="25"/>
      <c r="AM138" s="25"/>
      <c r="AN138" s="25"/>
      <c r="AO138" s="25"/>
      <c r="AP138" s="25"/>
      <c r="AQ138" s="25"/>
      <c r="AR138" s="25"/>
      <c r="AS138" s="25"/>
      <c r="AT138" s="25"/>
      <c r="AU138" s="25">
        <v>0</v>
      </c>
      <c r="AV138" s="25"/>
      <c r="AW138" s="25"/>
      <c r="AX138" s="25"/>
      <c r="AY138" s="25"/>
      <c r="AZ138" s="25"/>
      <c r="BA138" s="25">
        <v>0</v>
      </c>
      <c r="BB138" s="25"/>
      <c r="BC138" s="25"/>
      <c r="BD138" s="25">
        <v>0</v>
      </c>
      <c r="BE138" s="25"/>
      <c r="BF138" s="25"/>
      <c r="BG138" s="25"/>
      <c r="BH138" s="25"/>
      <c r="BI138" s="25"/>
      <c r="BJ138" s="25"/>
      <c r="BK138" s="25"/>
      <c r="BL138" s="25"/>
      <c r="BM138" s="25"/>
      <c r="BN138" s="25"/>
      <c r="BO138" s="25"/>
      <c r="BP138" s="25"/>
      <c r="BQ138" s="25"/>
      <c r="BR138" s="25"/>
      <c r="BS138" s="25"/>
      <c r="BT138" s="25"/>
      <c r="BU138" s="25"/>
      <c r="BV138" s="25"/>
      <c r="BW138" s="25"/>
      <c r="BX138" s="25"/>
      <c r="BY138" s="25">
        <v>0</v>
      </c>
      <c r="BZ138" s="25"/>
      <c r="CA138" s="25"/>
      <c r="CB138" s="25">
        <v>0</v>
      </c>
      <c r="CC138" s="25"/>
      <c r="CD138" s="25"/>
      <c r="CE138" s="110">
        <f>150000000+18000000</f>
        <v>168000000</v>
      </c>
      <c r="CF138" s="110">
        <v>118643285</v>
      </c>
      <c r="CG138" s="110">
        <v>118643285</v>
      </c>
      <c r="CH138" s="13"/>
      <c r="CI138" s="13"/>
      <c r="CJ138" s="13"/>
      <c r="CK138" s="25">
        <v>0</v>
      </c>
      <c r="CL138" s="26"/>
      <c r="CM138" s="26"/>
      <c r="CN138" s="26">
        <v>0</v>
      </c>
      <c r="CO138" s="26"/>
      <c r="CP138" s="26"/>
      <c r="CQ138" s="26"/>
      <c r="CR138" s="26"/>
      <c r="CS138" s="26"/>
      <c r="CT138" s="25">
        <f t="shared" si="65"/>
        <v>391600000</v>
      </c>
      <c r="CU138" s="25">
        <f t="shared" si="65"/>
        <v>297953274</v>
      </c>
      <c r="CV138" s="25">
        <f t="shared" si="65"/>
        <v>297953274</v>
      </c>
    </row>
    <row r="139" spans="1:100" s="27" customFormat="1" ht="40.5" customHeight="1" x14ac:dyDescent="0.25">
      <c r="A139" s="19"/>
      <c r="B139" s="19"/>
      <c r="C139" s="1032">
        <v>12</v>
      </c>
      <c r="D139" s="1020" t="s">
        <v>174</v>
      </c>
      <c r="E139" s="1023">
        <v>3166</v>
      </c>
      <c r="F139" s="1023">
        <v>2500</v>
      </c>
      <c r="G139" s="28"/>
      <c r="H139" s="929">
        <v>221</v>
      </c>
      <c r="I139" s="928" t="s">
        <v>184</v>
      </c>
      <c r="J139" s="23">
        <v>1</v>
      </c>
      <c r="K139" s="64">
        <v>1</v>
      </c>
      <c r="L139" s="906">
        <v>0.5</v>
      </c>
      <c r="M139" s="1159"/>
      <c r="N139" s="1018"/>
      <c r="O139" s="1020"/>
      <c r="P139" s="929" t="s">
        <v>38</v>
      </c>
      <c r="Q139" s="25">
        <v>0</v>
      </c>
      <c r="R139" s="25"/>
      <c r="S139" s="25"/>
      <c r="T139" s="25">
        <v>0</v>
      </c>
      <c r="U139" s="25"/>
      <c r="V139" s="25"/>
      <c r="W139" s="25">
        <v>0</v>
      </c>
      <c r="X139" s="25"/>
      <c r="Y139" s="25"/>
      <c r="Z139" s="13">
        <f>26800000-12000000</f>
        <v>14800000</v>
      </c>
      <c r="AA139" s="13">
        <v>5764000</v>
      </c>
      <c r="AB139" s="13">
        <v>5764000</v>
      </c>
      <c r="AC139" s="25">
        <v>0</v>
      </c>
      <c r="AD139" s="25"/>
      <c r="AE139" s="25"/>
      <c r="AF139" s="25">
        <v>0</v>
      </c>
      <c r="AG139" s="25"/>
      <c r="AH139" s="25"/>
      <c r="AI139" s="25">
        <v>0</v>
      </c>
      <c r="AJ139" s="25"/>
      <c r="AK139" s="25"/>
      <c r="AL139" s="25"/>
      <c r="AM139" s="25"/>
      <c r="AN139" s="25"/>
      <c r="AO139" s="25"/>
      <c r="AP139" s="25"/>
      <c r="AQ139" s="25"/>
      <c r="AR139" s="25"/>
      <c r="AS139" s="25"/>
      <c r="AT139" s="25"/>
      <c r="AU139" s="25">
        <v>0</v>
      </c>
      <c r="AV139" s="25"/>
      <c r="AW139" s="25"/>
      <c r="AX139" s="25"/>
      <c r="AY139" s="25"/>
      <c r="AZ139" s="25"/>
      <c r="BA139" s="25">
        <v>0</v>
      </c>
      <c r="BB139" s="25"/>
      <c r="BC139" s="25"/>
      <c r="BD139" s="25">
        <v>0</v>
      </c>
      <c r="BE139" s="25"/>
      <c r="BF139" s="25"/>
      <c r="BG139" s="25"/>
      <c r="BH139" s="25"/>
      <c r="BI139" s="25"/>
      <c r="BJ139" s="25"/>
      <c r="BK139" s="25"/>
      <c r="BL139" s="25"/>
      <c r="BM139" s="25"/>
      <c r="BN139" s="25"/>
      <c r="BO139" s="25"/>
      <c r="BP139" s="25"/>
      <c r="BQ139" s="25"/>
      <c r="BR139" s="25"/>
      <c r="BS139" s="25"/>
      <c r="BT139" s="25"/>
      <c r="BU139" s="25"/>
      <c r="BV139" s="25"/>
      <c r="BW139" s="25"/>
      <c r="BX139" s="25"/>
      <c r="BY139" s="25">
        <v>0</v>
      </c>
      <c r="BZ139" s="25"/>
      <c r="CA139" s="25"/>
      <c r="CB139" s="25">
        <v>0</v>
      </c>
      <c r="CC139" s="25"/>
      <c r="CD139" s="25"/>
      <c r="CE139" s="110">
        <v>12000000</v>
      </c>
      <c r="CF139" s="110">
        <v>12000000</v>
      </c>
      <c r="CG139" s="110">
        <v>10000000</v>
      </c>
      <c r="CH139" s="13"/>
      <c r="CI139" s="13"/>
      <c r="CJ139" s="13"/>
      <c r="CK139" s="25">
        <v>0</v>
      </c>
      <c r="CL139" s="26"/>
      <c r="CM139" s="26"/>
      <c r="CN139" s="26">
        <v>0</v>
      </c>
      <c r="CO139" s="26"/>
      <c r="CP139" s="26"/>
      <c r="CQ139" s="26"/>
      <c r="CR139" s="26"/>
      <c r="CS139" s="26"/>
      <c r="CT139" s="25">
        <f t="shared" si="65"/>
        <v>26800000</v>
      </c>
      <c r="CU139" s="25">
        <f t="shared" si="65"/>
        <v>17764000</v>
      </c>
      <c r="CV139" s="25">
        <f t="shared" si="65"/>
        <v>15764000</v>
      </c>
    </row>
    <row r="140" spans="1:100" s="27" customFormat="1" ht="49.5" customHeight="1" x14ac:dyDescent="0.25">
      <c r="A140" s="19"/>
      <c r="B140" s="19"/>
      <c r="C140" s="1033"/>
      <c r="D140" s="1013"/>
      <c r="E140" s="1022"/>
      <c r="F140" s="1022"/>
      <c r="G140" s="29"/>
      <c r="H140" s="929">
        <v>222</v>
      </c>
      <c r="I140" s="928" t="s">
        <v>185</v>
      </c>
      <c r="J140" s="23">
        <v>1</v>
      </c>
      <c r="K140" s="64">
        <v>1</v>
      </c>
      <c r="L140" s="646">
        <v>1</v>
      </c>
      <c r="M140" s="1160"/>
      <c r="N140" s="1019"/>
      <c r="O140" s="1013"/>
      <c r="P140" s="929" t="s">
        <v>38</v>
      </c>
      <c r="Q140" s="25">
        <v>0</v>
      </c>
      <c r="R140" s="25"/>
      <c r="S140" s="25"/>
      <c r="T140" s="25">
        <v>0</v>
      </c>
      <c r="U140" s="25"/>
      <c r="V140" s="25"/>
      <c r="W140" s="25">
        <v>0</v>
      </c>
      <c r="X140" s="25"/>
      <c r="Y140" s="25"/>
      <c r="Z140" s="25">
        <v>18000000</v>
      </c>
      <c r="AA140" s="25">
        <v>17733320</v>
      </c>
      <c r="AB140" s="25">
        <v>17733320</v>
      </c>
      <c r="AC140" s="25">
        <v>0</v>
      </c>
      <c r="AD140" s="25"/>
      <c r="AE140" s="25"/>
      <c r="AF140" s="25">
        <v>0</v>
      </c>
      <c r="AG140" s="25"/>
      <c r="AH140" s="25"/>
      <c r="AI140" s="25">
        <v>0</v>
      </c>
      <c r="AJ140" s="25"/>
      <c r="AK140" s="25"/>
      <c r="AL140" s="25"/>
      <c r="AM140" s="25"/>
      <c r="AN140" s="25"/>
      <c r="AO140" s="25"/>
      <c r="AP140" s="25"/>
      <c r="AQ140" s="25"/>
      <c r="AR140" s="25"/>
      <c r="AS140" s="25"/>
      <c r="AT140" s="25"/>
      <c r="AU140" s="25">
        <v>0</v>
      </c>
      <c r="AV140" s="25"/>
      <c r="AW140" s="25"/>
      <c r="AX140" s="25"/>
      <c r="AY140" s="25"/>
      <c r="AZ140" s="25"/>
      <c r="BA140" s="25">
        <v>0</v>
      </c>
      <c r="BB140" s="25"/>
      <c r="BC140" s="25"/>
      <c r="BD140" s="25">
        <v>0</v>
      </c>
      <c r="BE140" s="25"/>
      <c r="BF140" s="25"/>
      <c r="BG140" s="25"/>
      <c r="BH140" s="25"/>
      <c r="BI140" s="25"/>
      <c r="BJ140" s="25"/>
      <c r="BK140" s="25"/>
      <c r="BL140" s="25"/>
      <c r="BM140" s="25"/>
      <c r="BN140" s="25"/>
      <c r="BO140" s="25"/>
      <c r="BP140" s="25"/>
      <c r="BQ140" s="25"/>
      <c r="BR140" s="25"/>
      <c r="BS140" s="25"/>
      <c r="BT140" s="25"/>
      <c r="BU140" s="25"/>
      <c r="BV140" s="25"/>
      <c r="BW140" s="25"/>
      <c r="BX140" s="25"/>
      <c r="BY140" s="25">
        <v>0</v>
      </c>
      <c r="BZ140" s="25"/>
      <c r="CA140" s="25"/>
      <c r="CB140" s="25">
        <v>0</v>
      </c>
      <c r="CC140" s="26"/>
      <c r="CD140" s="26"/>
      <c r="CE140" s="112">
        <f>18000000-18000000</f>
        <v>0</v>
      </c>
      <c r="CF140" s="112"/>
      <c r="CG140" s="112"/>
      <c r="CH140" s="9"/>
      <c r="CI140" s="9"/>
      <c r="CJ140" s="9"/>
      <c r="CK140" s="25">
        <v>0</v>
      </c>
      <c r="CL140" s="26"/>
      <c r="CM140" s="26"/>
      <c r="CN140" s="26">
        <v>0</v>
      </c>
      <c r="CO140" s="26"/>
      <c r="CP140" s="26"/>
      <c r="CQ140" s="26"/>
      <c r="CR140" s="26"/>
      <c r="CS140" s="26"/>
      <c r="CT140" s="25">
        <f t="shared" si="65"/>
        <v>18000000</v>
      </c>
      <c r="CU140" s="25">
        <f t="shared" si="65"/>
        <v>17733320</v>
      </c>
      <c r="CV140" s="25">
        <f t="shared" si="65"/>
        <v>17733320</v>
      </c>
    </row>
    <row r="141" spans="1:100" ht="15" x14ac:dyDescent="0.25">
      <c r="A141" s="19"/>
      <c r="B141" s="19"/>
      <c r="C141" s="213"/>
      <c r="D141" s="954"/>
      <c r="E141" s="581"/>
      <c r="F141" s="581"/>
      <c r="G141" s="154"/>
      <c r="H141" s="155"/>
      <c r="I141" s="154"/>
      <c r="J141" s="156"/>
      <c r="K141" s="156"/>
      <c r="L141" s="837"/>
      <c r="M141" s="156"/>
      <c r="N141" s="157"/>
      <c r="O141" s="154"/>
      <c r="P141" s="155"/>
      <c r="Q141" s="158">
        <f t="shared" ref="Q141:CB141" si="66">SUM(Q136:Q140)</f>
        <v>0</v>
      </c>
      <c r="R141" s="158">
        <f t="shared" si="66"/>
        <v>0</v>
      </c>
      <c r="S141" s="158">
        <f t="shared" si="66"/>
        <v>0</v>
      </c>
      <c r="T141" s="158">
        <f t="shared" si="66"/>
        <v>0</v>
      </c>
      <c r="U141" s="158">
        <f t="shared" si="66"/>
        <v>0</v>
      </c>
      <c r="V141" s="158">
        <f t="shared" si="66"/>
        <v>0</v>
      </c>
      <c r="W141" s="158">
        <f t="shared" si="66"/>
        <v>0</v>
      </c>
      <c r="X141" s="158">
        <f t="shared" si="66"/>
        <v>0</v>
      </c>
      <c r="Y141" s="158">
        <f t="shared" si="66"/>
        <v>0</v>
      </c>
      <c r="Z141" s="158">
        <f t="shared" si="66"/>
        <v>458000000</v>
      </c>
      <c r="AA141" s="158">
        <f t="shared" si="66"/>
        <v>363527280</v>
      </c>
      <c r="AB141" s="158">
        <f t="shared" si="66"/>
        <v>363527280</v>
      </c>
      <c r="AC141" s="158">
        <f t="shared" si="66"/>
        <v>0</v>
      </c>
      <c r="AD141" s="158">
        <f t="shared" si="66"/>
        <v>0</v>
      </c>
      <c r="AE141" s="158">
        <f t="shared" si="66"/>
        <v>0</v>
      </c>
      <c r="AF141" s="158">
        <f t="shared" si="66"/>
        <v>0</v>
      </c>
      <c r="AG141" s="158">
        <f t="shared" si="66"/>
        <v>0</v>
      </c>
      <c r="AH141" s="158">
        <f t="shared" si="66"/>
        <v>0</v>
      </c>
      <c r="AI141" s="158">
        <f t="shared" si="66"/>
        <v>0</v>
      </c>
      <c r="AJ141" s="158">
        <f t="shared" si="66"/>
        <v>0</v>
      </c>
      <c r="AK141" s="158">
        <f t="shared" si="66"/>
        <v>0</v>
      </c>
      <c r="AL141" s="158">
        <f t="shared" si="66"/>
        <v>0</v>
      </c>
      <c r="AM141" s="158">
        <f t="shared" si="66"/>
        <v>0</v>
      </c>
      <c r="AN141" s="158">
        <f t="shared" si="66"/>
        <v>0</v>
      </c>
      <c r="AO141" s="158">
        <f t="shared" si="66"/>
        <v>0</v>
      </c>
      <c r="AP141" s="158">
        <f t="shared" si="66"/>
        <v>0</v>
      </c>
      <c r="AQ141" s="158">
        <f t="shared" si="66"/>
        <v>0</v>
      </c>
      <c r="AR141" s="158">
        <f t="shared" si="66"/>
        <v>0</v>
      </c>
      <c r="AS141" s="158">
        <f t="shared" si="66"/>
        <v>0</v>
      </c>
      <c r="AT141" s="158">
        <f t="shared" si="66"/>
        <v>0</v>
      </c>
      <c r="AU141" s="158">
        <f t="shared" si="66"/>
        <v>0</v>
      </c>
      <c r="AV141" s="158">
        <f t="shared" si="66"/>
        <v>0</v>
      </c>
      <c r="AW141" s="158">
        <f t="shared" si="66"/>
        <v>0</v>
      </c>
      <c r="AX141" s="158">
        <f t="shared" si="66"/>
        <v>0</v>
      </c>
      <c r="AY141" s="158">
        <f t="shared" si="66"/>
        <v>0</v>
      </c>
      <c r="AZ141" s="158">
        <f t="shared" si="66"/>
        <v>0</v>
      </c>
      <c r="BA141" s="158">
        <f t="shared" si="66"/>
        <v>0</v>
      </c>
      <c r="BB141" s="158">
        <f t="shared" si="66"/>
        <v>0</v>
      </c>
      <c r="BC141" s="158">
        <f t="shared" si="66"/>
        <v>0</v>
      </c>
      <c r="BD141" s="158">
        <f t="shared" si="66"/>
        <v>0</v>
      </c>
      <c r="BE141" s="158">
        <f t="shared" si="66"/>
        <v>0</v>
      </c>
      <c r="BF141" s="158">
        <f t="shared" si="66"/>
        <v>0</v>
      </c>
      <c r="BG141" s="158">
        <f t="shared" si="66"/>
        <v>0</v>
      </c>
      <c r="BH141" s="158">
        <f t="shared" si="66"/>
        <v>0</v>
      </c>
      <c r="BI141" s="158">
        <f t="shared" si="66"/>
        <v>0</v>
      </c>
      <c r="BJ141" s="158">
        <f t="shared" si="66"/>
        <v>0</v>
      </c>
      <c r="BK141" s="158">
        <f t="shared" si="66"/>
        <v>0</v>
      </c>
      <c r="BL141" s="158">
        <f t="shared" si="66"/>
        <v>0</v>
      </c>
      <c r="BM141" s="158">
        <f t="shared" si="66"/>
        <v>0</v>
      </c>
      <c r="BN141" s="158">
        <f t="shared" si="66"/>
        <v>0</v>
      </c>
      <c r="BO141" s="158">
        <f t="shared" si="66"/>
        <v>0</v>
      </c>
      <c r="BP141" s="158">
        <f t="shared" si="66"/>
        <v>0</v>
      </c>
      <c r="BQ141" s="158">
        <f t="shared" si="66"/>
        <v>0</v>
      </c>
      <c r="BR141" s="158">
        <f t="shared" si="66"/>
        <v>0</v>
      </c>
      <c r="BS141" s="158">
        <f t="shared" si="66"/>
        <v>0</v>
      </c>
      <c r="BT141" s="158">
        <f t="shared" si="66"/>
        <v>0</v>
      </c>
      <c r="BU141" s="158">
        <f t="shared" si="66"/>
        <v>0</v>
      </c>
      <c r="BV141" s="158">
        <f t="shared" si="66"/>
        <v>0</v>
      </c>
      <c r="BW141" s="158">
        <f t="shared" si="66"/>
        <v>0</v>
      </c>
      <c r="BX141" s="158">
        <f t="shared" si="66"/>
        <v>0</v>
      </c>
      <c r="BY141" s="158">
        <f t="shared" si="66"/>
        <v>0</v>
      </c>
      <c r="BZ141" s="158">
        <f t="shared" si="66"/>
        <v>0</v>
      </c>
      <c r="CA141" s="158">
        <f t="shared" si="66"/>
        <v>0</v>
      </c>
      <c r="CB141" s="158">
        <f t="shared" si="66"/>
        <v>0</v>
      </c>
      <c r="CC141" s="158">
        <f t="shared" ref="CC141:CS141" si="67">SUM(CC136:CC140)</f>
        <v>0</v>
      </c>
      <c r="CD141" s="158">
        <f t="shared" si="67"/>
        <v>0</v>
      </c>
      <c r="CE141" s="158">
        <f t="shared" si="67"/>
        <v>180000000</v>
      </c>
      <c r="CF141" s="158">
        <f t="shared" si="67"/>
        <v>130643285</v>
      </c>
      <c r="CG141" s="158">
        <f t="shared" si="67"/>
        <v>128643285</v>
      </c>
      <c r="CH141" s="158">
        <f t="shared" si="67"/>
        <v>0</v>
      </c>
      <c r="CI141" s="158">
        <f t="shared" si="67"/>
        <v>0</v>
      </c>
      <c r="CJ141" s="158">
        <f t="shared" si="67"/>
        <v>0</v>
      </c>
      <c r="CK141" s="158">
        <f t="shared" si="67"/>
        <v>0</v>
      </c>
      <c r="CL141" s="158">
        <f t="shared" si="67"/>
        <v>0</v>
      </c>
      <c r="CM141" s="158">
        <f t="shared" si="67"/>
        <v>0</v>
      </c>
      <c r="CN141" s="158">
        <f t="shared" si="67"/>
        <v>0</v>
      </c>
      <c r="CO141" s="158">
        <f t="shared" si="67"/>
        <v>0</v>
      </c>
      <c r="CP141" s="158">
        <f t="shared" si="67"/>
        <v>0</v>
      </c>
      <c r="CQ141" s="158">
        <f t="shared" si="67"/>
        <v>0</v>
      </c>
      <c r="CR141" s="158">
        <f t="shared" si="67"/>
        <v>0</v>
      </c>
      <c r="CS141" s="158">
        <f t="shared" si="67"/>
        <v>0</v>
      </c>
      <c r="CT141" s="158">
        <f>SUM(CT137:CT140)</f>
        <v>638000000</v>
      </c>
      <c r="CU141" s="158">
        <f>SUM(CU137:CU140)</f>
        <v>494170565</v>
      </c>
      <c r="CV141" s="158">
        <f>SUM(CV137:CV140)</f>
        <v>492170565</v>
      </c>
    </row>
    <row r="142" spans="1:100" ht="15" x14ac:dyDescent="0.25">
      <c r="A142" s="19"/>
      <c r="B142" s="161"/>
      <c r="C142" s="218"/>
      <c r="D142" s="161"/>
      <c r="E142" s="162"/>
      <c r="F142" s="162"/>
      <c r="G142" s="161"/>
      <c r="H142" s="162"/>
      <c r="I142" s="161"/>
      <c r="J142" s="163"/>
      <c r="K142" s="163"/>
      <c r="L142" s="841"/>
      <c r="M142" s="163"/>
      <c r="N142" s="164"/>
      <c r="O142" s="161"/>
      <c r="P142" s="162"/>
      <c r="Q142" s="165">
        <f t="shared" ref="Q142:AV142" si="68">Q118+Q134</f>
        <v>0</v>
      </c>
      <c r="R142" s="165">
        <f t="shared" si="68"/>
        <v>0</v>
      </c>
      <c r="S142" s="165">
        <f t="shared" si="68"/>
        <v>0</v>
      </c>
      <c r="T142" s="165">
        <f t="shared" si="68"/>
        <v>0</v>
      </c>
      <c r="U142" s="165">
        <f t="shared" si="68"/>
        <v>0</v>
      </c>
      <c r="V142" s="165">
        <f t="shared" si="68"/>
        <v>0</v>
      </c>
      <c r="W142" s="165">
        <f t="shared" si="68"/>
        <v>0</v>
      </c>
      <c r="X142" s="165">
        <f t="shared" si="68"/>
        <v>0</v>
      </c>
      <c r="Y142" s="165">
        <f t="shared" si="68"/>
        <v>0</v>
      </c>
      <c r="Z142" s="165">
        <f>Z118+Z134+Z141</f>
        <v>9145274815.1000004</v>
      </c>
      <c r="AA142" s="165">
        <f t="shared" ref="AA142:AB142" si="69">AA118+AA134+AA141</f>
        <v>4878561676</v>
      </c>
      <c r="AB142" s="165">
        <f t="shared" si="69"/>
        <v>4749734437</v>
      </c>
      <c r="AC142" s="165">
        <f t="shared" si="68"/>
        <v>0</v>
      </c>
      <c r="AD142" s="165">
        <f t="shared" si="68"/>
        <v>0</v>
      </c>
      <c r="AE142" s="165">
        <f t="shared" si="68"/>
        <v>0</v>
      </c>
      <c r="AF142" s="165">
        <f t="shared" si="68"/>
        <v>0</v>
      </c>
      <c r="AG142" s="165">
        <f t="shared" si="68"/>
        <v>0</v>
      </c>
      <c r="AH142" s="165">
        <f t="shared" si="68"/>
        <v>0</v>
      </c>
      <c r="AI142" s="165">
        <f t="shared" si="68"/>
        <v>0</v>
      </c>
      <c r="AJ142" s="165">
        <f t="shared" si="68"/>
        <v>0</v>
      </c>
      <c r="AK142" s="165">
        <f t="shared" si="68"/>
        <v>0</v>
      </c>
      <c r="AL142" s="165">
        <f t="shared" si="68"/>
        <v>0</v>
      </c>
      <c r="AM142" s="165">
        <f t="shared" si="68"/>
        <v>0</v>
      </c>
      <c r="AN142" s="165">
        <f t="shared" si="68"/>
        <v>0</v>
      </c>
      <c r="AO142" s="165">
        <f t="shared" si="68"/>
        <v>0</v>
      </c>
      <c r="AP142" s="165">
        <f t="shared" si="68"/>
        <v>0</v>
      </c>
      <c r="AQ142" s="165">
        <f t="shared" si="68"/>
        <v>0</v>
      </c>
      <c r="AR142" s="165">
        <f t="shared" si="68"/>
        <v>0</v>
      </c>
      <c r="AS142" s="165">
        <f t="shared" si="68"/>
        <v>0</v>
      </c>
      <c r="AT142" s="165">
        <f t="shared" si="68"/>
        <v>0</v>
      </c>
      <c r="AU142" s="165">
        <f t="shared" si="68"/>
        <v>0</v>
      </c>
      <c r="AV142" s="165">
        <f t="shared" si="68"/>
        <v>0</v>
      </c>
      <c r="AW142" s="165">
        <f t="shared" ref="AW142:CB142" si="70">AW118+AW134</f>
        <v>0</v>
      </c>
      <c r="AX142" s="165">
        <f t="shared" si="70"/>
        <v>0</v>
      </c>
      <c r="AY142" s="165">
        <f t="shared" si="70"/>
        <v>0</v>
      </c>
      <c r="AZ142" s="165">
        <f t="shared" si="70"/>
        <v>0</v>
      </c>
      <c r="BA142" s="165">
        <f t="shared" si="70"/>
        <v>0</v>
      </c>
      <c r="BB142" s="165">
        <f t="shared" si="70"/>
        <v>0</v>
      </c>
      <c r="BC142" s="165">
        <f t="shared" si="70"/>
        <v>0</v>
      </c>
      <c r="BD142" s="165">
        <f t="shared" si="70"/>
        <v>0</v>
      </c>
      <c r="BE142" s="165">
        <f t="shared" si="70"/>
        <v>0</v>
      </c>
      <c r="BF142" s="165">
        <f t="shared" si="70"/>
        <v>0</v>
      </c>
      <c r="BG142" s="165">
        <f t="shared" si="70"/>
        <v>0</v>
      </c>
      <c r="BH142" s="165">
        <f t="shared" si="70"/>
        <v>0</v>
      </c>
      <c r="BI142" s="165">
        <f t="shared" si="70"/>
        <v>0</v>
      </c>
      <c r="BJ142" s="165">
        <f t="shared" si="70"/>
        <v>0</v>
      </c>
      <c r="BK142" s="165">
        <f t="shared" si="70"/>
        <v>0</v>
      </c>
      <c r="BL142" s="165">
        <f t="shared" si="70"/>
        <v>0</v>
      </c>
      <c r="BM142" s="165">
        <f t="shared" si="70"/>
        <v>0</v>
      </c>
      <c r="BN142" s="165">
        <f t="shared" si="70"/>
        <v>0</v>
      </c>
      <c r="BO142" s="165">
        <f t="shared" si="70"/>
        <v>0</v>
      </c>
      <c r="BP142" s="165">
        <f t="shared" si="70"/>
        <v>0</v>
      </c>
      <c r="BQ142" s="165">
        <f t="shared" si="70"/>
        <v>0</v>
      </c>
      <c r="BR142" s="165">
        <f t="shared" si="70"/>
        <v>0</v>
      </c>
      <c r="BS142" s="165">
        <f t="shared" si="70"/>
        <v>0</v>
      </c>
      <c r="BT142" s="165">
        <f t="shared" si="70"/>
        <v>0</v>
      </c>
      <c r="BU142" s="165">
        <f t="shared" si="70"/>
        <v>0</v>
      </c>
      <c r="BV142" s="165">
        <f t="shared" si="70"/>
        <v>0</v>
      </c>
      <c r="BW142" s="165">
        <f t="shared" si="70"/>
        <v>0</v>
      </c>
      <c r="BX142" s="165">
        <f t="shared" si="70"/>
        <v>0</v>
      </c>
      <c r="BY142" s="165">
        <f t="shared" si="70"/>
        <v>0</v>
      </c>
      <c r="BZ142" s="165">
        <f t="shared" si="70"/>
        <v>0</v>
      </c>
      <c r="CA142" s="165">
        <f t="shared" si="70"/>
        <v>0</v>
      </c>
      <c r="CB142" s="165">
        <f t="shared" si="70"/>
        <v>0</v>
      </c>
      <c r="CC142" s="165">
        <f t="shared" ref="CC142:CS142" si="71">CC118+CC134</f>
        <v>0</v>
      </c>
      <c r="CD142" s="165">
        <f t="shared" si="71"/>
        <v>0</v>
      </c>
      <c r="CE142" s="165">
        <f>CE118+CE134+CE141</f>
        <v>260000000</v>
      </c>
      <c r="CF142" s="165">
        <f t="shared" ref="CF142:CG142" si="72">CF118+CF134+CF141</f>
        <v>208627320</v>
      </c>
      <c r="CG142" s="165">
        <f t="shared" si="72"/>
        <v>206627320</v>
      </c>
      <c r="CH142" s="165">
        <f t="shared" si="71"/>
        <v>0</v>
      </c>
      <c r="CI142" s="165">
        <f t="shared" si="71"/>
        <v>0</v>
      </c>
      <c r="CJ142" s="165">
        <f t="shared" si="71"/>
        <v>0</v>
      </c>
      <c r="CK142" s="165">
        <f t="shared" si="71"/>
        <v>0</v>
      </c>
      <c r="CL142" s="165">
        <f t="shared" si="71"/>
        <v>0</v>
      </c>
      <c r="CM142" s="165">
        <f t="shared" si="71"/>
        <v>0</v>
      </c>
      <c r="CN142" s="165">
        <f t="shared" si="71"/>
        <v>0</v>
      </c>
      <c r="CO142" s="165">
        <f t="shared" si="71"/>
        <v>0</v>
      </c>
      <c r="CP142" s="165">
        <f t="shared" si="71"/>
        <v>0</v>
      </c>
      <c r="CQ142" s="165">
        <f t="shared" si="71"/>
        <v>0</v>
      </c>
      <c r="CR142" s="165">
        <f t="shared" si="71"/>
        <v>0</v>
      </c>
      <c r="CS142" s="165">
        <f t="shared" si="71"/>
        <v>0</v>
      </c>
      <c r="CT142" s="165">
        <f>CT118+CT134+CT141</f>
        <v>9405274815.1000004</v>
      </c>
      <c r="CU142" s="165">
        <f>CU118+CU134+CU141</f>
        <v>5087188996</v>
      </c>
      <c r="CV142" s="165">
        <f>CV118+CV134+CV141</f>
        <v>4956361757</v>
      </c>
    </row>
    <row r="143" spans="1:100" s="27" customFormat="1" ht="15" x14ac:dyDescent="0.25">
      <c r="A143" s="19"/>
      <c r="B143" s="928"/>
      <c r="C143" s="949"/>
      <c r="D143" s="177"/>
      <c r="E143" s="949"/>
      <c r="F143" s="949"/>
      <c r="G143" s="177"/>
      <c r="H143" s="949"/>
      <c r="I143" s="177"/>
      <c r="J143" s="178"/>
      <c r="K143" s="178"/>
      <c r="L143" s="838"/>
      <c r="M143" s="229"/>
      <c r="N143" s="230"/>
      <c r="O143" s="221"/>
      <c r="P143" s="949"/>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1"/>
      <c r="BH143" s="181"/>
      <c r="BI143" s="181"/>
      <c r="BJ143" s="181"/>
      <c r="BK143" s="181"/>
      <c r="BL143" s="181"/>
      <c r="BM143" s="181"/>
      <c r="BN143" s="181"/>
      <c r="BO143" s="181"/>
      <c r="BP143" s="181"/>
      <c r="BQ143" s="181"/>
      <c r="BR143" s="181"/>
      <c r="BS143" s="181"/>
      <c r="BT143" s="181"/>
      <c r="BU143" s="181"/>
      <c r="BV143" s="181"/>
      <c r="BW143" s="181"/>
      <c r="BX143" s="181"/>
      <c r="BY143" s="180"/>
      <c r="BZ143" s="180"/>
      <c r="CA143" s="180"/>
      <c r="CB143" s="180"/>
      <c r="CC143" s="180"/>
      <c r="CD143" s="180"/>
      <c r="CE143" s="182"/>
      <c r="CF143" s="182"/>
      <c r="CG143" s="182"/>
      <c r="CH143" s="183"/>
      <c r="CI143" s="183"/>
      <c r="CJ143" s="183"/>
      <c r="CK143" s="180"/>
      <c r="CL143" s="180"/>
      <c r="CM143" s="180"/>
      <c r="CN143" s="180"/>
      <c r="CO143" s="180"/>
      <c r="CP143" s="180"/>
      <c r="CQ143" s="180"/>
      <c r="CR143" s="180"/>
      <c r="CS143" s="180"/>
      <c r="CT143" s="25"/>
      <c r="CU143" s="76"/>
      <c r="CV143" s="76"/>
    </row>
    <row r="144" spans="1:100" s="27" customFormat="1" ht="15" x14ac:dyDescent="0.25">
      <c r="A144" s="19"/>
      <c r="B144" s="262">
        <v>24</v>
      </c>
      <c r="C144" s="145" t="s">
        <v>186</v>
      </c>
      <c r="D144" s="146"/>
      <c r="E144" s="146"/>
      <c r="F144" s="146"/>
      <c r="G144" s="146"/>
      <c r="H144" s="147"/>
      <c r="I144" s="146"/>
      <c r="J144" s="146"/>
      <c r="K144" s="146"/>
      <c r="L144" s="842"/>
      <c r="M144" s="146"/>
      <c r="N144" s="677"/>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46"/>
      <c r="CA144" s="146"/>
      <c r="CB144" s="146"/>
      <c r="CC144" s="146"/>
      <c r="CD144" s="146"/>
      <c r="CE144" s="148"/>
      <c r="CF144" s="148"/>
      <c r="CG144" s="148"/>
      <c r="CH144" s="146"/>
      <c r="CI144" s="146"/>
      <c r="CJ144" s="146"/>
      <c r="CK144" s="146"/>
      <c r="CL144" s="146"/>
      <c r="CM144" s="146"/>
      <c r="CN144" s="146"/>
      <c r="CO144" s="146"/>
      <c r="CP144" s="146"/>
      <c r="CQ144" s="146"/>
      <c r="CR144" s="146"/>
      <c r="CS144" s="146"/>
      <c r="CT144" s="526"/>
      <c r="CU144" s="526"/>
      <c r="CV144" s="526"/>
    </row>
    <row r="145" spans="1:100" s="27" customFormat="1" ht="15" x14ac:dyDescent="0.25">
      <c r="A145" s="19"/>
      <c r="B145" s="22"/>
      <c r="C145" s="949"/>
      <c r="D145" s="272"/>
      <c r="E145" s="272"/>
      <c r="F145" s="272"/>
      <c r="G145" s="273">
        <v>78</v>
      </c>
      <c r="H145" s="224" t="s">
        <v>187</v>
      </c>
      <c r="I145" s="224"/>
      <c r="J145" s="224"/>
      <c r="K145" s="224"/>
      <c r="L145" s="843"/>
      <c r="M145" s="224"/>
      <c r="N145" s="683"/>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4"/>
      <c r="BR145" s="224"/>
      <c r="BS145" s="224"/>
      <c r="BT145" s="224"/>
      <c r="BU145" s="224"/>
      <c r="BV145" s="224"/>
      <c r="BW145" s="224"/>
      <c r="BX145" s="224"/>
      <c r="BY145" s="224"/>
      <c r="BZ145" s="224"/>
      <c r="CA145" s="224"/>
      <c r="CB145" s="224"/>
      <c r="CC145" s="224"/>
      <c r="CD145" s="224"/>
      <c r="CE145" s="225"/>
      <c r="CF145" s="225"/>
      <c r="CG145" s="225"/>
      <c r="CH145" s="224"/>
      <c r="CI145" s="224"/>
      <c r="CJ145" s="224"/>
      <c r="CK145" s="224"/>
      <c r="CL145" s="224"/>
      <c r="CM145" s="224"/>
      <c r="CN145" s="224"/>
      <c r="CO145" s="224"/>
      <c r="CP145" s="224"/>
      <c r="CQ145" s="224"/>
      <c r="CR145" s="224"/>
      <c r="CS145" s="224"/>
      <c r="CT145" s="736"/>
      <c r="CU145" s="736"/>
      <c r="CV145" s="736"/>
    </row>
    <row r="146" spans="1:100" s="27" customFormat="1" ht="84.75" customHeight="1" x14ac:dyDescent="0.25">
      <c r="A146" s="19"/>
      <c r="B146" s="28"/>
      <c r="C146" s="1032">
        <v>13</v>
      </c>
      <c r="D146" s="1012" t="s">
        <v>188</v>
      </c>
      <c r="E146" s="1021" t="s">
        <v>189</v>
      </c>
      <c r="F146" s="1021" t="s">
        <v>190</v>
      </c>
      <c r="G146" s="22"/>
      <c r="H146" s="929">
        <v>226</v>
      </c>
      <c r="I146" s="928" t="s">
        <v>191</v>
      </c>
      <c r="J146" s="23">
        <v>12</v>
      </c>
      <c r="K146" s="64">
        <v>12</v>
      </c>
      <c r="L146" s="646">
        <v>12</v>
      </c>
      <c r="M146" s="1158" t="s">
        <v>192</v>
      </c>
      <c r="N146" s="1017" t="s">
        <v>193</v>
      </c>
      <c r="O146" s="1012" t="s">
        <v>194</v>
      </c>
      <c r="P146" s="56" t="s">
        <v>38</v>
      </c>
      <c r="Q146" s="25">
        <v>0</v>
      </c>
      <c r="R146" s="25"/>
      <c r="S146" s="25"/>
      <c r="T146" s="25">
        <v>0</v>
      </c>
      <c r="U146" s="25"/>
      <c r="V146" s="25"/>
      <c r="W146" s="25">
        <v>0</v>
      </c>
      <c r="X146" s="25"/>
      <c r="Y146" s="25"/>
      <c r="Z146" s="25">
        <v>0</v>
      </c>
      <c r="AA146" s="25"/>
      <c r="AB146" s="25"/>
      <c r="AC146" s="25">
        <v>0</v>
      </c>
      <c r="AD146" s="25"/>
      <c r="AE146" s="25"/>
      <c r="AF146" s="25">
        <v>0</v>
      </c>
      <c r="AG146" s="25"/>
      <c r="AH146" s="25"/>
      <c r="AI146" s="25">
        <v>0</v>
      </c>
      <c r="AJ146" s="25"/>
      <c r="AK146" s="25"/>
      <c r="AL146" s="25"/>
      <c r="AM146" s="25"/>
      <c r="AN146" s="25"/>
      <c r="AO146" s="25"/>
      <c r="AP146" s="25"/>
      <c r="AQ146" s="25"/>
      <c r="AR146" s="25"/>
      <c r="AS146" s="25"/>
      <c r="AT146" s="25"/>
      <c r="AU146" s="25">
        <v>0</v>
      </c>
      <c r="AV146" s="25"/>
      <c r="AW146" s="25"/>
      <c r="AX146" s="25"/>
      <c r="AY146" s="25"/>
      <c r="AZ146" s="25"/>
      <c r="BA146" s="25">
        <v>0</v>
      </c>
      <c r="BB146" s="25"/>
      <c r="BC146" s="25"/>
      <c r="BD146" s="25">
        <v>0</v>
      </c>
      <c r="BE146" s="25"/>
      <c r="BF146" s="25"/>
      <c r="BG146" s="25"/>
      <c r="BH146" s="25"/>
      <c r="BI146" s="25"/>
      <c r="BJ146" s="25"/>
      <c r="BK146" s="25"/>
      <c r="BL146" s="25"/>
      <c r="BM146" s="25"/>
      <c r="BN146" s="25"/>
      <c r="BO146" s="25"/>
      <c r="BP146" s="25"/>
      <c r="BQ146" s="25"/>
      <c r="BR146" s="25"/>
      <c r="BS146" s="25"/>
      <c r="BT146" s="25"/>
      <c r="BU146" s="25"/>
      <c r="BV146" s="25"/>
      <c r="BW146" s="25"/>
      <c r="BX146" s="25"/>
      <c r="BY146" s="25">
        <v>0</v>
      </c>
      <c r="BZ146" s="25"/>
      <c r="CA146" s="25"/>
      <c r="CB146" s="25">
        <v>0</v>
      </c>
      <c r="CC146" s="25"/>
      <c r="CD146" s="25"/>
      <c r="CE146" s="854">
        <f>140400000+110000000+16500000+28400000</f>
        <v>295300000</v>
      </c>
      <c r="CF146" s="854">
        <v>214050053</v>
      </c>
      <c r="CG146" s="854">
        <v>214050053</v>
      </c>
      <c r="CH146" s="13"/>
      <c r="CI146" s="13"/>
      <c r="CJ146" s="13"/>
      <c r="CK146" s="25">
        <v>0</v>
      </c>
      <c r="CL146" s="26"/>
      <c r="CM146" s="26"/>
      <c r="CN146" s="26">
        <v>0</v>
      </c>
      <c r="CO146" s="26"/>
      <c r="CP146" s="26"/>
      <c r="CQ146" s="26"/>
      <c r="CR146" s="26"/>
      <c r="CS146" s="26"/>
      <c r="CT146" s="25">
        <f t="shared" ref="CT146:CV150" si="73">Q146+T146+W146+Z146+AC146+AF146+AI146+AL146+AO146+AR146+AU146+AX146+BA146+BD146+BG146+BJ146+BM146+BP146+BS146+BV146+BY146+CB146+CE146+CH146+CK146+CQ146+CN146</f>
        <v>295300000</v>
      </c>
      <c r="CU146" s="25">
        <f t="shared" si="73"/>
        <v>214050053</v>
      </c>
      <c r="CV146" s="25">
        <f t="shared" si="73"/>
        <v>214050053</v>
      </c>
    </row>
    <row r="147" spans="1:100" s="27" customFormat="1" ht="60.75" customHeight="1" x14ac:dyDescent="0.25">
      <c r="A147" s="19"/>
      <c r="B147" s="28"/>
      <c r="C147" s="1038"/>
      <c r="D147" s="1020"/>
      <c r="E147" s="1023"/>
      <c r="F147" s="1023"/>
      <c r="G147" s="28"/>
      <c r="H147" s="929">
        <v>227</v>
      </c>
      <c r="I147" s="928" t="s">
        <v>195</v>
      </c>
      <c r="J147" s="23">
        <v>12</v>
      </c>
      <c r="K147" s="64">
        <v>12</v>
      </c>
      <c r="L147" s="646">
        <v>12</v>
      </c>
      <c r="M147" s="1159"/>
      <c r="N147" s="1018"/>
      <c r="O147" s="1020"/>
      <c r="P147" s="56" t="s">
        <v>38</v>
      </c>
      <c r="Q147" s="25">
        <v>0</v>
      </c>
      <c r="R147" s="25"/>
      <c r="S147" s="25"/>
      <c r="T147" s="25">
        <v>0</v>
      </c>
      <c r="U147" s="25"/>
      <c r="V147" s="25"/>
      <c r="W147" s="25">
        <v>0</v>
      </c>
      <c r="X147" s="25"/>
      <c r="Y147" s="25"/>
      <c r="Z147" s="25">
        <v>0</v>
      </c>
      <c r="AA147" s="25"/>
      <c r="AB147" s="25"/>
      <c r="AC147" s="25">
        <v>0</v>
      </c>
      <c r="AD147" s="25"/>
      <c r="AE147" s="25"/>
      <c r="AF147" s="25">
        <v>0</v>
      </c>
      <c r="AG147" s="25"/>
      <c r="AH147" s="25"/>
      <c r="AI147" s="25">
        <v>0</v>
      </c>
      <c r="AJ147" s="25"/>
      <c r="AK147" s="25"/>
      <c r="AL147" s="25"/>
      <c r="AM147" s="25"/>
      <c r="AN147" s="25"/>
      <c r="AO147" s="25"/>
      <c r="AP147" s="25"/>
      <c r="AQ147" s="25"/>
      <c r="AR147" s="25"/>
      <c r="AS147" s="25"/>
      <c r="AT147" s="25"/>
      <c r="AU147" s="25">
        <v>0</v>
      </c>
      <c r="AV147" s="25"/>
      <c r="AW147" s="25"/>
      <c r="AX147" s="25"/>
      <c r="AY147" s="25"/>
      <c r="AZ147" s="25"/>
      <c r="BA147" s="25">
        <v>0</v>
      </c>
      <c r="BB147" s="25"/>
      <c r="BC147" s="25"/>
      <c r="BD147" s="25">
        <v>0</v>
      </c>
      <c r="BE147" s="25"/>
      <c r="BF147" s="25"/>
      <c r="BG147" s="25"/>
      <c r="BH147" s="25"/>
      <c r="BI147" s="25"/>
      <c r="BJ147" s="25"/>
      <c r="BK147" s="25"/>
      <c r="BL147" s="25"/>
      <c r="BM147" s="25"/>
      <c r="BN147" s="25"/>
      <c r="BO147" s="25"/>
      <c r="BP147" s="25"/>
      <c r="BQ147" s="25"/>
      <c r="BR147" s="25"/>
      <c r="BS147" s="25"/>
      <c r="BT147" s="25"/>
      <c r="BU147" s="25"/>
      <c r="BV147" s="25"/>
      <c r="BW147" s="25"/>
      <c r="BX147" s="25"/>
      <c r="BY147" s="25">
        <v>0</v>
      </c>
      <c r="BZ147" s="25"/>
      <c r="CA147" s="25"/>
      <c r="CB147" s="25">
        <v>0</v>
      </c>
      <c r="CC147" s="25"/>
      <c r="CD147" s="25"/>
      <c r="CE147" s="854">
        <f>154300000+52000000+3500000</f>
        <v>209800000</v>
      </c>
      <c r="CF147" s="854">
        <v>47841999</v>
      </c>
      <c r="CG147" s="854">
        <v>47841999</v>
      </c>
      <c r="CH147" s="13"/>
      <c r="CI147" s="13"/>
      <c r="CJ147" s="13"/>
      <c r="CK147" s="25">
        <v>0</v>
      </c>
      <c r="CL147" s="26"/>
      <c r="CM147" s="26"/>
      <c r="CN147" s="26">
        <v>0</v>
      </c>
      <c r="CO147" s="26"/>
      <c r="CP147" s="26"/>
      <c r="CQ147" s="26"/>
      <c r="CR147" s="26"/>
      <c r="CS147" s="26"/>
      <c r="CT147" s="25">
        <f t="shared" si="73"/>
        <v>209800000</v>
      </c>
      <c r="CU147" s="25">
        <f t="shared" si="73"/>
        <v>47841999</v>
      </c>
      <c r="CV147" s="25">
        <f t="shared" si="73"/>
        <v>47841999</v>
      </c>
    </row>
    <row r="148" spans="1:100" s="27" customFormat="1" ht="69" customHeight="1" x14ac:dyDescent="0.25">
      <c r="A148" s="19"/>
      <c r="B148" s="28"/>
      <c r="C148" s="1038"/>
      <c r="D148" s="1020"/>
      <c r="E148" s="1023"/>
      <c r="F148" s="1023"/>
      <c r="G148" s="28"/>
      <c r="H148" s="929">
        <v>228</v>
      </c>
      <c r="I148" s="928" t="s">
        <v>196</v>
      </c>
      <c r="J148" s="23">
        <v>2</v>
      </c>
      <c r="K148" s="64">
        <v>2</v>
      </c>
      <c r="L148" s="646">
        <v>2</v>
      </c>
      <c r="M148" s="1159"/>
      <c r="N148" s="1018"/>
      <c r="O148" s="1020"/>
      <c r="P148" s="56" t="s">
        <v>38</v>
      </c>
      <c r="Q148" s="25">
        <v>0</v>
      </c>
      <c r="R148" s="25"/>
      <c r="S148" s="25"/>
      <c r="T148" s="25">
        <v>0</v>
      </c>
      <c r="U148" s="25"/>
      <c r="V148" s="25"/>
      <c r="W148" s="25">
        <v>0</v>
      </c>
      <c r="X148" s="25"/>
      <c r="Y148" s="25"/>
      <c r="Z148" s="25">
        <v>0</v>
      </c>
      <c r="AA148" s="25"/>
      <c r="AB148" s="25"/>
      <c r="AC148" s="25">
        <v>0</v>
      </c>
      <c r="AD148" s="25"/>
      <c r="AE148" s="25"/>
      <c r="AF148" s="25">
        <v>0</v>
      </c>
      <c r="AG148" s="25"/>
      <c r="AH148" s="25"/>
      <c r="AI148" s="25">
        <v>0</v>
      </c>
      <c r="AJ148" s="25"/>
      <c r="AK148" s="25"/>
      <c r="AL148" s="25"/>
      <c r="AM148" s="25"/>
      <c r="AN148" s="25"/>
      <c r="AO148" s="25"/>
      <c r="AP148" s="25"/>
      <c r="AQ148" s="25"/>
      <c r="AR148" s="25"/>
      <c r="AS148" s="25"/>
      <c r="AT148" s="25"/>
      <c r="AU148" s="25">
        <v>0</v>
      </c>
      <c r="AV148" s="25"/>
      <c r="AW148" s="25"/>
      <c r="AX148" s="25"/>
      <c r="AY148" s="25"/>
      <c r="AZ148" s="25"/>
      <c r="BA148" s="25">
        <v>0</v>
      </c>
      <c r="BB148" s="25"/>
      <c r="BC148" s="25"/>
      <c r="BD148" s="25">
        <v>0</v>
      </c>
      <c r="BE148" s="25"/>
      <c r="BF148" s="25"/>
      <c r="BG148" s="25"/>
      <c r="BH148" s="25"/>
      <c r="BI148" s="25"/>
      <c r="BJ148" s="25"/>
      <c r="BK148" s="25"/>
      <c r="BL148" s="25"/>
      <c r="BM148" s="25"/>
      <c r="BN148" s="25"/>
      <c r="BO148" s="25"/>
      <c r="BP148" s="25"/>
      <c r="BQ148" s="25"/>
      <c r="BR148" s="25"/>
      <c r="BS148" s="25"/>
      <c r="BT148" s="25"/>
      <c r="BU148" s="25"/>
      <c r="BV148" s="25"/>
      <c r="BW148" s="25"/>
      <c r="BX148" s="25"/>
      <c r="BY148" s="25">
        <v>0</v>
      </c>
      <c r="BZ148" s="25"/>
      <c r="CA148" s="25"/>
      <c r="CB148" s="25">
        <v>0</v>
      </c>
      <c r="CC148" s="25"/>
      <c r="CD148" s="25"/>
      <c r="CE148" s="854">
        <v>25100000</v>
      </c>
      <c r="CF148" s="854">
        <v>22105476</v>
      </c>
      <c r="CG148" s="854">
        <v>19267200</v>
      </c>
      <c r="CH148" s="13"/>
      <c r="CI148" s="13"/>
      <c r="CJ148" s="13"/>
      <c r="CK148" s="25">
        <v>0</v>
      </c>
      <c r="CL148" s="26"/>
      <c r="CM148" s="26"/>
      <c r="CN148" s="26">
        <v>0</v>
      </c>
      <c r="CO148" s="26"/>
      <c r="CP148" s="26"/>
      <c r="CQ148" s="26"/>
      <c r="CR148" s="26"/>
      <c r="CS148" s="26"/>
      <c r="CT148" s="25">
        <f t="shared" si="73"/>
        <v>25100000</v>
      </c>
      <c r="CU148" s="25">
        <f t="shared" si="73"/>
        <v>22105476</v>
      </c>
      <c r="CV148" s="25">
        <f t="shared" si="73"/>
        <v>19267200</v>
      </c>
    </row>
    <row r="149" spans="1:100" s="27" customFormat="1" ht="69" customHeight="1" x14ac:dyDescent="0.25">
      <c r="A149" s="19"/>
      <c r="B149" s="28"/>
      <c r="C149" s="1038"/>
      <c r="D149" s="1020"/>
      <c r="E149" s="1023"/>
      <c r="F149" s="1023"/>
      <c r="G149" s="28"/>
      <c r="H149" s="929">
        <v>229</v>
      </c>
      <c r="I149" s="928" t="s">
        <v>197</v>
      </c>
      <c r="J149" s="65">
        <v>13</v>
      </c>
      <c r="K149" s="64">
        <v>13</v>
      </c>
      <c r="L149" s="646">
        <v>13</v>
      </c>
      <c r="M149" s="1159"/>
      <c r="N149" s="1018"/>
      <c r="O149" s="1020"/>
      <c r="P149" s="56" t="s">
        <v>38</v>
      </c>
      <c r="Q149" s="25">
        <v>0</v>
      </c>
      <c r="R149" s="25"/>
      <c r="S149" s="25"/>
      <c r="T149" s="25">
        <v>0</v>
      </c>
      <c r="U149" s="25"/>
      <c r="V149" s="25"/>
      <c r="W149" s="25">
        <v>0</v>
      </c>
      <c r="X149" s="25"/>
      <c r="Y149" s="25"/>
      <c r="Z149" s="25">
        <v>0</v>
      </c>
      <c r="AA149" s="25"/>
      <c r="AB149" s="25"/>
      <c r="AC149" s="25">
        <v>0</v>
      </c>
      <c r="AD149" s="25"/>
      <c r="AE149" s="25"/>
      <c r="AF149" s="25">
        <v>0</v>
      </c>
      <c r="AG149" s="25"/>
      <c r="AH149" s="25"/>
      <c r="AI149" s="25">
        <v>0</v>
      </c>
      <c r="AJ149" s="25"/>
      <c r="AK149" s="25"/>
      <c r="AL149" s="25"/>
      <c r="AM149" s="25"/>
      <c r="AN149" s="25"/>
      <c r="AO149" s="25"/>
      <c r="AP149" s="25"/>
      <c r="AQ149" s="25"/>
      <c r="AR149" s="25"/>
      <c r="AS149" s="25"/>
      <c r="AT149" s="25"/>
      <c r="AU149" s="25">
        <v>0</v>
      </c>
      <c r="AV149" s="25"/>
      <c r="AW149" s="25"/>
      <c r="AX149" s="25"/>
      <c r="AY149" s="25"/>
      <c r="AZ149" s="25"/>
      <c r="BA149" s="25">
        <v>0</v>
      </c>
      <c r="BB149" s="25"/>
      <c r="BC149" s="25"/>
      <c r="BD149" s="25">
        <v>0</v>
      </c>
      <c r="BE149" s="25"/>
      <c r="BF149" s="25"/>
      <c r="BG149" s="25"/>
      <c r="BH149" s="25"/>
      <c r="BI149" s="25"/>
      <c r="BJ149" s="25"/>
      <c r="BK149" s="25"/>
      <c r="BL149" s="25"/>
      <c r="BM149" s="25"/>
      <c r="BN149" s="25"/>
      <c r="BO149" s="25"/>
      <c r="BP149" s="25"/>
      <c r="BQ149" s="25"/>
      <c r="BR149" s="25"/>
      <c r="BS149" s="25"/>
      <c r="BT149" s="25"/>
      <c r="BU149" s="25"/>
      <c r="BV149" s="25"/>
      <c r="BW149" s="25"/>
      <c r="BX149" s="25"/>
      <c r="BY149" s="25">
        <v>0</v>
      </c>
      <c r="BZ149" s="25"/>
      <c r="CA149" s="25"/>
      <c r="CB149" s="25">
        <v>0</v>
      </c>
      <c r="CC149" s="25"/>
      <c r="CD149" s="25"/>
      <c r="CE149" s="854">
        <v>47350000</v>
      </c>
      <c r="CF149" s="854">
        <v>45950000</v>
      </c>
      <c r="CG149" s="854">
        <v>45950000</v>
      </c>
      <c r="CH149" s="13"/>
      <c r="CI149" s="13"/>
      <c r="CJ149" s="13"/>
      <c r="CK149" s="25">
        <v>0</v>
      </c>
      <c r="CL149" s="26"/>
      <c r="CM149" s="26"/>
      <c r="CN149" s="26">
        <v>0</v>
      </c>
      <c r="CO149" s="26"/>
      <c r="CP149" s="26"/>
      <c r="CQ149" s="26"/>
      <c r="CR149" s="26"/>
      <c r="CS149" s="26"/>
      <c r="CT149" s="25">
        <f t="shared" si="73"/>
        <v>47350000</v>
      </c>
      <c r="CU149" s="25">
        <f t="shared" si="73"/>
        <v>45950000</v>
      </c>
      <c r="CV149" s="25">
        <f t="shared" si="73"/>
        <v>45950000</v>
      </c>
    </row>
    <row r="150" spans="1:100" s="27" customFormat="1" ht="69" customHeight="1" thickBot="1" x14ac:dyDescent="0.3">
      <c r="A150" s="19"/>
      <c r="B150" s="28"/>
      <c r="C150" s="1033"/>
      <c r="D150" s="1013"/>
      <c r="E150" s="1022"/>
      <c r="F150" s="1022"/>
      <c r="G150" s="28"/>
      <c r="H150" s="929">
        <v>230</v>
      </c>
      <c r="I150" s="928" t="s">
        <v>198</v>
      </c>
      <c r="J150" s="23">
        <v>0</v>
      </c>
      <c r="K150" s="66">
        <v>1</v>
      </c>
      <c r="L150" s="646">
        <v>1</v>
      </c>
      <c r="M150" s="1160"/>
      <c r="N150" s="1019"/>
      <c r="O150" s="1013"/>
      <c r="P150" s="56" t="s">
        <v>38</v>
      </c>
      <c r="Q150" s="25">
        <v>0</v>
      </c>
      <c r="R150" s="25"/>
      <c r="S150" s="25"/>
      <c r="T150" s="25">
        <v>0</v>
      </c>
      <c r="U150" s="25"/>
      <c r="V150" s="25"/>
      <c r="W150" s="25">
        <v>0</v>
      </c>
      <c r="X150" s="25"/>
      <c r="Y150" s="25"/>
      <c r="Z150" s="25">
        <v>0</v>
      </c>
      <c r="AA150" s="25"/>
      <c r="AB150" s="25"/>
      <c r="AC150" s="25">
        <v>0</v>
      </c>
      <c r="AD150" s="25"/>
      <c r="AE150" s="25"/>
      <c r="AF150" s="25">
        <v>0</v>
      </c>
      <c r="AG150" s="25"/>
      <c r="AH150" s="25"/>
      <c r="AI150" s="25">
        <v>0</v>
      </c>
      <c r="AJ150" s="25"/>
      <c r="AK150" s="25"/>
      <c r="AL150" s="25"/>
      <c r="AM150" s="25"/>
      <c r="AN150" s="25"/>
      <c r="AO150" s="25"/>
      <c r="AP150" s="25"/>
      <c r="AQ150" s="25"/>
      <c r="AR150" s="25"/>
      <c r="AS150" s="25"/>
      <c r="AT150" s="25"/>
      <c r="AU150" s="25">
        <v>0</v>
      </c>
      <c r="AV150" s="25"/>
      <c r="AW150" s="25"/>
      <c r="AX150" s="25"/>
      <c r="AY150" s="25"/>
      <c r="AZ150" s="25"/>
      <c r="BA150" s="25">
        <v>0</v>
      </c>
      <c r="BB150" s="25"/>
      <c r="BC150" s="25"/>
      <c r="BD150" s="25">
        <v>0</v>
      </c>
      <c r="BE150" s="25"/>
      <c r="BF150" s="25"/>
      <c r="BG150" s="25"/>
      <c r="BH150" s="25"/>
      <c r="BI150" s="25"/>
      <c r="BJ150" s="25"/>
      <c r="BK150" s="25"/>
      <c r="BL150" s="25"/>
      <c r="BM150" s="25"/>
      <c r="BN150" s="25"/>
      <c r="BO150" s="25"/>
      <c r="BP150" s="25"/>
      <c r="BQ150" s="25"/>
      <c r="BR150" s="25"/>
      <c r="BS150" s="25"/>
      <c r="BT150" s="25"/>
      <c r="BU150" s="25"/>
      <c r="BV150" s="25"/>
      <c r="BW150" s="25"/>
      <c r="BX150" s="25"/>
      <c r="BY150" s="25">
        <v>0</v>
      </c>
      <c r="BZ150" s="25"/>
      <c r="CA150" s="25"/>
      <c r="CB150" s="25">
        <v>0</v>
      </c>
      <c r="CC150" s="25"/>
      <c r="CD150" s="25"/>
      <c r="CE150" s="854">
        <f>23039776+25000000+1600000</f>
        <v>49639776</v>
      </c>
      <c r="CF150" s="854">
        <v>48039776</v>
      </c>
      <c r="CG150" s="854">
        <f>+[1]Interior!$Q$38+[1]Interior!$Q$39</f>
        <v>48039776</v>
      </c>
      <c r="CH150" s="13"/>
      <c r="CI150" s="13"/>
      <c r="CJ150" s="13"/>
      <c r="CK150" s="25">
        <v>0</v>
      </c>
      <c r="CL150" s="26"/>
      <c r="CM150" s="26"/>
      <c r="CN150" s="26">
        <v>0</v>
      </c>
      <c r="CO150" s="26"/>
      <c r="CP150" s="26"/>
      <c r="CQ150" s="26"/>
      <c r="CR150" s="26"/>
      <c r="CS150" s="26"/>
      <c r="CT150" s="25">
        <f t="shared" si="73"/>
        <v>49639776</v>
      </c>
      <c r="CU150" s="25">
        <f t="shared" si="73"/>
        <v>48039776</v>
      </c>
      <c r="CV150" s="25">
        <f t="shared" si="73"/>
        <v>48039776</v>
      </c>
    </row>
    <row r="151" spans="1:100" ht="15" x14ac:dyDescent="0.25">
      <c r="A151" s="19"/>
      <c r="B151" s="28"/>
      <c r="C151" s="213"/>
      <c r="D151" s="153"/>
      <c r="E151" s="581"/>
      <c r="F151" s="581"/>
      <c r="G151" s="154"/>
      <c r="H151" s="155"/>
      <c r="I151" s="154"/>
      <c r="J151" s="156"/>
      <c r="K151" s="274"/>
      <c r="L151" s="844"/>
      <c r="M151" s="274"/>
      <c r="N151" s="157"/>
      <c r="O151" s="154"/>
      <c r="P151" s="155"/>
      <c r="Q151" s="158">
        <f t="shared" ref="Q151:CB151" si="74">SUM(Q146:Q150)</f>
        <v>0</v>
      </c>
      <c r="R151" s="158">
        <f t="shared" si="74"/>
        <v>0</v>
      </c>
      <c r="S151" s="158">
        <f t="shared" si="74"/>
        <v>0</v>
      </c>
      <c r="T151" s="158">
        <f t="shared" si="74"/>
        <v>0</v>
      </c>
      <c r="U151" s="158">
        <f t="shared" si="74"/>
        <v>0</v>
      </c>
      <c r="V151" s="158">
        <f t="shared" si="74"/>
        <v>0</v>
      </c>
      <c r="W151" s="158">
        <f t="shared" si="74"/>
        <v>0</v>
      </c>
      <c r="X151" s="158">
        <f t="shared" si="74"/>
        <v>0</v>
      </c>
      <c r="Y151" s="158">
        <f t="shared" si="74"/>
        <v>0</v>
      </c>
      <c r="Z151" s="158">
        <f t="shared" si="74"/>
        <v>0</v>
      </c>
      <c r="AA151" s="158">
        <f t="shared" si="74"/>
        <v>0</v>
      </c>
      <c r="AB151" s="158">
        <f t="shared" si="74"/>
        <v>0</v>
      </c>
      <c r="AC151" s="158">
        <f t="shared" si="74"/>
        <v>0</v>
      </c>
      <c r="AD151" s="158">
        <f t="shared" si="74"/>
        <v>0</v>
      </c>
      <c r="AE151" s="158">
        <f t="shared" si="74"/>
        <v>0</v>
      </c>
      <c r="AF151" s="158">
        <f t="shared" si="74"/>
        <v>0</v>
      </c>
      <c r="AG151" s="158">
        <f t="shared" si="74"/>
        <v>0</v>
      </c>
      <c r="AH151" s="158">
        <f t="shared" si="74"/>
        <v>0</v>
      </c>
      <c r="AI151" s="158">
        <f t="shared" si="74"/>
        <v>0</v>
      </c>
      <c r="AJ151" s="158">
        <f t="shared" si="74"/>
        <v>0</v>
      </c>
      <c r="AK151" s="158">
        <f t="shared" si="74"/>
        <v>0</v>
      </c>
      <c r="AL151" s="158">
        <f t="shared" si="74"/>
        <v>0</v>
      </c>
      <c r="AM151" s="158">
        <f t="shared" si="74"/>
        <v>0</v>
      </c>
      <c r="AN151" s="158">
        <f t="shared" si="74"/>
        <v>0</v>
      </c>
      <c r="AO151" s="158">
        <f t="shared" si="74"/>
        <v>0</v>
      </c>
      <c r="AP151" s="158">
        <f t="shared" si="74"/>
        <v>0</v>
      </c>
      <c r="AQ151" s="158">
        <f t="shared" si="74"/>
        <v>0</v>
      </c>
      <c r="AR151" s="158">
        <f t="shared" si="74"/>
        <v>0</v>
      </c>
      <c r="AS151" s="158">
        <f t="shared" si="74"/>
        <v>0</v>
      </c>
      <c r="AT151" s="158">
        <f t="shared" si="74"/>
        <v>0</v>
      </c>
      <c r="AU151" s="158">
        <f t="shared" si="74"/>
        <v>0</v>
      </c>
      <c r="AV151" s="158">
        <f t="shared" si="74"/>
        <v>0</v>
      </c>
      <c r="AW151" s="158">
        <f t="shared" si="74"/>
        <v>0</v>
      </c>
      <c r="AX151" s="158">
        <f t="shared" si="74"/>
        <v>0</v>
      </c>
      <c r="AY151" s="158">
        <f t="shared" si="74"/>
        <v>0</v>
      </c>
      <c r="AZ151" s="158">
        <f t="shared" si="74"/>
        <v>0</v>
      </c>
      <c r="BA151" s="158">
        <f t="shared" si="74"/>
        <v>0</v>
      </c>
      <c r="BB151" s="158">
        <f t="shared" si="74"/>
        <v>0</v>
      </c>
      <c r="BC151" s="158">
        <f t="shared" si="74"/>
        <v>0</v>
      </c>
      <c r="BD151" s="158">
        <f t="shared" si="74"/>
        <v>0</v>
      </c>
      <c r="BE151" s="158">
        <f t="shared" si="74"/>
        <v>0</v>
      </c>
      <c r="BF151" s="158">
        <f t="shared" si="74"/>
        <v>0</v>
      </c>
      <c r="BG151" s="158">
        <f t="shared" si="74"/>
        <v>0</v>
      </c>
      <c r="BH151" s="158">
        <f t="shared" si="74"/>
        <v>0</v>
      </c>
      <c r="BI151" s="158">
        <f t="shared" si="74"/>
        <v>0</v>
      </c>
      <c r="BJ151" s="158">
        <f t="shared" si="74"/>
        <v>0</v>
      </c>
      <c r="BK151" s="158">
        <f t="shared" si="74"/>
        <v>0</v>
      </c>
      <c r="BL151" s="158">
        <f t="shared" si="74"/>
        <v>0</v>
      </c>
      <c r="BM151" s="158">
        <f t="shared" si="74"/>
        <v>0</v>
      </c>
      <c r="BN151" s="158">
        <f t="shared" si="74"/>
        <v>0</v>
      </c>
      <c r="BO151" s="158">
        <f t="shared" si="74"/>
        <v>0</v>
      </c>
      <c r="BP151" s="158">
        <f t="shared" si="74"/>
        <v>0</v>
      </c>
      <c r="BQ151" s="158">
        <f t="shared" si="74"/>
        <v>0</v>
      </c>
      <c r="BR151" s="158">
        <f t="shared" si="74"/>
        <v>0</v>
      </c>
      <c r="BS151" s="158">
        <f t="shared" si="74"/>
        <v>0</v>
      </c>
      <c r="BT151" s="158">
        <f t="shared" si="74"/>
        <v>0</v>
      </c>
      <c r="BU151" s="158">
        <f t="shared" si="74"/>
        <v>0</v>
      </c>
      <c r="BV151" s="158">
        <f t="shared" si="74"/>
        <v>0</v>
      </c>
      <c r="BW151" s="158">
        <f t="shared" si="74"/>
        <v>0</v>
      </c>
      <c r="BX151" s="158">
        <f t="shared" si="74"/>
        <v>0</v>
      </c>
      <c r="BY151" s="158">
        <f t="shared" si="74"/>
        <v>0</v>
      </c>
      <c r="BZ151" s="158">
        <f t="shared" si="74"/>
        <v>0</v>
      </c>
      <c r="CA151" s="158">
        <f t="shared" si="74"/>
        <v>0</v>
      </c>
      <c r="CB151" s="158">
        <f t="shared" si="74"/>
        <v>0</v>
      </c>
      <c r="CC151" s="158">
        <f t="shared" ref="CC151:CS151" si="75">SUM(CC146:CC150)</f>
        <v>0</v>
      </c>
      <c r="CD151" s="158">
        <f t="shared" si="75"/>
        <v>0</v>
      </c>
      <c r="CE151" s="158">
        <f t="shared" si="75"/>
        <v>627189776</v>
      </c>
      <c r="CF151" s="158">
        <f t="shared" si="75"/>
        <v>377987304</v>
      </c>
      <c r="CG151" s="158">
        <f t="shared" si="75"/>
        <v>375149028</v>
      </c>
      <c r="CH151" s="158">
        <f t="shared" si="75"/>
        <v>0</v>
      </c>
      <c r="CI151" s="158">
        <f t="shared" si="75"/>
        <v>0</v>
      </c>
      <c r="CJ151" s="158">
        <f t="shared" si="75"/>
        <v>0</v>
      </c>
      <c r="CK151" s="158">
        <f t="shared" si="75"/>
        <v>0</v>
      </c>
      <c r="CL151" s="158">
        <f t="shared" si="75"/>
        <v>0</v>
      </c>
      <c r="CM151" s="158">
        <f t="shared" si="75"/>
        <v>0</v>
      </c>
      <c r="CN151" s="158">
        <f t="shared" si="75"/>
        <v>0</v>
      </c>
      <c r="CO151" s="158">
        <f t="shared" si="75"/>
        <v>0</v>
      </c>
      <c r="CP151" s="158">
        <f t="shared" si="75"/>
        <v>0</v>
      </c>
      <c r="CQ151" s="158">
        <f t="shared" si="75"/>
        <v>0</v>
      </c>
      <c r="CR151" s="158">
        <f t="shared" si="75"/>
        <v>0</v>
      </c>
      <c r="CS151" s="158">
        <f t="shared" si="75"/>
        <v>0</v>
      </c>
      <c r="CT151" s="158">
        <f>SUM(CT146:CT150)</f>
        <v>627189776</v>
      </c>
      <c r="CU151" s="158">
        <f>SUM(CU146:CU150)</f>
        <v>377987304</v>
      </c>
      <c r="CV151" s="158">
        <f>SUM(CV146:CV150)</f>
        <v>375149028</v>
      </c>
    </row>
    <row r="152" spans="1:100" s="27" customFormat="1" ht="15" x14ac:dyDescent="0.25">
      <c r="A152" s="19"/>
      <c r="B152" s="28"/>
      <c r="C152" s="949"/>
      <c r="D152" s="177"/>
      <c r="E152" s="949"/>
      <c r="F152" s="949"/>
      <c r="G152" s="177"/>
      <c r="H152" s="949"/>
      <c r="I152" s="177"/>
      <c r="J152" s="178"/>
      <c r="K152" s="275"/>
      <c r="L152" s="845"/>
      <c r="M152" s="276"/>
      <c r="N152" s="230"/>
      <c r="O152" s="221"/>
      <c r="P152" s="949"/>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1"/>
      <c r="BH152" s="181"/>
      <c r="BI152" s="181"/>
      <c r="BJ152" s="181"/>
      <c r="BK152" s="181"/>
      <c r="BL152" s="181"/>
      <c r="BM152" s="181"/>
      <c r="BN152" s="181"/>
      <c r="BO152" s="181"/>
      <c r="BP152" s="181"/>
      <c r="BQ152" s="181"/>
      <c r="BR152" s="181"/>
      <c r="BS152" s="181"/>
      <c r="BT152" s="181"/>
      <c r="BU152" s="181"/>
      <c r="BV152" s="181"/>
      <c r="BW152" s="181"/>
      <c r="BX152" s="181"/>
      <c r="BY152" s="180"/>
      <c r="BZ152" s="180"/>
      <c r="CA152" s="180"/>
      <c r="CB152" s="180"/>
      <c r="CC152" s="277"/>
      <c r="CD152" s="277"/>
      <c r="CE152" s="278"/>
      <c r="CF152" s="278"/>
      <c r="CG152" s="278"/>
      <c r="CH152" s="277"/>
      <c r="CI152" s="277"/>
      <c r="CJ152" s="277"/>
      <c r="CK152" s="180"/>
      <c r="CL152" s="180"/>
      <c r="CM152" s="180"/>
      <c r="CN152" s="180"/>
      <c r="CO152" s="180"/>
      <c r="CP152" s="180"/>
      <c r="CQ152" s="180"/>
      <c r="CR152" s="180"/>
      <c r="CS152" s="180"/>
      <c r="CT152" s="25"/>
      <c r="CU152" s="76"/>
      <c r="CV152" s="76"/>
    </row>
    <row r="153" spans="1:100" ht="15" x14ac:dyDescent="0.25">
      <c r="A153" s="19"/>
      <c r="B153" s="28"/>
      <c r="C153" s="213"/>
      <c r="D153" s="153"/>
      <c r="E153" s="581"/>
      <c r="F153" s="581"/>
      <c r="G153" s="254">
        <v>79</v>
      </c>
      <c r="H153" s="271" t="s">
        <v>199</v>
      </c>
      <c r="I153" s="189"/>
      <c r="J153" s="189"/>
      <c r="K153" s="189"/>
      <c r="L153" s="840"/>
      <c r="M153" s="189"/>
      <c r="N153" s="684"/>
      <c r="O153" s="189"/>
      <c r="P153" s="189"/>
      <c r="Q153" s="279"/>
      <c r="R153" s="705"/>
      <c r="S153" s="705"/>
      <c r="T153" s="279"/>
      <c r="U153" s="705"/>
      <c r="V153" s="705"/>
      <c r="W153" s="279"/>
      <c r="X153" s="705"/>
      <c r="Y153" s="705"/>
      <c r="Z153" s="279"/>
      <c r="AA153" s="705"/>
      <c r="AB153" s="705"/>
      <c r="AC153" s="279"/>
      <c r="AD153" s="705"/>
      <c r="AE153" s="705"/>
      <c r="AF153" s="279"/>
      <c r="AG153" s="705"/>
      <c r="AH153" s="705"/>
      <c r="AI153" s="279"/>
      <c r="AJ153" s="705"/>
      <c r="AK153" s="705"/>
      <c r="AL153" s="279"/>
      <c r="AM153" s="705"/>
      <c r="AN153" s="705"/>
      <c r="AO153" s="279"/>
      <c r="AP153" s="705"/>
      <c r="AQ153" s="705"/>
      <c r="AR153" s="279"/>
      <c r="AS153" s="705"/>
      <c r="AT153" s="705"/>
      <c r="AU153" s="279"/>
      <c r="AV153" s="705"/>
      <c r="AW153" s="705"/>
      <c r="AX153" s="279"/>
      <c r="AY153" s="705"/>
      <c r="AZ153" s="705"/>
      <c r="BA153" s="279"/>
      <c r="BB153" s="705"/>
      <c r="BC153" s="705"/>
      <c r="BD153" s="279"/>
      <c r="BE153" s="705"/>
      <c r="BF153" s="705"/>
      <c r="BG153" s="279"/>
      <c r="BH153" s="705"/>
      <c r="BI153" s="705"/>
      <c r="BJ153" s="279"/>
      <c r="BK153" s="705"/>
      <c r="BL153" s="705"/>
      <c r="BM153" s="279"/>
      <c r="BN153" s="705"/>
      <c r="BO153" s="705"/>
      <c r="BP153" s="279"/>
      <c r="BQ153" s="705"/>
      <c r="BR153" s="705"/>
      <c r="BS153" s="279"/>
      <c r="BT153" s="705"/>
      <c r="BU153" s="705"/>
      <c r="BV153" s="279"/>
      <c r="BW153" s="705"/>
      <c r="BX153" s="705"/>
      <c r="BY153" s="279"/>
      <c r="BZ153" s="705"/>
      <c r="CA153" s="705"/>
      <c r="CB153" s="279"/>
      <c r="CC153" s="705"/>
      <c r="CD153" s="705"/>
      <c r="CE153" s="280"/>
      <c r="CF153" s="716"/>
      <c r="CG153" s="716"/>
      <c r="CH153" s="279"/>
      <c r="CI153" s="705"/>
      <c r="CJ153" s="705"/>
      <c r="CK153" s="279"/>
      <c r="CL153" s="705"/>
      <c r="CM153" s="705"/>
      <c r="CN153" s="279"/>
      <c r="CO153" s="705"/>
      <c r="CP153" s="705"/>
      <c r="CQ153" s="279"/>
      <c r="CR153" s="705"/>
      <c r="CS153" s="705"/>
      <c r="CT153" s="522"/>
      <c r="CU153" s="522"/>
      <c r="CV153" s="522"/>
    </row>
    <row r="154" spans="1:100" s="27" customFormat="1" ht="71.25" x14ac:dyDescent="0.25">
      <c r="A154" s="19"/>
      <c r="B154" s="28"/>
      <c r="C154" s="1032">
        <v>13</v>
      </c>
      <c r="D154" s="1012" t="s">
        <v>188</v>
      </c>
      <c r="E154" s="1021" t="s">
        <v>189</v>
      </c>
      <c r="F154" s="1021" t="s">
        <v>190</v>
      </c>
      <c r="G154" s="22"/>
      <c r="H154" s="929">
        <v>231</v>
      </c>
      <c r="I154" s="928" t="s">
        <v>200</v>
      </c>
      <c r="J154" s="23">
        <v>1</v>
      </c>
      <c r="K154" s="23">
        <v>1</v>
      </c>
      <c r="L154" s="904">
        <v>1</v>
      </c>
      <c r="M154" s="1158" t="s">
        <v>192</v>
      </c>
      <c r="N154" s="1017" t="s">
        <v>201</v>
      </c>
      <c r="O154" s="1012" t="s">
        <v>202</v>
      </c>
      <c r="P154" s="929" t="s">
        <v>38</v>
      </c>
      <c r="Q154" s="25">
        <v>0</v>
      </c>
      <c r="R154" s="25"/>
      <c r="S154" s="25"/>
      <c r="T154" s="25">
        <v>0</v>
      </c>
      <c r="U154" s="25"/>
      <c r="V154" s="25"/>
      <c r="W154" s="25">
        <v>0</v>
      </c>
      <c r="X154" s="25"/>
      <c r="Y154" s="25"/>
      <c r="Z154" s="25">
        <v>0</v>
      </c>
      <c r="AA154" s="25"/>
      <c r="AB154" s="25"/>
      <c r="AC154" s="25">
        <v>0</v>
      </c>
      <c r="AD154" s="25"/>
      <c r="AE154" s="25"/>
      <c r="AF154" s="25">
        <v>0</v>
      </c>
      <c r="AG154" s="25"/>
      <c r="AH154" s="25"/>
      <c r="AI154" s="25">
        <v>0</v>
      </c>
      <c r="AJ154" s="25"/>
      <c r="AK154" s="25"/>
      <c r="AL154" s="25"/>
      <c r="AM154" s="25"/>
      <c r="AN154" s="25"/>
      <c r="AO154" s="25"/>
      <c r="AP154" s="25"/>
      <c r="AQ154" s="25"/>
      <c r="AR154" s="25"/>
      <c r="AS154" s="25"/>
      <c r="AT154" s="25"/>
      <c r="AU154" s="25">
        <v>0</v>
      </c>
      <c r="AV154" s="25"/>
      <c r="AW154" s="25"/>
      <c r="AX154" s="25"/>
      <c r="AY154" s="25"/>
      <c r="AZ154" s="25"/>
      <c r="BA154" s="25">
        <v>0</v>
      </c>
      <c r="BB154" s="25"/>
      <c r="BC154" s="25"/>
      <c r="BD154" s="25">
        <v>0</v>
      </c>
      <c r="BE154" s="25"/>
      <c r="BF154" s="25"/>
      <c r="BG154" s="25"/>
      <c r="BH154" s="25"/>
      <c r="BI154" s="25"/>
      <c r="BJ154" s="25"/>
      <c r="BK154" s="25"/>
      <c r="BL154" s="25"/>
      <c r="BM154" s="25"/>
      <c r="BN154" s="25"/>
      <c r="BO154" s="25"/>
      <c r="BP154" s="25"/>
      <c r="BQ154" s="25"/>
      <c r="BR154" s="25"/>
      <c r="BS154" s="25"/>
      <c r="BT154" s="25"/>
      <c r="BU154" s="25"/>
      <c r="BV154" s="25"/>
      <c r="BW154" s="25"/>
      <c r="BX154" s="25"/>
      <c r="BY154" s="25">
        <v>0</v>
      </c>
      <c r="BZ154" s="25"/>
      <c r="CA154" s="25"/>
      <c r="CB154" s="25">
        <v>0</v>
      </c>
      <c r="CC154" s="25"/>
      <c r="CD154" s="25"/>
      <c r="CE154" s="110">
        <v>3090000</v>
      </c>
      <c r="CF154" s="110">
        <v>3090000</v>
      </c>
      <c r="CG154" s="110">
        <v>3090000</v>
      </c>
      <c r="CH154" s="13"/>
      <c r="CI154" s="13"/>
      <c r="CJ154" s="13"/>
      <c r="CK154" s="25">
        <v>0</v>
      </c>
      <c r="CL154" s="26"/>
      <c r="CM154" s="26"/>
      <c r="CN154" s="26">
        <v>0</v>
      </c>
      <c r="CO154" s="26"/>
      <c r="CP154" s="26"/>
      <c r="CQ154" s="26"/>
      <c r="CR154" s="26"/>
      <c r="CS154" s="26"/>
      <c r="CT154" s="25">
        <f t="shared" ref="CT154:CV156" si="76">Q154+T154+W154+Z154+AC154+AF154+AI154+AL154+AO154+AR154+AU154+AX154+BA154+BD154+BG154+BJ154+BM154+BP154+BS154+BV154+BY154+CB154+CE154+CH154+CK154+CQ154+CN154</f>
        <v>3090000</v>
      </c>
      <c r="CU154" s="25">
        <f t="shared" si="76"/>
        <v>3090000</v>
      </c>
      <c r="CV154" s="25">
        <f t="shared" si="76"/>
        <v>3090000</v>
      </c>
    </row>
    <row r="155" spans="1:100" s="27" customFormat="1" ht="57" x14ac:dyDescent="0.25">
      <c r="A155" s="19"/>
      <c r="B155" s="28"/>
      <c r="C155" s="1038"/>
      <c r="D155" s="1020"/>
      <c r="E155" s="1023"/>
      <c r="F155" s="1023"/>
      <c r="G155" s="28"/>
      <c r="H155" s="929">
        <v>232</v>
      </c>
      <c r="I155" s="928" t="s">
        <v>203</v>
      </c>
      <c r="J155" s="23">
        <v>12</v>
      </c>
      <c r="K155" s="23">
        <v>12</v>
      </c>
      <c r="L155" s="904">
        <v>12</v>
      </c>
      <c r="M155" s="1159"/>
      <c r="N155" s="1018"/>
      <c r="O155" s="1020"/>
      <c r="P155" s="929" t="s">
        <v>38</v>
      </c>
      <c r="Q155" s="25">
        <v>0</v>
      </c>
      <c r="R155" s="25"/>
      <c r="S155" s="25"/>
      <c r="T155" s="25">
        <v>0</v>
      </c>
      <c r="U155" s="25"/>
      <c r="V155" s="25"/>
      <c r="W155" s="25">
        <v>0</v>
      </c>
      <c r="X155" s="25"/>
      <c r="Y155" s="25"/>
      <c r="Z155" s="25">
        <v>0</v>
      </c>
      <c r="AA155" s="25"/>
      <c r="AB155" s="25"/>
      <c r="AC155" s="25">
        <v>0</v>
      </c>
      <c r="AD155" s="25"/>
      <c r="AE155" s="25"/>
      <c r="AF155" s="25">
        <v>0</v>
      </c>
      <c r="AG155" s="25"/>
      <c r="AH155" s="25"/>
      <c r="AI155" s="25">
        <v>0</v>
      </c>
      <c r="AJ155" s="25"/>
      <c r="AK155" s="25"/>
      <c r="AL155" s="25"/>
      <c r="AM155" s="25"/>
      <c r="AN155" s="25"/>
      <c r="AO155" s="25"/>
      <c r="AP155" s="25"/>
      <c r="AQ155" s="25"/>
      <c r="AR155" s="25"/>
      <c r="AS155" s="25"/>
      <c r="AT155" s="25"/>
      <c r="AU155" s="25">
        <v>0</v>
      </c>
      <c r="AV155" s="25"/>
      <c r="AW155" s="25"/>
      <c r="AX155" s="25"/>
      <c r="AY155" s="25"/>
      <c r="AZ155" s="25"/>
      <c r="BA155" s="25">
        <v>0</v>
      </c>
      <c r="BB155" s="25"/>
      <c r="BC155" s="25"/>
      <c r="BD155" s="25">
        <v>0</v>
      </c>
      <c r="BE155" s="25"/>
      <c r="BF155" s="25"/>
      <c r="BG155" s="25"/>
      <c r="BH155" s="25"/>
      <c r="BI155" s="25"/>
      <c r="BJ155" s="25"/>
      <c r="BK155" s="25"/>
      <c r="BL155" s="25"/>
      <c r="BM155" s="25"/>
      <c r="BN155" s="25"/>
      <c r="BO155" s="25"/>
      <c r="BP155" s="25"/>
      <c r="BQ155" s="25"/>
      <c r="BR155" s="25"/>
      <c r="BS155" s="25"/>
      <c r="BT155" s="25"/>
      <c r="BU155" s="25"/>
      <c r="BV155" s="25"/>
      <c r="BW155" s="25"/>
      <c r="BX155" s="25"/>
      <c r="BY155" s="25">
        <v>0</v>
      </c>
      <c r="BZ155" s="25"/>
      <c r="CA155" s="25"/>
      <c r="CB155" s="25">
        <v>0</v>
      </c>
      <c r="CC155" s="25"/>
      <c r="CD155" s="25"/>
      <c r="CE155" s="110">
        <v>18952000</v>
      </c>
      <c r="CF155" s="110">
        <v>18901350</v>
      </c>
      <c r="CG155" s="110">
        <v>18901350</v>
      </c>
      <c r="CH155" s="13"/>
      <c r="CI155" s="13"/>
      <c r="CJ155" s="13"/>
      <c r="CK155" s="25">
        <v>0</v>
      </c>
      <c r="CL155" s="26"/>
      <c r="CM155" s="26"/>
      <c r="CN155" s="26">
        <v>0</v>
      </c>
      <c r="CO155" s="26"/>
      <c r="CP155" s="26"/>
      <c r="CQ155" s="26"/>
      <c r="CR155" s="26"/>
      <c r="CS155" s="26"/>
      <c r="CT155" s="25">
        <f t="shared" si="76"/>
        <v>18952000</v>
      </c>
      <c r="CU155" s="25">
        <f t="shared" si="76"/>
        <v>18901350</v>
      </c>
      <c r="CV155" s="25">
        <f t="shared" si="76"/>
        <v>18901350</v>
      </c>
    </row>
    <row r="156" spans="1:100" s="27" customFormat="1" ht="43.5" customHeight="1" x14ac:dyDescent="0.25">
      <c r="A156" s="19"/>
      <c r="B156" s="28"/>
      <c r="C156" s="1033"/>
      <c r="D156" s="1013"/>
      <c r="E156" s="1022"/>
      <c r="F156" s="1022"/>
      <c r="G156" s="28"/>
      <c r="H156" s="929">
        <v>233</v>
      </c>
      <c r="I156" s="928" t="s">
        <v>204</v>
      </c>
      <c r="J156" s="23">
        <v>1</v>
      </c>
      <c r="K156" s="23">
        <v>1</v>
      </c>
      <c r="L156" s="907">
        <v>1</v>
      </c>
      <c r="M156" s="1160"/>
      <c r="N156" s="1019"/>
      <c r="O156" s="1013"/>
      <c r="P156" s="929" t="s">
        <v>38</v>
      </c>
      <c r="Q156" s="25">
        <v>0</v>
      </c>
      <c r="R156" s="25"/>
      <c r="S156" s="25"/>
      <c r="T156" s="25">
        <v>0</v>
      </c>
      <c r="U156" s="25"/>
      <c r="V156" s="25"/>
      <c r="W156" s="25">
        <v>0</v>
      </c>
      <c r="X156" s="25"/>
      <c r="Y156" s="25"/>
      <c r="Z156" s="25">
        <v>0</v>
      </c>
      <c r="AA156" s="25"/>
      <c r="AB156" s="25"/>
      <c r="AC156" s="25">
        <v>0</v>
      </c>
      <c r="AD156" s="25"/>
      <c r="AE156" s="25"/>
      <c r="AF156" s="25">
        <v>0</v>
      </c>
      <c r="AG156" s="25"/>
      <c r="AH156" s="25"/>
      <c r="AI156" s="25">
        <v>0</v>
      </c>
      <c r="AJ156" s="25"/>
      <c r="AK156" s="25"/>
      <c r="AL156" s="25"/>
      <c r="AM156" s="25"/>
      <c r="AN156" s="25"/>
      <c r="AO156" s="25"/>
      <c r="AP156" s="25"/>
      <c r="AQ156" s="25"/>
      <c r="AR156" s="25"/>
      <c r="AS156" s="25"/>
      <c r="AT156" s="25"/>
      <c r="AU156" s="25">
        <v>0</v>
      </c>
      <c r="AV156" s="25"/>
      <c r="AW156" s="25"/>
      <c r="AX156" s="25"/>
      <c r="AY156" s="25"/>
      <c r="AZ156" s="25"/>
      <c r="BA156" s="25">
        <v>0</v>
      </c>
      <c r="BB156" s="25"/>
      <c r="BC156" s="25"/>
      <c r="BD156" s="25">
        <v>0</v>
      </c>
      <c r="BE156" s="25"/>
      <c r="BF156" s="25"/>
      <c r="BG156" s="25"/>
      <c r="BH156" s="25"/>
      <c r="BI156" s="25"/>
      <c r="BJ156" s="25"/>
      <c r="BK156" s="25"/>
      <c r="BL156" s="25"/>
      <c r="BM156" s="25"/>
      <c r="BN156" s="25"/>
      <c r="BO156" s="25"/>
      <c r="BP156" s="25"/>
      <c r="BQ156" s="25"/>
      <c r="BR156" s="25"/>
      <c r="BS156" s="25"/>
      <c r="BT156" s="25"/>
      <c r="BU156" s="25"/>
      <c r="BV156" s="25"/>
      <c r="BW156" s="25"/>
      <c r="BX156" s="25"/>
      <c r="BY156" s="25">
        <v>0</v>
      </c>
      <c r="BZ156" s="25"/>
      <c r="CA156" s="25"/>
      <c r="CB156" s="25">
        <v>0</v>
      </c>
      <c r="CC156" s="25"/>
      <c r="CD156" s="25"/>
      <c r="CE156" s="110">
        <v>15038000</v>
      </c>
      <c r="CF156" s="110">
        <v>14993550</v>
      </c>
      <c r="CG156" s="110">
        <v>14993550</v>
      </c>
      <c r="CH156" s="13"/>
      <c r="CI156" s="13"/>
      <c r="CJ156" s="13"/>
      <c r="CK156" s="25">
        <v>0</v>
      </c>
      <c r="CL156" s="26"/>
      <c r="CM156" s="26"/>
      <c r="CN156" s="26">
        <v>0</v>
      </c>
      <c r="CO156" s="26"/>
      <c r="CP156" s="26"/>
      <c r="CQ156" s="26"/>
      <c r="CR156" s="26"/>
      <c r="CS156" s="26"/>
      <c r="CT156" s="25">
        <f t="shared" si="76"/>
        <v>15038000</v>
      </c>
      <c r="CU156" s="25">
        <f t="shared" si="76"/>
        <v>14993550</v>
      </c>
      <c r="CV156" s="25">
        <f t="shared" si="76"/>
        <v>14993550</v>
      </c>
    </row>
    <row r="157" spans="1:100" ht="15" x14ac:dyDescent="0.25">
      <c r="A157" s="19"/>
      <c r="B157" s="28"/>
      <c r="C157" s="213"/>
      <c r="D157" s="153"/>
      <c r="E157" s="581"/>
      <c r="F157" s="581"/>
      <c r="G157" s="154"/>
      <c r="H157" s="155"/>
      <c r="I157" s="154"/>
      <c r="J157" s="156"/>
      <c r="K157" s="156"/>
      <c r="L157" s="837"/>
      <c r="M157" s="156"/>
      <c r="N157" s="157"/>
      <c r="O157" s="154"/>
      <c r="P157" s="155"/>
      <c r="Q157" s="158">
        <f t="shared" ref="Q157:CB157" si="77">SUM(Q154:Q156)</f>
        <v>0</v>
      </c>
      <c r="R157" s="158">
        <f t="shared" si="77"/>
        <v>0</v>
      </c>
      <c r="S157" s="158">
        <f t="shared" si="77"/>
        <v>0</v>
      </c>
      <c r="T157" s="158">
        <f t="shared" si="77"/>
        <v>0</v>
      </c>
      <c r="U157" s="158">
        <f t="shared" si="77"/>
        <v>0</v>
      </c>
      <c r="V157" s="158">
        <f t="shared" si="77"/>
        <v>0</v>
      </c>
      <c r="W157" s="158">
        <f t="shared" si="77"/>
        <v>0</v>
      </c>
      <c r="X157" s="158">
        <f t="shared" si="77"/>
        <v>0</v>
      </c>
      <c r="Y157" s="158">
        <f t="shared" si="77"/>
        <v>0</v>
      </c>
      <c r="Z157" s="158">
        <f t="shared" si="77"/>
        <v>0</v>
      </c>
      <c r="AA157" s="158">
        <f t="shared" si="77"/>
        <v>0</v>
      </c>
      <c r="AB157" s="158">
        <f t="shared" si="77"/>
        <v>0</v>
      </c>
      <c r="AC157" s="158">
        <f t="shared" si="77"/>
        <v>0</v>
      </c>
      <c r="AD157" s="158">
        <f t="shared" si="77"/>
        <v>0</v>
      </c>
      <c r="AE157" s="158">
        <f t="shared" si="77"/>
        <v>0</v>
      </c>
      <c r="AF157" s="158">
        <f t="shared" si="77"/>
        <v>0</v>
      </c>
      <c r="AG157" s="158">
        <f t="shared" si="77"/>
        <v>0</v>
      </c>
      <c r="AH157" s="158">
        <f t="shared" si="77"/>
        <v>0</v>
      </c>
      <c r="AI157" s="158">
        <f t="shared" si="77"/>
        <v>0</v>
      </c>
      <c r="AJ157" s="158">
        <f t="shared" si="77"/>
        <v>0</v>
      </c>
      <c r="AK157" s="158">
        <f t="shared" si="77"/>
        <v>0</v>
      </c>
      <c r="AL157" s="158">
        <f t="shared" si="77"/>
        <v>0</v>
      </c>
      <c r="AM157" s="158">
        <f t="shared" si="77"/>
        <v>0</v>
      </c>
      <c r="AN157" s="158">
        <f t="shared" si="77"/>
        <v>0</v>
      </c>
      <c r="AO157" s="158">
        <f t="shared" si="77"/>
        <v>0</v>
      </c>
      <c r="AP157" s="158">
        <f t="shared" si="77"/>
        <v>0</v>
      </c>
      <c r="AQ157" s="158">
        <f t="shared" si="77"/>
        <v>0</v>
      </c>
      <c r="AR157" s="158">
        <f t="shared" si="77"/>
        <v>0</v>
      </c>
      <c r="AS157" s="158">
        <f t="shared" si="77"/>
        <v>0</v>
      </c>
      <c r="AT157" s="158">
        <f t="shared" si="77"/>
        <v>0</v>
      </c>
      <c r="AU157" s="158">
        <f t="shared" si="77"/>
        <v>0</v>
      </c>
      <c r="AV157" s="158">
        <f t="shared" si="77"/>
        <v>0</v>
      </c>
      <c r="AW157" s="158">
        <f t="shared" si="77"/>
        <v>0</v>
      </c>
      <c r="AX157" s="158">
        <f t="shared" si="77"/>
        <v>0</v>
      </c>
      <c r="AY157" s="158">
        <f t="shared" si="77"/>
        <v>0</v>
      </c>
      <c r="AZ157" s="158">
        <f t="shared" si="77"/>
        <v>0</v>
      </c>
      <c r="BA157" s="158">
        <f t="shared" si="77"/>
        <v>0</v>
      </c>
      <c r="BB157" s="158">
        <f t="shared" si="77"/>
        <v>0</v>
      </c>
      <c r="BC157" s="158">
        <f t="shared" si="77"/>
        <v>0</v>
      </c>
      <c r="BD157" s="158">
        <f t="shared" si="77"/>
        <v>0</v>
      </c>
      <c r="BE157" s="158">
        <f t="shared" si="77"/>
        <v>0</v>
      </c>
      <c r="BF157" s="158">
        <f t="shared" si="77"/>
        <v>0</v>
      </c>
      <c r="BG157" s="158">
        <f t="shared" si="77"/>
        <v>0</v>
      </c>
      <c r="BH157" s="158">
        <f t="shared" si="77"/>
        <v>0</v>
      </c>
      <c r="BI157" s="158">
        <f t="shared" si="77"/>
        <v>0</v>
      </c>
      <c r="BJ157" s="158">
        <f t="shared" si="77"/>
        <v>0</v>
      </c>
      <c r="BK157" s="158">
        <f t="shared" si="77"/>
        <v>0</v>
      </c>
      <c r="BL157" s="158">
        <f t="shared" si="77"/>
        <v>0</v>
      </c>
      <c r="BM157" s="158">
        <f t="shared" si="77"/>
        <v>0</v>
      </c>
      <c r="BN157" s="158">
        <f t="shared" si="77"/>
        <v>0</v>
      </c>
      <c r="BO157" s="158">
        <f t="shared" si="77"/>
        <v>0</v>
      </c>
      <c r="BP157" s="158">
        <f t="shared" si="77"/>
        <v>0</v>
      </c>
      <c r="BQ157" s="158">
        <f t="shared" si="77"/>
        <v>0</v>
      </c>
      <c r="BR157" s="158">
        <f t="shared" si="77"/>
        <v>0</v>
      </c>
      <c r="BS157" s="158">
        <f t="shared" si="77"/>
        <v>0</v>
      </c>
      <c r="BT157" s="158">
        <f t="shared" si="77"/>
        <v>0</v>
      </c>
      <c r="BU157" s="158">
        <f t="shared" si="77"/>
        <v>0</v>
      </c>
      <c r="BV157" s="158">
        <f t="shared" si="77"/>
        <v>0</v>
      </c>
      <c r="BW157" s="158">
        <f t="shared" si="77"/>
        <v>0</v>
      </c>
      <c r="BX157" s="158">
        <f t="shared" si="77"/>
        <v>0</v>
      </c>
      <c r="BY157" s="158">
        <f t="shared" si="77"/>
        <v>0</v>
      </c>
      <c r="BZ157" s="158">
        <f t="shared" si="77"/>
        <v>0</v>
      </c>
      <c r="CA157" s="158">
        <f t="shared" si="77"/>
        <v>0</v>
      </c>
      <c r="CB157" s="158">
        <f t="shared" si="77"/>
        <v>0</v>
      </c>
      <c r="CC157" s="158">
        <f t="shared" ref="CC157:CS157" si="78">SUM(CC154:CC156)</f>
        <v>0</v>
      </c>
      <c r="CD157" s="158">
        <f t="shared" si="78"/>
        <v>0</v>
      </c>
      <c r="CE157" s="158">
        <f t="shared" si="78"/>
        <v>37080000</v>
      </c>
      <c r="CF157" s="158">
        <f t="shared" si="78"/>
        <v>36984900</v>
      </c>
      <c r="CG157" s="158">
        <f t="shared" si="78"/>
        <v>36984900</v>
      </c>
      <c r="CH157" s="158">
        <f t="shared" si="78"/>
        <v>0</v>
      </c>
      <c r="CI157" s="158">
        <f t="shared" si="78"/>
        <v>0</v>
      </c>
      <c r="CJ157" s="158">
        <f t="shared" si="78"/>
        <v>0</v>
      </c>
      <c r="CK157" s="158">
        <f t="shared" si="78"/>
        <v>0</v>
      </c>
      <c r="CL157" s="158">
        <f t="shared" si="78"/>
        <v>0</v>
      </c>
      <c r="CM157" s="158">
        <f t="shared" si="78"/>
        <v>0</v>
      </c>
      <c r="CN157" s="158">
        <f t="shared" si="78"/>
        <v>0</v>
      </c>
      <c r="CO157" s="158">
        <f t="shared" si="78"/>
        <v>0</v>
      </c>
      <c r="CP157" s="158">
        <f t="shared" si="78"/>
        <v>0</v>
      </c>
      <c r="CQ157" s="158">
        <f t="shared" si="78"/>
        <v>0</v>
      </c>
      <c r="CR157" s="158">
        <f t="shared" si="78"/>
        <v>0</v>
      </c>
      <c r="CS157" s="158">
        <f t="shared" si="78"/>
        <v>0</v>
      </c>
      <c r="CT157" s="158">
        <f>SUM(CT154:CT156)</f>
        <v>37080000</v>
      </c>
      <c r="CU157" s="853">
        <f>SUM(CU154:CU156)</f>
        <v>36984900</v>
      </c>
      <c r="CV157" s="158">
        <f>SUM(CV154:CV156)</f>
        <v>36984900</v>
      </c>
    </row>
    <row r="158" spans="1:100" s="27" customFormat="1" ht="15" x14ac:dyDescent="0.25">
      <c r="A158" s="19"/>
      <c r="B158" s="28"/>
      <c r="C158" s="949"/>
      <c r="D158" s="177"/>
      <c r="E158" s="949"/>
      <c r="F158" s="949"/>
      <c r="G158" s="177"/>
      <c r="H158" s="949"/>
      <c r="I158" s="177"/>
      <c r="J158" s="178"/>
      <c r="K158" s="178"/>
      <c r="L158" s="838"/>
      <c r="M158" s="229"/>
      <c r="N158" s="230"/>
      <c r="O158" s="221"/>
      <c r="P158" s="949"/>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1"/>
      <c r="BH158" s="181"/>
      <c r="BI158" s="181"/>
      <c r="BJ158" s="181"/>
      <c r="BK158" s="181"/>
      <c r="BL158" s="181"/>
      <c r="BM158" s="181"/>
      <c r="BN158" s="181"/>
      <c r="BO158" s="181"/>
      <c r="BP158" s="181"/>
      <c r="BQ158" s="181"/>
      <c r="BR158" s="181"/>
      <c r="BS158" s="181"/>
      <c r="BT158" s="181"/>
      <c r="BU158" s="181"/>
      <c r="BV158" s="181"/>
      <c r="BW158" s="181"/>
      <c r="BX158" s="181"/>
      <c r="BY158" s="180"/>
      <c r="BZ158" s="180"/>
      <c r="CA158" s="180"/>
      <c r="CB158" s="180"/>
      <c r="CC158" s="277"/>
      <c r="CD158" s="277"/>
      <c r="CE158" s="278"/>
      <c r="CF158" s="278"/>
      <c r="CG158" s="278"/>
      <c r="CH158" s="281"/>
      <c r="CI158" s="281"/>
      <c r="CJ158" s="281"/>
      <c r="CK158" s="180"/>
      <c r="CL158" s="180"/>
      <c r="CM158" s="180"/>
      <c r="CN158" s="180"/>
      <c r="CO158" s="180"/>
      <c r="CP158" s="180"/>
      <c r="CQ158" s="180"/>
      <c r="CR158" s="180"/>
      <c r="CS158" s="180"/>
      <c r="CT158" s="25"/>
      <c r="CU158" s="76"/>
      <c r="CV158" s="76"/>
    </row>
    <row r="159" spans="1:100" ht="15" x14ac:dyDescent="0.25">
      <c r="A159" s="19"/>
      <c r="B159" s="28"/>
      <c r="C159" s="213"/>
      <c r="D159" s="153"/>
      <c r="E159" s="581"/>
      <c r="F159" s="581"/>
      <c r="G159" s="254">
        <v>80</v>
      </c>
      <c r="H159" s="271" t="s">
        <v>205</v>
      </c>
      <c r="I159" s="189"/>
      <c r="J159" s="189"/>
      <c r="K159" s="189"/>
      <c r="L159" s="840"/>
      <c r="M159" s="189"/>
      <c r="N159" s="684"/>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89"/>
      <c r="BN159" s="189"/>
      <c r="BO159" s="189"/>
      <c r="BP159" s="189"/>
      <c r="BQ159" s="189"/>
      <c r="BR159" s="189"/>
      <c r="BS159" s="189"/>
      <c r="BT159" s="189"/>
      <c r="BU159" s="189"/>
      <c r="BV159" s="189"/>
      <c r="BW159" s="189"/>
      <c r="BX159" s="189"/>
      <c r="BY159" s="189"/>
      <c r="BZ159" s="189"/>
      <c r="CA159" s="189"/>
      <c r="CB159" s="189"/>
      <c r="CC159" s="189"/>
      <c r="CD159" s="189"/>
      <c r="CE159" s="190"/>
      <c r="CF159" s="190"/>
      <c r="CG159" s="190"/>
      <c r="CH159" s="189"/>
      <c r="CI159" s="189"/>
      <c r="CJ159" s="189"/>
      <c r="CK159" s="189"/>
      <c r="CL159" s="189"/>
      <c r="CM159" s="189"/>
      <c r="CN159" s="189"/>
      <c r="CO159" s="189"/>
      <c r="CP159" s="189"/>
      <c r="CQ159" s="189"/>
      <c r="CR159" s="189"/>
      <c r="CS159" s="189"/>
      <c r="CT159" s="522"/>
      <c r="CU159" s="522"/>
      <c r="CV159" s="522"/>
    </row>
    <row r="160" spans="1:100" s="27" customFormat="1" ht="99.75" x14ac:dyDescent="0.25">
      <c r="A160" s="19"/>
      <c r="B160" s="28"/>
      <c r="C160" s="1032">
        <v>13</v>
      </c>
      <c r="D160" s="1012" t="s">
        <v>188</v>
      </c>
      <c r="E160" s="1021">
        <v>71.040000000000006</v>
      </c>
      <c r="F160" s="1021">
        <v>88.17</v>
      </c>
      <c r="G160" s="22"/>
      <c r="H160" s="929">
        <v>234</v>
      </c>
      <c r="I160" s="928" t="s">
        <v>206</v>
      </c>
      <c r="J160" s="23" t="s">
        <v>30</v>
      </c>
      <c r="K160" s="67">
        <v>7</v>
      </c>
      <c r="L160" s="646">
        <v>7</v>
      </c>
      <c r="M160" s="1158" t="s">
        <v>192</v>
      </c>
      <c r="N160" s="1017" t="s">
        <v>207</v>
      </c>
      <c r="O160" s="1012" t="s">
        <v>208</v>
      </c>
      <c r="P160" s="929" t="s">
        <v>34</v>
      </c>
      <c r="Q160" s="25">
        <v>0</v>
      </c>
      <c r="R160" s="25"/>
      <c r="S160" s="25"/>
      <c r="T160" s="25">
        <v>0</v>
      </c>
      <c r="U160" s="25"/>
      <c r="V160" s="25"/>
      <c r="W160" s="25">
        <v>0</v>
      </c>
      <c r="X160" s="25"/>
      <c r="Y160" s="25"/>
      <c r="Z160" s="25">
        <v>0</v>
      </c>
      <c r="AA160" s="25"/>
      <c r="AB160" s="25"/>
      <c r="AC160" s="25">
        <v>0</v>
      </c>
      <c r="AD160" s="25"/>
      <c r="AE160" s="25"/>
      <c r="AF160" s="25">
        <v>0</v>
      </c>
      <c r="AG160" s="25"/>
      <c r="AH160" s="25"/>
      <c r="AI160" s="25">
        <v>0</v>
      </c>
      <c r="AJ160" s="25"/>
      <c r="AK160" s="25"/>
      <c r="AL160" s="25"/>
      <c r="AM160" s="25"/>
      <c r="AN160" s="25"/>
      <c r="AO160" s="25"/>
      <c r="AP160" s="25"/>
      <c r="AQ160" s="25"/>
      <c r="AR160" s="25"/>
      <c r="AS160" s="25"/>
      <c r="AT160" s="25"/>
      <c r="AU160" s="25">
        <v>0</v>
      </c>
      <c r="AV160" s="25"/>
      <c r="AW160" s="25"/>
      <c r="AX160" s="25"/>
      <c r="AY160" s="25"/>
      <c r="AZ160" s="25"/>
      <c r="BA160" s="25">
        <v>0</v>
      </c>
      <c r="BB160" s="25"/>
      <c r="BC160" s="25"/>
      <c r="BD160" s="25">
        <v>0</v>
      </c>
      <c r="BE160" s="25"/>
      <c r="BF160" s="25"/>
      <c r="BG160" s="25"/>
      <c r="BH160" s="25"/>
      <c r="BI160" s="25"/>
      <c r="BJ160" s="25"/>
      <c r="BK160" s="25"/>
      <c r="BL160" s="25"/>
      <c r="BM160" s="25"/>
      <c r="BN160" s="25"/>
      <c r="BO160" s="25"/>
      <c r="BP160" s="25"/>
      <c r="BQ160" s="25"/>
      <c r="BR160" s="25"/>
      <c r="BS160" s="25"/>
      <c r="BT160" s="25"/>
      <c r="BU160" s="25"/>
      <c r="BV160" s="25"/>
      <c r="BW160" s="25"/>
      <c r="BX160" s="25"/>
      <c r="BY160" s="25">
        <v>0</v>
      </c>
      <c r="BZ160" s="25"/>
      <c r="CA160" s="25"/>
      <c r="CB160" s="25">
        <v>0</v>
      </c>
      <c r="CC160" s="25"/>
      <c r="CD160" s="25"/>
      <c r="CE160" s="110">
        <v>13390000</v>
      </c>
      <c r="CF160" s="110">
        <v>13390000</v>
      </c>
      <c r="CG160" s="110">
        <v>13390000</v>
      </c>
      <c r="CH160" s="13"/>
      <c r="CI160" s="13"/>
      <c r="CJ160" s="13"/>
      <c r="CK160" s="25">
        <v>0</v>
      </c>
      <c r="CL160" s="26"/>
      <c r="CM160" s="26"/>
      <c r="CN160" s="26">
        <v>0</v>
      </c>
      <c r="CO160" s="26"/>
      <c r="CP160" s="26"/>
      <c r="CQ160" s="26"/>
      <c r="CR160" s="26"/>
      <c r="CS160" s="26"/>
      <c r="CT160" s="25">
        <f t="shared" ref="CT160:CV161" si="79">Q160+T160+W160+Z160+AC160+AF160+AI160+AL160+AO160+AR160+AU160+AX160+BA160+BD160+BG160+BJ160+BM160+BP160+BS160+BV160+BY160+CB160+CE160+CH160+CK160+CQ160+CN160</f>
        <v>13390000</v>
      </c>
      <c r="CU160" s="25">
        <f t="shared" si="79"/>
        <v>13390000</v>
      </c>
      <c r="CV160" s="25">
        <f t="shared" si="79"/>
        <v>13390000</v>
      </c>
    </row>
    <row r="161" spans="1:100" s="27" customFormat="1" ht="87.75" customHeight="1" x14ac:dyDescent="0.25">
      <c r="A161" s="19"/>
      <c r="B161" s="28"/>
      <c r="C161" s="1033"/>
      <c r="D161" s="1013"/>
      <c r="E161" s="1022"/>
      <c r="F161" s="1022"/>
      <c r="G161" s="28"/>
      <c r="H161" s="929">
        <v>235</v>
      </c>
      <c r="I161" s="928" t="s">
        <v>209</v>
      </c>
      <c r="J161" s="23" t="s">
        <v>30</v>
      </c>
      <c r="K161" s="68">
        <v>7</v>
      </c>
      <c r="L161" s="908">
        <v>7</v>
      </c>
      <c r="M161" s="1160"/>
      <c r="N161" s="1019"/>
      <c r="O161" s="1013"/>
      <c r="P161" s="929" t="s">
        <v>34</v>
      </c>
      <c r="Q161" s="25">
        <v>0</v>
      </c>
      <c r="R161" s="25"/>
      <c r="S161" s="25"/>
      <c r="T161" s="25">
        <v>0</v>
      </c>
      <c r="U161" s="25"/>
      <c r="V161" s="25"/>
      <c r="W161" s="25">
        <v>0</v>
      </c>
      <c r="X161" s="25"/>
      <c r="Y161" s="25"/>
      <c r="Z161" s="25">
        <v>0</v>
      </c>
      <c r="AA161" s="25"/>
      <c r="AB161" s="25"/>
      <c r="AC161" s="25">
        <v>0</v>
      </c>
      <c r="AD161" s="25"/>
      <c r="AE161" s="25"/>
      <c r="AF161" s="25">
        <v>0</v>
      </c>
      <c r="AG161" s="25"/>
      <c r="AH161" s="25"/>
      <c r="AI161" s="25">
        <v>0</v>
      </c>
      <c r="AJ161" s="25"/>
      <c r="AK161" s="25"/>
      <c r="AL161" s="25"/>
      <c r="AM161" s="25"/>
      <c r="AN161" s="25"/>
      <c r="AO161" s="25"/>
      <c r="AP161" s="25"/>
      <c r="AQ161" s="25"/>
      <c r="AR161" s="25"/>
      <c r="AS161" s="25"/>
      <c r="AT161" s="25"/>
      <c r="AU161" s="25">
        <v>0</v>
      </c>
      <c r="AV161" s="25"/>
      <c r="AW161" s="25"/>
      <c r="AX161" s="25"/>
      <c r="AY161" s="25"/>
      <c r="AZ161" s="25"/>
      <c r="BA161" s="25">
        <v>0</v>
      </c>
      <c r="BB161" s="25"/>
      <c r="BC161" s="25"/>
      <c r="BD161" s="25">
        <v>0</v>
      </c>
      <c r="BE161" s="25"/>
      <c r="BF161" s="25"/>
      <c r="BG161" s="25"/>
      <c r="BH161" s="25"/>
      <c r="BI161" s="25"/>
      <c r="BJ161" s="25"/>
      <c r="BK161" s="25"/>
      <c r="BL161" s="25"/>
      <c r="BM161" s="25"/>
      <c r="BN161" s="25"/>
      <c r="BO161" s="25"/>
      <c r="BP161" s="25"/>
      <c r="BQ161" s="25"/>
      <c r="BR161" s="25"/>
      <c r="BS161" s="25"/>
      <c r="BT161" s="25"/>
      <c r="BU161" s="25"/>
      <c r="BV161" s="25"/>
      <c r="BW161" s="25"/>
      <c r="BX161" s="25"/>
      <c r="BY161" s="25">
        <v>0</v>
      </c>
      <c r="BZ161" s="25"/>
      <c r="CA161" s="25"/>
      <c r="CB161" s="25">
        <v>0</v>
      </c>
      <c r="CC161" s="25"/>
      <c r="CD161" s="25"/>
      <c r="CE161" s="110">
        <v>23690000</v>
      </c>
      <c r="CF161" s="110">
        <v>23340000</v>
      </c>
      <c r="CG161" s="110">
        <v>23340000</v>
      </c>
      <c r="CH161" s="13"/>
      <c r="CI161" s="13"/>
      <c r="CJ161" s="13"/>
      <c r="CK161" s="25">
        <v>0</v>
      </c>
      <c r="CL161" s="26"/>
      <c r="CM161" s="26"/>
      <c r="CN161" s="26">
        <v>0</v>
      </c>
      <c r="CO161" s="26"/>
      <c r="CP161" s="26"/>
      <c r="CQ161" s="26"/>
      <c r="CR161" s="26"/>
      <c r="CS161" s="26"/>
      <c r="CT161" s="25">
        <f t="shared" si="79"/>
        <v>23690000</v>
      </c>
      <c r="CU161" s="25">
        <f t="shared" si="79"/>
        <v>23340000</v>
      </c>
      <c r="CV161" s="25">
        <f t="shared" si="79"/>
        <v>23340000</v>
      </c>
    </row>
    <row r="162" spans="1:100" ht="15" x14ac:dyDescent="0.25">
      <c r="A162" s="19"/>
      <c r="B162" s="29"/>
      <c r="C162" s="213"/>
      <c r="D162" s="153"/>
      <c r="E162" s="581"/>
      <c r="F162" s="581"/>
      <c r="G162" s="154"/>
      <c r="H162" s="155"/>
      <c r="I162" s="154"/>
      <c r="J162" s="156"/>
      <c r="K162" s="156"/>
      <c r="L162" s="837"/>
      <c r="M162" s="156"/>
      <c r="N162" s="157"/>
      <c r="O162" s="154"/>
      <c r="P162" s="155"/>
      <c r="Q162" s="158">
        <f t="shared" ref="Q162:CB162" si="80">SUM(Q160:Q161)</f>
        <v>0</v>
      </c>
      <c r="R162" s="158">
        <f t="shared" si="80"/>
        <v>0</v>
      </c>
      <c r="S162" s="158">
        <f t="shared" si="80"/>
        <v>0</v>
      </c>
      <c r="T162" s="158">
        <f t="shared" si="80"/>
        <v>0</v>
      </c>
      <c r="U162" s="158">
        <f t="shared" si="80"/>
        <v>0</v>
      </c>
      <c r="V162" s="158">
        <f t="shared" si="80"/>
        <v>0</v>
      </c>
      <c r="W162" s="158">
        <f t="shared" si="80"/>
        <v>0</v>
      </c>
      <c r="X162" s="158">
        <f t="shared" si="80"/>
        <v>0</v>
      </c>
      <c r="Y162" s="158">
        <f t="shared" si="80"/>
        <v>0</v>
      </c>
      <c r="Z162" s="158">
        <f t="shared" si="80"/>
        <v>0</v>
      </c>
      <c r="AA162" s="158">
        <f t="shared" si="80"/>
        <v>0</v>
      </c>
      <c r="AB162" s="158">
        <f t="shared" si="80"/>
        <v>0</v>
      </c>
      <c r="AC162" s="158">
        <f t="shared" si="80"/>
        <v>0</v>
      </c>
      <c r="AD162" s="158">
        <f t="shared" si="80"/>
        <v>0</v>
      </c>
      <c r="AE162" s="158">
        <f t="shared" si="80"/>
        <v>0</v>
      </c>
      <c r="AF162" s="158">
        <f t="shared" si="80"/>
        <v>0</v>
      </c>
      <c r="AG162" s="158">
        <f t="shared" si="80"/>
        <v>0</v>
      </c>
      <c r="AH162" s="158">
        <f t="shared" si="80"/>
        <v>0</v>
      </c>
      <c r="AI162" s="158">
        <f t="shared" si="80"/>
        <v>0</v>
      </c>
      <c r="AJ162" s="158">
        <f t="shared" si="80"/>
        <v>0</v>
      </c>
      <c r="AK162" s="158">
        <f t="shared" si="80"/>
        <v>0</v>
      </c>
      <c r="AL162" s="158">
        <f t="shared" si="80"/>
        <v>0</v>
      </c>
      <c r="AM162" s="158">
        <f t="shared" si="80"/>
        <v>0</v>
      </c>
      <c r="AN162" s="158">
        <f t="shared" si="80"/>
        <v>0</v>
      </c>
      <c r="AO162" s="158">
        <f t="shared" si="80"/>
        <v>0</v>
      </c>
      <c r="AP162" s="158">
        <f t="shared" si="80"/>
        <v>0</v>
      </c>
      <c r="AQ162" s="158">
        <f t="shared" si="80"/>
        <v>0</v>
      </c>
      <c r="AR162" s="158">
        <f t="shared" si="80"/>
        <v>0</v>
      </c>
      <c r="AS162" s="158">
        <f t="shared" si="80"/>
        <v>0</v>
      </c>
      <c r="AT162" s="158">
        <f t="shared" si="80"/>
        <v>0</v>
      </c>
      <c r="AU162" s="158">
        <f t="shared" si="80"/>
        <v>0</v>
      </c>
      <c r="AV162" s="158">
        <f t="shared" si="80"/>
        <v>0</v>
      </c>
      <c r="AW162" s="158">
        <f t="shared" si="80"/>
        <v>0</v>
      </c>
      <c r="AX162" s="158">
        <f t="shared" si="80"/>
        <v>0</v>
      </c>
      <c r="AY162" s="158">
        <f t="shared" si="80"/>
        <v>0</v>
      </c>
      <c r="AZ162" s="158">
        <f t="shared" si="80"/>
        <v>0</v>
      </c>
      <c r="BA162" s="158">
        <f t="shared" si="80"/>
        <v>0</v>
      </c>
      <c r="BB162" s="158">
        <f t="shared" si="80"/>
        <v>0</v>
      </c>
      <c r="BC162" s="158">
        <f t="shared" si="80"/>
        <v>0</v>
      </c>
      <c r="BD162" s="158">
        <f t="shared" si="80"/>
        <v>0</v>
      </c>
      <c r="BE162" s="158">
        <f t="shared" si="80"/>
        <v>0</v>
      </c>
      <c r="BF162" s="158">
        <f t="shared" si="80"/>
        <v>0</v>
      </c>
      <c r="BG162" s="158">
        <f t="shared" si="80"/>
        <v>0</v>
      </c>
      <c r="BH162" s="158">
        <f t="shared" si="80"/>
        <v>0</v>
      </c>
      <c r="BI162" s="158">
        <f t="shared" si="80"/>
        <v>0</v>
      </c>
      <c r="BJ162" s="158">
        <f t="shared" si="80"/>
        <v>0</v>
      </c>
      <c r="BK162" s="158">
        <f t="shared" si="80"/>
        <v>0</v>
      </c>
      <c r="BL162" s="158">
        <f t="shared" si="80"/>
        <v>0</v>
      </c>
      <c r="BM162" s="158">
        <f t="shared" si="80"/>
        <v>0</v>
      </c>
      <c r="BN162" s="158">
        <f t="shared" si="80"/>
        <v>0</v>
      </c>
      <c r="BO162" s="158">
        <f t="shared" si="80"/>
        <v>0</v>
      </c>
      <c r="BP162" s="158">
        <f t="shared" si="80"/>
        <v>0</v>
      </c>
      <c r="BQ162" s="158">
        <f t="shared" si="80"/>
        <v>0</v>
      </c>
      <c r="BR162" s="158">
        <f t="shared" si="80"/>
        <v>0</v>
      </c>
      <c r="BS162" s="158">
        <f t="shared" si="80"/>
        <v>0</v>
      </c>
      <c r="BT162" s="158">
        <f t="shared" si="80"/>
        <v>0</v>
      </c>
      <c r="BU162" s="158">
        <f t="shared" si="80"/>
        <v>0</v>
      </c>
      <c r="BV162" s="158">
        <f t="shared" si="80"/>
        <v>0</v>
      </c>
      <c r="BW162" s="158">
        <f t="shared" si="80"/>
        <v>0</v>
      </c>
      <c r="BX162" s="158">
        <f t="shared" si="80"/>
        <v>0</v>
      </c>
      <c r="BY162" s="158">
        <f t="shared" si="80"/>
        <v>0</v>
      </c>
      <c r="BZ162" s="158">
        <f t="shared" si="80"/>
        <v>0</v>
      </c>
      <c r="CA162" s="158">
        <f t="shared" si="80"/>
        <v>0</v>
      </c>
      <c r="CB162" s="158">
        <f t="shared" si="80"/>
        <v>0</v>
      </c>
      <c r="CC162" s="158">
        <f t="shared" ref="CC162:CS162" si="81">SUM(CC160:CC161)</f>
        <v>0</v>
      </c>
      <c r="CD162" s="158">
        <f t="shared" si="81"/>
        <v>0</v>
      </c>
      <c r="CE162" s="158">
        <f t="shared" si="81"/>
        <v>37080000</v>
      </c>
      <c r="CF162" s="158">
        <f t="shared" si="81"/>
        <v>36730000</v>
      </c>
      <c r="CG162" s="158">
        <f t="shared" si="81"/>
        <v>36730000</v>
      </c>
      <c r="CH162" s="158">
        <f t="shared" si="81"/>
        <v>0</v>
      </c>
      <c r="CI162" s="158">
        <f t="shared" si="81"/>
        <v>0</v>
      </c>
      <c r="CJ162" s="158">
        <f t="shared" si="81"/>
        <v>0</v>
      </c>
      <c r="CK162" s="158">
        <f t="shared" si="81"/>
        <v>0</v>
      </c>
      <c r="CL162" s="158">
        <f t="shared" si="81"/>
        <v>0</v>
      </c>
      <c r="CM162" s="158">
        <f t="shared" si="81"/>
        <v>0</v>
      </c>
      <c r="CN162" s="158">
        <f t="shared" si="81"/>
        <v>0</v>
      </c>
      <c r="CO162" s="158">
        <f t="shared" si="81"/>
        <v>0</v>
      </c>
      <c r="CP162" s="158">
        <f t="shared" si="81"/>
        <v>0</v>
      </c>
      <c r="CQ162" s="158">
        <f t="shared" si="81"/>
        <v>0</v>
      </c>
      <c r="CR162" s="158">
        <f t="shared" si="81"/>
        <v>0</v>
      </c>
      <c r="CS162" s="158">
        <f t="shared" si="81"/>
        <v>0</v>
      </c>
      <c r="CT162" s="158">
        <f>SUM(CT160:CT161)</f>
        <v>37080000</v>
      </c>
      <c r="CU162" s="158">
        <f>SUM(CU160:CU161)</f>
        <v>36730000</v>
      </c>
      <c r="CV162" s="158">
        <f>SUM(CV160:CV161)</f>
        <v>36730000</v>
      </c>
    </row>
    <row r="163" spans="1:100" ht="15" x14ac:dyDescent="0.25">
      <c r="A163" s="19"/>
      <c r="B163" s="161"/>
      <c r="C163" s="218"/>
      <c r="D163" s="161"/>
      <c r="E163" s="162"/>
      <c r="F163" s="162"/>
      <c r="G163" s="161"/>
      <c r="H163" s="162"/>
      <c r="I163" s="161"/>
      <c r="J163" s="163"/>
      <c r="K163" s="163"/>
      <c r="L163" s="841"/>
      <c r="M163" s="163"/>
      <c r="N163" s="164"/>
      <c r="O163" s="161"/>
      <c r="P163" s="162"/>
      <c r="Q163" s="165">
        <f t="shared" ref="Q163:CB163" si="82">Q162+Q157+Q151</f>
        <v>0</v>
      </c>
      <c r="R163" s="165">
        <f t="shared" si="82"/>
        <v>0</v>
      </c>
      <c r="S163" s="165">
        <f t="shared" si="82"/>
        <v>0</v>
      </c>
      <c r="T163" s="165">
        <f t="shared" si="82"/>
        <v>0</v>
      </c>
      <c r="U163" s="165">
        <f t="shared" si="82"/>
        <v>0</v>
      </c>
      <c r="V163" s="165">
        <f t="shared" si="82"/>
        <v>0</v>
      </c>
      <c r="W163" s="165">
        <f t="shared" si="82"/>
        <v>0</v>
      </c>
      <c r="X163" s="165">
        <f t="shared" si="82"/>
        <v>0</v>
      </c>
      <c r="Y163" s="165">
        <f t="shared" si="82"/>
        <v>0</v>
      </c>
      <c r="Z163" s="165">
        <f t="shared" si="82"/>
        <v>0</v>
      </c>
      <c r="AA163" s="165">
        <f t="shared" si="82"/>
        <v>0</v>
      </c>
      <c r="AB163" s="165">
        <f t="shared" si="82"/>
        <v>0</v>
      </c>
      <c r="AC163" s="165">
        <f t="shared" si="82"/>
        <v>0</v>
      </c>
      <c r="AD163" s="165">
        <f t="shared" si="82"/>
        <v>0</v>
      </c>
      <c r="AE163" s="165">
        <f t="shared" si="82"/>
        <v>0</v>
      </c>
      <c r="AF163" s="165">
        <f t="shared" si="82"/>
        <v>0</v>
      </c>
      <c r="AG163" s="165">
        <f t="shared" si="82"/>
        <v>0</v>
      </c>
      <c r="AH163" s="165">
        <f t="shared" si="82"/>
        <v>0</v>
      </c>
      <c r="AI163" s="165">
        <f t="shared" si="82"/>
        <v>0</v>
      </c>
      <c r="AJ163" s="165">
        <f t="shared" si="82"/>
        <v>0</v>
      </c>
      <c r="AK163" s="165">
        <f t="shared" si="82"/>
        <v>0</v>
      </c>
      <c r="AL163" s="165">
        <f t="shared" si="82"/>
        <v>0</v>
      </c>
      <c r="AM163" s="165">
        <f t="shared" si="82"/>
        <v>0</v>
      </c>
      <c r="AN163" s="165">
        <f t="shared" si="82"/>
        <v>0</v>
      </c>
      <c r="AO163" s="165">
        <f t="shared" si="82"/>
        <v>0</v>
      </c>
      <c r="AP163" s="165">
        <f t="shared" si="82"/>
        <v>0</v>
      </c>
      <c r="AQ163" s="165">
        <f t="shared" si="82"/>
        <v>0</v>
      </c>
      <c r="AR163" s="165">
        <f t="shared" si="82"/>
        <v>0</v>
      </c>
      <c r="AS163" s="165">
        <f t="shared" si="82"/>
        <v>0</v>
      </c>
      <c r="AT163" s="165">
        <f t="shared" si="82"/>
        <v>0</v>
      </c>
      <c r="AU163" s="165">
        <f t="shared" si="82"/>
        <v>0</v>
      </c>
      <c r="AV163" s="165">
        <f t="shared" si="82"/>
        <v>0</v>
      </c>
      <c r="AW163" s="165">
        <f t="shared" si="82"/>
        <v>0</v>
      </c>
      <c r="AX163" s="165">
        <f t="shared" si="82"/>
        <v>0</v>
      </c>
      <c r="AY163" s="165">
        <f t="shared" si="82"/>
        <v>0</v>
      </c>
      <c r="AZ163" s="165">
        <f t="shared" si="82"/>
        <v>0</v>
      </c>
      <c r="BA163" s="165">
        <f t="shared" si="82"/>
        <v>0</v>
      </c>
      <c r="BB163" s="165">
        <f t="shared" si="82"/>
        <v>0</v>
      </c>
      <c r="BC163" s="165">
        <f t="shared" si="82"/>
        <v>0</v>
      </c>
      <c r="BD163" s="165">
        <f t="shared" si="82"/>
        <v>0</v>
      </c>
      <c r="BE163" s="165">
        <f t="shared" si="82"/>
        <v>0</v>
      </c>
      <c r="BF163" s="165">
        <f t="shared" si="82"/>
        <v>0</v>
      </c>
      <c r="BG163" s="165">
        <f t="shared" si="82"/>
        <v>0</v>
      </c>
      <c r="BH163" s="165">
        <f t="shared" si="82"/>
        <v>0</v>
      </c>
      <c r="BI163" s="165">
        <f t="shared" si="82"/>
        <v>0</v>
      </c>
      <c r="BJ163" s="165">
        <f t="shared" si="82"/>
        <v>0</v>
      </c>
      <c r="BK163" s="165">
        <f t="shared" si="82"/>
        <v>0</v>
      </c>
      <c r="BL163" s="165">
        <f t="shared" si="82"/>
        <v>0</v>
      </c>
      <c r="BM163" s="165">
        <f t="shared" si="82"/>
        <v>0</v>
      </c>
      <c r="BN163" s="165">
        <f t="shared" si="82"/>
        <v>0</v>
      </c>
      <c r="BO163" s="165">
        <f t="shared" si="82"/>
        <v>0</v>
      </c>
      <c r="BP163" s="165">
        <f t="shared" si="82"/>
        <v>0</v>
      </c>
      <c r="BQ163" s="165">
        <f t="shared" si="82"/>
        <v>0</v>
      </c>
      <c r="BR163" s="165">
        <f t="shared" si="82"/>
        <v>0</v>
      </c>
      <c r="BS163" s="165">
        <f t="shared" si="82"/>
        <v>0</v>
      </c>
      <c r="BT163" s="165">
        <f t="shared" si="82"/>
        <v>0</v>
      </c>
      <c r="BU163" s="165">
        <f t="shared" si="82"/>
        <v>0</v>
      </c>
      <c r="BV163" s="165">
        <f t="shared" si="82"/>
        <v>0</v>
      </c>
      <c r="BW163" s="165">
        <f t="shared" si="82"/>
        <v>0</v>
      </c>
      <c r="BX163" s="165">
        <f t="shared" si="82"/>
        <v>0</v>
      </c>
      <c r="BY163" s="165">
        <f t="shared" si="82"/>
        <v>0</v>
      </c>
      <c r="BZ163" s="165">
        <f t="shared" si="82"/>
        <v>0</v>
      </c>
      <c r="CA163" s="165">
        <f t="shared" si="82"/>
        <v>0</v>
      </c>
      <c r="CB163" s="165">
        <f t="shared" si="82"/>
        <v>0</v>
      </c>
      <c r="CC163" s="165">
        <f t="shared" ref="CC163:CS163" si="83">CC162+CC157+CC151</f>
        <v>0</v>
      </c>
      <c r="CD163" s="165">
        <f t="shared" si="83"/>
        <v>0</v>
      </c>
      <c r="CE163" s="165">
        <f t="shared" si="83"/>
        <v>701349776</v>
      </c>
      <c r="CF163" s="165">
        <f t="shared" si="83"/>
        <v>451702204</v>
      </c>
      <c r="CG163" s="165">
        <f t="shared" si="83"/>
        <v>448863928</v>
      </c>
      <c r="CH163" s="165">
        <f t="shared" si="83"/>
        <v>0</v>
      </c>
      <c r="CI163" s="165">
        <f t="shared" si="83"/>
        <v>0</v>
      </c>
      <c r="CJ163" s="165">
        <f t="shared" si="83"/>
        <v>0</v>
      </c>
      <c r="CK163" s="165">
        <f t="shared" si="83"/>
        <v>0</v>
      </c>
      <c r="CL163" s="165">
        <f t="shared" si="83"/>
        <v>0</v>
      </c>
      <c r="CM163" s="165">
        <f t="shared" si="83"/>
        <v>0</v>
      </c>
      <c r="CN163" s="165">
        <f t="shared" si="83"/>
        <v>0</v>
      </c>
      <c r="CO163" s="165">
        <f t="shared" si="83"/>
        <v>0</v>
      </c>
      <c r="CP163" s="165">
        <f t="shared" si="83"/>
        <v>0</v>
      </c>
      <c r="CQ163" s="165">
        <f t="shared" si="83"/>
        <v>0</v>
      </c>
      <c r="CR163" s="165">
        <f t="shared" si="83"/>
        <v>0</v>
      </c>
      <c r="CS163" s="165">
        <f t="shared" si="83"/>
        <v>0</v>
      </c>
      <c r="CT163" s="165">
        <f>CT162+CT157+CT151</f>
        <v>701349776</v>
      </c>
      <c r="CU163" s="165">
        <f>CU162+CU157+CU151</f>
        <v>451702204</v>
      </c>
      <c r="CV163" s="165">
        <f>CV162+CV157+CV151</f>
        <v>448863928</v>
      </c>
    </row>
    <row r="164" spans="1:100" s="27" customFormat="1" ht="15" x14ac:dyDescent="0.25">
      <c r="A164" s="19"/>
      <c r="B164" s="928"/>
      <c r="C164" s="949"/>
      <c r="D164" s="177"/>
      <c r="E164" s="949"/>
      <c r="F164" s="949"/>
      <c r="G164" s="177"/>
      <c r="H164" s="949"/>
      <c r="I164" s="177"/>
      <c r="J164" s="178"/>
      <c r="K164" s="178"/>
      <c r="L164" s="838"/>
      <c r="M164" s="229"/>
      <c r="N164" s="230"/>
      <c r="O164" s="221"/>
      <c r="P164" s="949"/>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1"/>
      <c r="BH164" s="181"/>
      <c r="BI164" s="181"/>
      <c r="BJ164" s="181"/>
      <c r="BK164" s="181"/>
      <c r="BL164" s="181"/>
      <c r="BM164" s="181"/>
      <c r="BN164" s="181"/>
      <c r="BO164" s="181"/>
      <c r="BP164" s="181"/>
      <c r="BQ164" s="181"/>
      <c r="BR164" s="181"/>
      <c r="BS164" s="181"/>
      <c r="BT164" s="181"/>
      <c r="BU164" s="181"/>
      <c r="BV164" s="181"/>
      <c r="BW164" s="181"/>
      <c r="BX164" s="181"/>
      <c r="BY164" s="180"/>
      <c r="BZ164" s="180"/>
      <c r="CA164" s="180"/>
      <c r="CB164" s="180"/>
      <c r="CC164" s="277"/>
      <c r="CD164" s="277"/>
      <c r="CE164" s="278"/>
      <c r="CF164" s="278"/>
      <c r="CG164" s="278"/>
      <c r="CH164" s="277"/>
      <c r="CI164" s="277"/>
      <c r="CJ164" s="277"/>
      <c r="CK164" s="180"/>
      <c r="CL164" s="180"/>
      <c r="CM164" s="180"/>
      <c r="CN164" s="180"/>
      <c r="CO164" s="180"/>
      <c r="CP164" s="180"/>
      <c r="CQ164" s="180"/>
      <c r="CR164" s="180"/>
      <c r="CS164" s="180"/>
      <c r="CT164" s="25"/>
      <c r="CU164" s="76"/>
      <c r="CV164" s="76"/>
    </row>
    <row r="165" spans="1:100" ht="15" x14ac:dyDescent="0.25">
      <c r="A165" s="19"/>
      <c r="B165" s="262">
        <v>25</v>
      </c>
      <c r="C165" s="993" t="s">
        <v>210</v>
      </c>
      <c r="D165" s="146"/>
      <c r="E165" s="146"/>
      <c r="F165" s="146"/>
      <c r="G165" s="146"/>
      <c r="H165" s="146"/>
      <c r="I165" s="146"/>
      <c r="J165" s="282"/>
      <c r="K165" s="282"/>
      <c r="L165" s="846"/>
      <c r="M165" s="282"/>
      <c r="N165" s="685"/>
      <c r="O165" s="282"/>
      <c r="P165" s="282"/>
      <c r="Q165" s="282"/>
      <c r="R165" s="706"/>
      <c r="S165" s="706"/>
      <c r="T165" s="282"/>
      <c r="U165" s="706"/>
      <c r="V165" s="706"/>
      <c r="W165" s="282"/>
      <c r="X165" s="706"/>
      <c r="Y165" s="706"/>
      <c r="Z165" s="282"/>
      <c r="AA165" s="706"/>
      <c r="AB165" s="706"/>
      <c r="AC165" s="282"/>
      <c r="AD165" s="706"/>
      <c r="AE165" s="706"/>
      <c r="AF165" s="282"/>
      <c r="AG165" s="706"/>
      <c r="AH165" s="706"/>
      <c r="AI165" s="282"/>
      <c r="AJ165" s="706"/>
      <c r="AK165" s="706"/>
      <c r="AL165" s="282"/>
      <c r="AM165" s="706"/>
      <c r="AN165" s="706"/>
      <c r="AO165" s="282"/>
      <c r="AP165" s="706"/>
      <c r="AQ165" s="706"/>
      <c r="AR165" s="282"/>
      <c r="AS165" s="706"/>
      <c r="AT165" s="706"/>
      <c r="AU165" s="282"/>
      <c r="AV165" s="706"/>
      <c r="AW165" s="706"/>
      <c r="AX165" s="282"/>
      <c r="AY165" s="706"/>
      <c r="AZ165" s="706"/>
      <c r="BA165" s="282"/>
      <c r="BB165" s="706"/>
      <c r="BC165" s="706"/>
      <c r="BD165" s="282"/>
      <c r="BE165" s="706"/>
      <c r="BF165" s="706"/>
      <c r="BG165" s="282"/>
      <c r="BH165" s="706"/>
      <c r="BI165" s="706"/>
      <c r="BJ165" s="282"/>
      <c r="BK165" s="706"/>
      <c r="BL165" s="706"/>
      <c r="BM165" s="282"/>
      <c r="BN165" s="706"/>
      <c r="BO165" s="706"/>
      <c r="BP165" s="282"/>
      <c r="BQ165" s="706"/>
      <c r="BR165" s="706"/>
      <c r="BS165" s="282"/>
      <c r="BT165" s="706"/>
      <c r="BU165" s="706"/>
      <c r="BV165" s="282"/>
      <c r="BW165" s="706"/>
      <c r="BX165" s="706"/>
      <c r="BY165" s="282"/>
      <c r="BZ165" s="706"/>
      <c r="CA165" s="706"/>
      <c r="CB165" s="282"/>
      <c r="CC165" s="706"/>
      <c r="CD165" s="706"/>
      <c r="CE165" s="283"/>
      <c r="CF165" s="717"/>
      <c r="CG165" s="717"/>
      <c r="CH165" s="282"/>
      <c r="CI165" s="706"/>
      <c r="CJ165" s="706"/>
      <c r="CK165" s="282"/>
      <c r="CL165" s="706"/>
      <c r="CM165" s="706"/>
      <c r="CN165" s="282"/>
      <c r="CO165" s="706"/>
      <c r="CP165" s="706"/>
      <c r="CQ165" s="282"/>
      <c r="CR165" s="706"/>
      <c r="CS165" s="706"/>
      <c r="CT165" s="526"/>
      <c r="CU165" s="526"/>
      <c r="CV165" s="526"/>
    </row>
    <row r="166" spans="1:100" ht="15" x14ac:dyDescent="0.25">
      <c r="A166" s="19"/>
      <c r="B166" s="185"/>
      <c r="C166" s="284"/>
      <c r="D166" s="285"/>
      <c r="E166" s="285"/>
      <c r="F166" s="285"/>
      <c r="G166" s="188">
        <v>81</v>
      </c>
      <c r="H166" s="189" t="s">
        <v>211</v>
      </c>
      <c r="I166" s="189"/>
      <c r="J166" s="189"/>
      <c r="K166" s="189"/>
      <c r="L166" s="840"/>
      <c r="M166" s="189"/>
      <c r="N166" s="684"/>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90"/>
      <c r="CF166" s="190"/>
      <c r="CG166" s="190"/>
      <c r="CH166" s="189"/>
      <c r="CI166" s="189"/>
      <c r="CJ166" s="189"/>
      <c r="CK166" s="189"/>
      <c r="CL166" s="189"/>
      <c r="CM166" s="189"/>
      <c r="CN166" s="189"/>
      <c r="CO166" s="189"/>
      <c r="CP166" s="189"/>
      <c r="CQ166" s="189"/>
      <c r="CR166" s="189"/>
      <c r="CS166" s="189"/>
      <c r="CT166" s="522"/>
      <c r="CU166" s="522"/>
      <c r="CV166" s="522"/>
    </row>
    <row r="167" spans="1:100" s="27" customFormat="1" ht="42.75" x14ac:dyDescent="0.25">
      <c r="A167" s="19"/>
      <c r="B167" s="19"/>
      <c r="C167" s="1032">
        <v>13</v>
      </c>
      <c r="D167" s="1012" t="s">
        <v>188</v>
      </c>
      <c r="E167" s="1021" t="s">
        <v>189</v>
      </c>
      <c r="F167" s="1021" t="s">
        <v>190</v>
      </c>
      <c r="G167" s="22"/>
      <c r="H167" s="929">
        <v>236</v>
      </c>
      <c r="I167" s="928" t="s">
        <v>212</v>
      </c>
      <c r="J167" s="23">
        <v>1</v>
      </c>
      <c r="K167" s="64">
        <v>7</v>
      </c>
      <c r="L167" s="63">
        <v>2</v>
      </c>
      <c r="M167" s="1158" t="s">
        <v>213</v>
      </c>
      <c r="N167" s="1017" t="s">
        <v>214</v>
      </c>
      <c r="O167" s="1012" t="s">
        <v>215</v>
      </c>
      <c r="P167" s="929" t="s">
        <v>34</v>
      </c>
      <c r="Q167" s="25">
        <v>0</v>
      </c>
      <c r="R167" s="25"/>
      <c r="S167" s="25"/>
      <c r="T167" s="25">
        <v>0</v>
      </c>
      <c r="U167" s="25"/>
      <c r="V167" s="25"/>
      <c r="W167" s="25">
        <v>0</v>
      </c>
      <c r="X167" s="25"/>
      <c r="Y167" s="25"/>
      <c r="Z167" s="25">
        <v>0</v>
      </c>
      <c r="AA167" s="25"/>
      <c r="AB167" s="25"/>
      <c r="AC167" s="25">
        <v>0</v>
      </c>
      <c r="AD167" s="25"/>
      <c r="AE167" s="25"/>
      <c r="AF167" s="25">
        <v>0</v>
      </c>
      <c r="AG167" s="25"/>
      <c r="AH167" s="25"/>
      <c r="AI167" s="25">
        <v>0</v>
      </c>
      <c r="AJ167" s="25"/>
      <c r="AK167" s="25"/>
      <c r="AL167" s="25"/>
      <c r="AM167" s="25"/>
      <c r="AN167" s="25"/>
      <c r="AO167" s="25"/>
      <c r="AP167" s="25"/>
      <c r="AQ167" s="25"/>
      <c r="AR167" s="25"/>
      <c r="AS167" s="25"/>
      <c r="AT167" s="25"/>
      <c r="AU167" s="25">
        <v>0</v>
      </c>
      <c r="AV167" s="25"/>
      <c r="AW167" s="25"/>
      <c r="AX167" s="25"/>
      <c r="AY167" s="25"/>
      <c r="AZ167" s="25"/>
      <c r="BA167" s="25">
        <v>0</v>
      </c>
      <c r="BB167" s="25"/>
      <c r="BC167" s="25"/>
      <c r="BD167" s="25">
        <v>0</v>
      </c>
      <c r="BE167" s="25"/>
      <c r="BF167" s="25"/>
      <c r="BG167" s="25"/>
      <c r="BH167" s="25"/>
      <c r="BI167" s="25"/>
      <c r="BJ167" s="25"/>
      <c r="BK167" s="25"/>
      <c r="BL167" s="25"/>
      <c r="BM167" s="25"/>
      <c r="BN167" s="25"/>
      <c r="BO167" s="25"/>
      <c r="BP167" s="25"/>
      <c r="BQ167" s="25"/>
      <c r="BR167" s="25"/>
      <c r="BS167" s="25"/>
      <c r="BT167" s="25"/>
      <c r="BU167" s="25"/>
      <c r="BV167" s="25"/>
      <c r="BW167" s="25"/>
      <c r="BX167" s="25"/>
      <c r="BY167" s="25">
        <v>0</v>
      </c>
      <c r="BZ167" s="25"/>
      <c r="CA167" s="25"/>
      <c r="CB167" s="25">
        <v>0</v>
      </c>
      <c r="CC167" s="26"/>
      <c r="CD167" s="26"/>
      <c r="CE167" s="112">
        <v>57499999.999999993</v>
      </c>
      <c r="CF167" s="112">
        <v>30986666</v>
      </c>
      <c r="CG167" s="112">
        <v>30986666</v>
      </c>
      <c r="CH167" s="9"/>
      <c r="CI167" s="9"/>
      <c r="CJ167" s="9"/>
      <c r="CK167" s="25">
        <v>0</v>
      </c>
      <c r="CL167" s="26"/>
      <c r="CM167" s="26"/>
      <c r="CN167" s="26">
        <v>0</v>
      </c>
      <c r="CO167" s="26"/>
      <c r="CP167" s="26"/>
      <c r="CQ167" s="26"/>
      <c r="CR167" s="26"/>
      <c r="CS167" s="26"/>
      <c r="CT167" s="25">
        <f t="shared" ref="CT167:CV171" si="84">Q167+T167+W167+Z167+AC167+AF167+AI167+AL167+AO167+AR167+AU167+AX167+BA167+BD167+BG167+BJ167+BM167+BP167+BS167+BV167+BY167+CB167+CE167+CH167+CK167+CQ167+CN167</f>
        <v>57499999.999999993</v>
      </c>
      <c r="CU167" s="25">
        <f t="shared" si="84"/>
        <v>30986666</v>
      </c>
      <c r="CV167" s="25">
        <f t="shared" si="84"/>
        <v>30986666</v>
      </c>
    </row>
    <row r="168" spans="1:100" s="27" customFormat="1" ht="71.25" x14ac:dyDescent="0.25">
      <c r="A168" s="19"/>
      <c r="B168" s="19"/>
      <c r="C168" s="1038"/>
      <c r="D168" s="1020"/>
      <c r="E168" s="1023"/>
      <c r="F168" s="1023"/>
      <c r="G168" s="28"/>
      <c r="H168" s="929">
        <v>237</v>
      </c>
      <c r="I168" s="928" t="s">
        <v>216</v>
      </c>
      <c r="J168" s="23" t="s">
        <v>30</v>
      </c>
      <c r="K168" s="64">
        <v>89</v>
      </c>
      <c r="L168" s="646">
        <v>94</v>
      </c>
      <c r="M168" s="1159"/>
      <c r="N168" s="1018"/>
      <c r="O168" s="1020"/>
      <c r="P168" s="929" t="s">
        <v>34</v>
      </c>
      <c r="Q168" s="25">
        <v>0</v>
      </c>
      <c r="R168" s="25"/>
      <c r="S168" s="25"/>
      <c r="T168" s="25">
        <v>0</v>
      </c>
      <c r="U168" s="25"/>
      <c r="V168" s="25"/>
      <c r="W168" s="25">
        <v>0</v>
      </c>
      <c r="X168" s="25"/>
      <c r="Y168" s="25"/>
      <c r="Z168" s="25">
        <v>0</v>
      </c>
      <c r="AA168" s="25"/>
      <c r="AB168" s="25"/>
      <c r="AC168" s="25">
        <v>0</v>
      </c>
      <c r="AD168" s="25"/>
      <c r="AE168" s="25"/>
      <c r="AF168" s="25">
        <v>0</v>
      </c>
      <c r="AG168" s="25"/>
      <c r="AH168" s="25"/>
      <c r="AI168" s="25">
        <v>0</v>
      </c>
      <c r="AJ168" s="25"/>
      <c r="AK168" s="25"/>
      <c r="AL168" s="25"/>
      <c r="AM168" s="25"/>
      <c r="AN168" s="25"/>
      <c r="AO168" s="25"/>
      <c r="AP168" s="25"/>
      <c r="AQ168" s="25"/>
      <c r="AR168" s="25"/>
      <c r="AS168" s="25"/>
      <c r="AT168" s="25"/>
      <c r="AU168" s="25">
        <v>0</v>
      </c>
      <c r="AV168" s="25"/>
      <c r="AW168" s="25"/>
      <c r="AX168" s="25"/>
      <c r="AY168" s="25"/>
      <c r="AZ168" s="25"/>
      <c r="BA168" s="25">
        <v>0</v>
      </c>
      <c r="BB168" s="25"/>
      <c r="BC168" s="25"/>
      <c r="BD168" s="25">
        <v>0</v>
      </c>
      <c r="BE168" s="25"/>
      <c r="BF168" s="25"/>
      <c r="BG168" s="25"/>
      <c r="BH168" s="25"/>
      <c r="BI168" s="25"/>
      <c r="BJ168" s="25"/>
      <c r="BK168" s="25"/>
      <c r="BL168" s="25"/>
      <c r="BM168" s="25"/>
      <c r="BN168" s="25"/>
      <c r="BO168" s="25"/>
      <c r="BP168" s="25"/>
      <c r="BQ168" s="25"/>
      <c r="BR168" s="25"/>
      <c r="BS168" s="25"/>
      <c r="BT168" s="25"/>
      <c r="BU168" s="25"/>
      <c r="BV168" s="25"/>
      <c r="BW168" s="25"/>
      <c r="BX168" s="25"/>
      <c r="BY168" s="25">
        <v>0</v>
      </c>
      <c r="BZ168" s="25"/>
      <c r="CA168" s="25"/>
      <c r="CB168" s="25">
        <v>0</v>
      </c>
      <c r="CC168" s="26"/>
      <c r="CD168" s="26"/>
      <c r="CE168" s="112">
        <v>64200000</v>
      </c>
      <c r="CF168" s="112">
        <v>63750000</v>
      </c>
      <c r="CG168" s="112">
        <v>63750000</v>
      </c>
      <c r="CH168" s="9"/>
      <c r="CI168" s="9"/>
      <c r="CJ168" s="9"/>
      <c r="CK168" s="25">
        <v>0</v>
      </c>
      <c r="CL168" s="26"/>
      <c r="CM168" s="26"/>
      <c r="CN168" s="26">
        <v>0</v>
      </c>
      <c r="CO168" s="26"/>
      <c r="CP168" s="26"/>
      <c r="CQ168" s="26"/>
      <c r="CR168" s="26"/>
      <c r="CS168" s="26"/>
      <c r="CT168" s="25">
        <f t="shared" si="84"/>
        <v>64200000</v>
      </c>
      <c r="CU168" s="25">
        <f t="shared" si="84"/>
        <v>63750000</v>
      </c>
      <c r="CV168" s="25">
        <f t="shared" si="84"/>
        <v>63750000</v>
      </c>
    </row>
    <row r="169" spans="1:100" s="27" customFormat="1" ht="104.25" customHeight="1" x14ac:dyDescent="0.25">
      <c r="A169" s="19"/>
      <c r="B169" s="19"/>
      <c r="C169" s="1038"/>
      <c r="D169" s="1020"/>
      <c r="E169" s="1023"/>
      <c r="F169" s="1023"/>
      <c r="G169" s="28"/>
      <c r="H169" s="929">
        <v>238</v>
      </c>
      <c r="I169" s="928" t="s">
        <v>217</v>
      </c>
      <c r="J169" s="23" t="s">
        <v>30</v>
      </c>
      <c r="K169" s="64">
        <v>12</v>
      </c>
      <c r="L169" s="646">
        <v>12</v>
      </c>
      <c r="M169" s="1159"/>
      <c r="N169" s="1018"/>
      <c r="O169" s="1020"/>
      <c r="P169" s="929" t="s">
        <v>38</v>
      </c>
      <c r="Q169" s="25">
        <v>0</v>
      </c>
      <c r="R169" s="25"/>
      <c r="S169" s="25"/>
      <c r="T169" s="25">
        <v>0</v>
      </c>
      <c r="U169" s="25"/>
      <c r="V169" s="25"/>
      <c r="W169" s="25">
        <v>0</v>
      </c>
      <c r="X169" s="25"/>
      <c r="Y169" s="25"/>
      <c r="Z169" s="25">
        <v>0</v>
      </c>
      <c r="AA169" s="25"/>
      <c r="AB169" s="25"/>
      <c r="AC169" s="25">
        <v>0</v>
      </c>
      <c r="AD169" s="25"/>
      <c r="AE169" s="25"/>
      <c r="AF169" s="25">
        <v>0</v>
      </c>
      <c r="AG169" s="25"/>
      <c r="AH169" s="25"/>
      <c r="AI169" s="25">
        <v>0</v>
      </c>
      <c r="AJ169" s="25"/>
      <c r="AK169" s="25"/>
      <c r="AL169" s="25"/>
      <c r="AM169" s="25"/>
      <c r="AN169" s="25"/>
      <c r="AO169" s="25"/>
      <c r="AP169" s="25"/>
      <c r="AQ169" s="25"/>
      <c r="AR169" s="25"/>
      <c r="AS169" s="25"/>
      <c r="AT169" s="25"/>
      <c r="AU169" s="25">
        <v>0</v>
      </c>
      <c r="AV169" s="25"/>
      <c r="AW169" s="25"/>
      <c r="AX169" s="25"/>
      <c r="AY169" s="25"/>
      <c r="AZ169" s="25"/>
      <c r="BA169" s="25">
        <v>0</v>
      </c>
      <c r="BB169" s="25"/>
      <c r="BC169" s="25"/>
      <c r="BD169" s="25">
        <v>0</v>
      </c>
      <c r="BE169" s="25"/>
      <c r="BF169" s="25"/>
      <c r="BG169" s="25"/>
      <c r="BH169" s="25"/>
      <c r="BI169" s="25"/>
      <c r="BJ169" s="25"/>
      <c r="BK169" s="25"/>
      <c r="BL169" s="25"/>
      <c r="BM169" s="25"/>
      <c r="BN169" s="25"/>
      <c r="BO169" s="25"/>
      <c r="BP169" s="25"/>
      <c r="BQ169" s="25"/>
      <c r="BR169" s="25"/>
      <c r="BS169" s="25"/>
      <c r="BT169" s="25"/>
      <c r="BU169" s="25"/>
      <c r="BV169" s="25"/>
      <c r="BW169" s="25"/>
      <c r="BX169" s="25"/>
      <c r="BY169" s="25">
        <v>0</v>
      </c>
      <c r="BZ169" s="25"/>
      <c r="CA169" s="25"/>
      <c r="CB169" s="25">
        <v>0</v>
      </c>
      <c r="CC169" s="26"/>
      <c r="CD169" s="26"/>
      <c r="CE169" s="112">
        <v>97600000</v>
      </c>
      <c r="CF169" s="112">
        <v>84174980</v>
      </c>
      <c r="CG169" s="112">
        <v>83182330</v>
      </c>
      <c r="CH169" s="9"/>
      <c r="CI169" s="9"/>
      <c r="CJ169" s="9"/>
      <c r="CK169" s="25">
        <v>0</v>
      </c>
      <c r="CL169" s="26"/>
      <c r="CM169" s="26"/>
      <c r="CN169" s="26">
        <v>0</v>
      </c>
      <c r="CO169" s="26"/>
      <c r="CP169" s="26"/>
      <c r="CQ169" s="26"/>
      <c r="CR169" s="26"/>
      <c r="CS169" s="26"/>
      <c r="CT169" s="25">
        <f t="shared" si="84"/>
        <v>97600000</v>
      </c>
      <c r="CU169" s="25">
        <f t="shared" si="84"/>
        <v>84174980</v>
      </c>
      <c r="CV169" s="25">
        <f t="shared" si="84"/>
        <v>83182330</v>
      </c>
    </row>
    <row r="170" spans="1:100" s="27" customFormat="1" ht="41.25" customHeight="1" x14ac:dyDescent="0.25">
      <c r="A170" s="19"/>
      <c r="B170" s="19"/>
      <c r="C170" s="1038"/>
      <c r="D170" s="1020"/>
      <c r="E170" s="1023"/>
      <c r="F170" s="1023"/>
      <c r="G170" s="28"/>
      <c r="H170" s="929">
        <v>239</v>
      </c>
      <c r="I170" s="928" t="s">
        <v>218</v>
      </c>
      <c r="J170" s="23" t="s">
        <v>30</v>
      </c>
      <c r="K170" s="64">
        <v>6</v>
      </c>
      <c r="L170" s="646">
        <v>2</v>
      </c>
      <c r="M170" s="1159"/>
      <c r="N170" s="1018"/>
      <c r="O170" s="1020"/>
      <c r="P170" s="929" t="s">
        <v>34</v>
      </c>
      <c r="Q170" s="25">
        <v>0</v>
      </c>
      <c r="R170" s="25"/>
      <c r="S170" s="25"/>
      <c r="T170" s="25">
        <v>0</v>
      </c>
      <c r="U170" s="25"/>
      <c r="V170" s="25"/>
      <c r="W170" s="25">
        <v>0</v>
      </c>
      <c r="X170" s="25"/>
      <c r="Y170" s="25"/>
      <c r="Z170" s="25">
        <v>0</v>
      </c>
      <c r="AA170" s="25"/>
      <c r="AB170" s="25"/>
      <c r="AC170" s="25">
        <v>0</v>
      </c>
      <c r="AD170" s="25"/>
      <c r="AE170" s="25"/>
      <c r="AF170" s="25">
        <v>0</v>
      </c>
      <c r="AG170" s="25"/>
      <c r="AH170" s="25"/>
      <c r="AI170" s="25">
        <v>0</v>
      </c>
      <c r="AJ170" s="25"/>
      <c r="AK170" s="25"/>
      <c r="AL170" s="25"/>
      <c r="AM170" s="25"/>
      <c r="AN170" s="25"/>
      <c r="AO170" s="25"/>
      <c r="AP170" s="25"/>
      <c r="AQ170" s="25"/>
      <c r="AR170" s="25"/>
      <c r="AS170" s="25"/>
      <c r="AT170" s="25"/>
      <c r="AU170" s="25">
        <v>0</v>
      </c>
      <c r="AV170" s="25"/>
      <c r="AW170" s="25"/>
      <c r="AX170" s="25"/>
      <c r="AY170" s="25"/>
      <c r="AZ170" s="25"/>
      <c r="BA170" s="25">
        <v>0</v>
      </c>
      <c r="BB170" s="25"/>
      <c r="BC170" s="25"/>
      <c r="BD170" s="25">
        <v>0</v>
      </c>
      <c r="BE170" s="25"/>
      <c r="BF170" s="25"/>
      <c r="BG170" s="25"/>
      <c r="BH170" s="25"/>
      <c r="BI170" s="25"/>
      <c r="BJ170" s="25"/>
      <c r="BK170" s="25"/>
      <c r="BL170" s="25"/>
      <c r="BM170" s="25"/>
      <c r="BN170" s="25"/>
      <c r="BO170" s="25"/>
      <c r="BP170" s="25"/>
      <c r="BQ170" s="25"/>
      <c r="BR170" s="25"/>
      <c r="BS170" s="25"/>
      <c r="BT170" s="25"/>
      <c r="BU170" s="25"/>
      <c r="BV170" s="25"/>
      <c r="BW170" s="25"/>
      <c r="BX170" s="25"/>
      <c r="BY170" s="25">
        <v>0</v>
      </c>
      <c r="BZ170" s="25"/>
      <c r="CA170" s="25"/>
      <c r="CB170" s="25">
        <v>0</v>
      </c>
      <c r="CC170" s="26"/>
      <c r="CD170" s="26"/>
      <c r="CE170" s="112">
        <v>60028000</v>
      </c>
      <c r="CF170" s="112">
        <v>5625000</v>
      </c>
      <c r="CG170" s="112">
        <v>5625000</v>
      </c>
      <c r="CH170" s="9"/>
      <c r="CI170" s="9"/>
      <c r="CJ170" s="9"/>
      <c r="CK170" s="25">
        <v>0</v>
      </c>
      <c r="CL170" s="26"/>
      <c r="CM170" s="26"/>
      <c r="CN170" s="26">
        <v>0</v>
      </c>
      <c r="CO170" s="26"/>
      <c r="CP170" s="26"/>
      <c r="CQ170" s="26"/>
      <c r="CR170" s="26"/>
      <c r="CS170" s="26"/>
      <c r="CT170" s="25">
        <f t="shared" si="84"/>
        <v>60028000</v>
      </c>
      <c r="CU170" s="25">
        <f t="shared" si="84"/>
        <v>5625000</v>
      </c>
      <c r="CV170" s="25">
        <f t="shared" si="84"/>
        <v>5625000</v>
      </c>
    </row>
    <row r="171" spans="1:100" s="27" customFormat="1" ht="54.75" customHeight="1" x14ac:dyDescent="0.25">
      <c r="A171" s="19"/>
      <c r="B171" s="19"/>
      <c r="C171" s="1038"/>
      <c r="D171" s="1020"/>
      <c r="E171" s="1023"/>
      <c r="F171" s="1023"/>
      <c r="G171" s="28"/>
      <c r="H171" s="929">
        <v>240</v>
      </c>
      <c r="I171" s="928" t="s">
        <v>219</v>
      </c>
      <c r="J171" s="23">
        <v>1</v>
      </c>
      <c r="K171" s="64">
        <v>1</v>
      </c>
      <c r="L171" s="909">
        <v>1</v>
      </c>
      <c r="M171" s="1160"/>
      <c r="N171" s="1019"/>
      <c r="O171" s="1013"/>
      <c r="P171" s="929" t="s">
        <v>38</v>
      </c>
      <c r="Q171" s="25">
        <v>0</v>
      </c>
      <c r="R171" s="25"/>
      <c r="S171" s="25"/>
      <c r="T171" s="25">
        <v>0</v>
      </c>
      <c r="U171" s="25"/>
      <c r="V171" s="25"/>
      <c r="W171" s="25">
        <v>0</v>
      </c>
      <c r="X171" s="25"/>
      <c r="Y171" s="25"/>
      <c r="Z171" s="25">
        <v>0</v>
      </c>
      <c r="AA171" s="25"/>
      <c r="AB171" s="25"/>
      <c r="AC171" s="25">
        <v>0</v>
      </c>
      <c r="AD171" s="25"/>
      <c r="AE171" s="25"/>
      <c r="AF171" s="25">
        <v>0</v>
      </c>
      <c r="AG171" s="25"/>
      <c r="AH171" s="25"/>
      <c r="AI171" s="25">
        <v>0</v>
      </c>
      <c r="AJ171" s="25"/>
      <c r="AK171" s="25"/>
      <c r="AL171" s="25"/>
      <c r="AM171" s="25"/>
      <c r="AN171" s="25"/>
      <c r="AO171" s="25"/>
      <c r="AP171" s="25"/>
      <c r="AQ171" s="25"/>
      <c r="AR171" s="25"/>
      <c r="AS171" s="25"/>
      <c r="AT171" s="25"/>
      <c r="AU171" s="25">
        <v>0</v>
      </c>
      <c r="AV171" s="25"/>
      <c r="AW171" s="25"/>
      <c r="AX171" s="25"/>
      <c r="AY171" s="25"/>
      <c r="AZ171" s="25"/>
      <c r="BA171" s="25">
        <v>0</v>
      </c>
      <c r="BB171" s="25"/>
      <c r="BC171" s="25"/>
      <c r="BD171" s="25">
        <v>0</v>
      </c>
      <c r="BE171" s="25"/>
      <c r="BF171" s="25"/>
      <c r="BG171" s="25"/>
      <c r="BH171" s="25"/>
      <c r="BI171" s="25"/>
      <c r="BJ171" s="25"/>
      <c r="BK171" s="25"/>
      <c r="BL171" s="25"/>
      <c r="BM171" s="25"/>
      <c r="BN171" s="25"/>
      <c r="BO171" s="25"/>
      <c r="BP171" s="25"/>
      <c r="BQ171" s="25"/>
      <c r="BR171" s="25"/>
      <c r="BS171" s="25"/>
      <c r="BT171" s="25"/>
      <c r="BU171" s="25"/>
      <c r="BV171" s="25"/>
      <c r="BW171" s="25"/>
      <c r="BX171" s="25"/>
      <c r="BY171" s="25">
        <v>0</v>
      </c>
      <c r="BZ171" s="25"/>
      <c r="CA171" s="25"/>
      <c r="CB171" s="25">
        <v>0</v>
      </c>
      <c r="CC171" s="26"/>
      <c r="CD171" s="26"/>
      <c r="CE171" s="112">
        <f>120672000+107500000</f>
        <v>228172000</v>
      </c>
      <c r="CF171" s="112">
        <v>155882112</v>
      </c>
      <c r="CG171" s="112">
        <v>155882112</v>
      </c>
      <c r="CH171" s="9"/>
      <c r="CI171" s="9"/>
      <c r="CJ171" s="9"/>
      <c r="CK171" s="25">
        <v>0</v>
      </c>
      <c r="CL171" s="26"/>
      <c r="CM171" s="26"/>
      <c r="CN171" s="26">
        <v>0</v>
      </c>
      <c r="CO171" s="26"/>
      <c r="CP171" s="26"/>
      <c r="CQ171" s="26"/>
      <c r="CR171" s="26"/>
      <c r="CS171" s="26"/>
      <c r="CT171" s="25">
        <f t="shared" si="84"/>
        <v>228172000</v>
      </c>
      <c r="CU171" s="25">
        <f t="shared" si="84"/>
        <v>155882112</v>
      </c>
      <c r="CV171" s="25">
        <f t="shared" si="84"/>
        <v>155882112</v>
      </c>
    </row>
    <row r="172" spans="1:100" ht="15" x14ac:dyDescent="0.25">
      <c r="A172" s="19"/>
      <c r="B172" s="19"/>
      <c r="C172" s="213"/>
      <c r="D172" s="153"/>
      <c r="E172" s="581"/>
      <c r="F172" s="581"/>
      <c r="G172" s="154"/>
      <c r="H172" s="155"/>
      <c r="I172" s="154"/>
      <c r="J172" s="156"/>
      <c r="K172" s="156"/>
      <c r="L172" s="837"/>
      <c r="M172" s="156"/>
      <c r="N172" s="157"/>
      <c r="O172" s="154"/>
      <c r="P172" s="155"/>
      <c r="Q172" s="158">
        <f>SUM(Q167:Q171)</f>
        <v>0</v>
      </c>
      <c r="R172" s="158">
        <f t="shared" ref="R172:CC172" si="85">SUM(R167:R171)</f>
        <v>0</v>
      </c>
      <c r="S172" s="158">
        <f t="shared" si="85"/>
        <v>0</v>
      </c>
      <c r="T172" s="158">
        <f t="shared" si="85"/>
        <v>0</v>
      </c>
      <c r="U172" s="158">
        <f t="shared" si="85"/>
        <v>0</v>
      </c>
      <c r="V172" s="158">
        <f t="shared" si="85"/>
        <v>0</v>
      </c>
      <c r="W172" s="158">
        <f t="shared" si="85"/>
        <v>0</v>
      </c>
      <c r="X172" s="158">
        <f t="shared" si="85"/>
        <v>0</v>
      </c>
      <c r="Y172" s="158">
        <f t="shared" si="85"/>
        <v>0</v>
      </c>
      <c r="Z172" s="158">
        <f t="shared" si="85"/>
        <v>0</v>
      </c>
      <c r="AA172" s="158">
        <f t="shared" si="85"/>
        <v>0</v>
      </c>
      <c r="AB172" s="158">
        <f t="shared" si="85"/>
        <v>0</v>
      </c>
      <c r="AC172" s="158">
        <f t="shared" si="85"/>
        <v>0</v>
      </c>
      <c r="AD172" s="158">
        <f t="shared" si="85"/>
        <v>0</v>
      </c>
      <c r="AE172" s="158">
        <f t="shared" si="85"/>
        <v>0</v>
      </c>
      <c r="AF172" s="158">
        <f t="shared" si="85"/>
        <v>0</v>
      </c>
      <c r="AG172" s="158">
        <f t="shared" si="85"/>
        <v>0</v>
      </c>
      <c r="AH172" s="158">
        <f t="shared" si="85"/>
        <v>0</v>
      </c>
      <c r="AI172" s="158">
        <f t="shared" si="85"/>
        <v>0</v>
      </c>
      <c r="AJ172" s="158">
        <f t="shared" si="85"/>
        <v>0</v>
      </c>
      <c r="AK172" s="158">
        <f t="shared" si="85"/>
        <v>0</v>
      </c>
      <c r="AL172" s="158">
        <f t="shared" si="85"/>
        <v>0</v>
      </c>
      <c r="AM172" s="158">
        <f t="shared" si="85"/>
        <v>0</v>
      </c>
      <c r="AN172" s="158">
        <f t="shared" si="85"/>
        <v>0</v>
      </c>
      <c r="AO172" s="158">
        <f t="shared" si="85"/>
        <v>0</v>
      </c>
      <c r="AP172" s="158">
        <f t="shared" si="85"/>
        <v>0</v>
      </c>
      <c r="AQ172" s="158">
        <f t="shared" si="85"/>
        <v>0</v>
      </c>
      <c r="AR172" s="158">
        <f t="shared" si="85"/>
        <v>0</v>
      </c>
      <c r="AS172" s="158">
        <f t="shared" si="85"/>
        <v>0</v>
      </c>
      <c r="AT172" s="158">
        <f t="shared" si="85"/>
        <v>0</v>
      </c>
      <c r="AU172" s="158">
        <f t="shared" si="85"/>
        <v>0</v>
      </c>
      <c r="AV172" s="158">
        <f t="shared" si="85"/>
        <v>0</v>
      </c>
      <c r="AW172" s="158">
        <f t="shared" si="85"/>
        <v>0</v>
      </c>
      <c r="AX172" s="158">
        <f t="shared" si="85"/>
        <v>0</v>
      </c>
      <c r="AY172" s="158">
        <f t="shared" si="85"/>
        <v>0</v>
      </c>
      <c r="AZ172" s="158">
        <f t="shared" si="85"/>
        <v>0</v>
      </c>
      <c r="BA172" s="158">
        <f t="shared" si="85"/>
        <v>0</v>
      </c>
      <c r="BB172" s="158">
        <f t="shared" si="85"/>
        <v>0</v>
      </c>
      <c r="BC172" s="158">
        <f t="shared" si="85"/>
        <v>0</v>
      </c>
      <c r="BD172" s="158">
        <f t="shared" si="85"/>
        <v>0</v>
      </c>
      <c r="BE172" s="158">
        <f t="shared" si="85"/>
        <v>0</v>
      </c>
      <c r="BF172" s="158">
        <f t="shared" si="85"/>
        <v>0</v>
      </c>
      <c r="BG172" s="158">
        <f t="shared" si="85"/>
        <v>0</v>
      </c>
      <c r="BH172" s="158">
        <f t="shared" si="85"/>
        <v>0</v>
      </c>
      <c r="BI172" s="158">
        <f t="shared" si="85"/>
        <v>0</v>
      </c>
      <c r="BJ172" s="158">
        <f t="shared" si="85"/>
        <v>0</v>
      </c>
      <c r="BK172" s="158">
        <f t="shared" si="85"/>
        <v>0</v>
      </c>
      <c r="BL172" s="158">
        <f t="shared" si="85"/>
        <v>0</v>
      </c>
      <c r="BM172" s="158">
        <f t="shared" si="85"/>
        <v>0</v>
      </c>
      <c r="BN172" s="158">
        <f t="shared" si="85"/>
        <v>0</v>
      </c>
      <c r="BO172" s="158">
        <f t="shared" si="85"/>
        <v>0</v>
      </c>
      <c r="BP172" s="158">
        <f t="shared" si="85"/>
        <v>0</v>
      </c>
      <c r="BQ172" s="158">
        <f t="shared" si="85"/>
        <v>0</v>
      </c>
      <c r="BR172" s="158">
        <f t="shared" si="85"/>
        <v>0</v>
      </c>
      <c r="BS172" s="158">
        <f t="shared" si="85"/>
        <v>0</v>
      </c>
      <c r="BT172" s="158">
        <f t="shared" si="85"/>
        <v>0</v>
      </c>
      <c r="BU172" s="158">
        <f t="shared" si="85"/>
        <v>0</v>
      </c>
      <c r="BV172" s="158">
        <f t="shared" si="85"/>
        <v>0</v>
      </c>
      <c r="BW172" s="158">
        <f t="shared" si="85"/>
        <v>0</v>
      </c>
      <c r="BX172" s="158">
        <f t="shared" si="85"/>
        <v>0</v>
      </c>
      <c r="BY172" s="158">
        <f t="shared" si="85"/>
        <v>0</v>
      </c>
      <c r="BZ172" s="158">
        <f t="shared" si="85"/>
        <v>0</v>
      </c>
      <c r="CA172" s="158">
        <f t="shared" si="85"/>
        <v>0</v>
      </c>
      <c r="CB172" s="158">
        <f t="shared" si="85"/>
        <v>0</v>
      </c>
      <c r="CC172" s="158">
        <f t="shared" si="85"/>
        <v>0</v>
      </c>
      <c r="CD172" s="158">
        <f t="shared" ref="CD172:CS172" si="86">SUM(CD167:CD171)</f>
        <v>0</v>
      </c>
      <c r="CE172" s="158">
        <f t="shared" si="86"/>
        <v>507500000</v>
      </c>
      <c r="CF172" s="158">
        <f t="shared" si="86"/>
        <v>340418758</v>
      </c>
      <c r="CG172" s="158">
        <f t="shared" si="86"/>
        <v>339426108</v>
      </c>
      <c r="CH172" s="158">
        <f t="shared" si="86"/>
        <v>0</v>
      </c>
      <c r="CI172" s="158">
        <f t="shared" si="86"/>
        <v>0</v>
      </c>
      <c r="CJ172" s="158">
        <f t="shared" si="86"/>
        <v>0</v>
      </c>
      <c r="CK172" s="158">
        <f t="shared" si="86"/>
        <v>0</v>
      </c>
      <c r="CL172" s="158">
        <f t="shared" si="86"/>
        <v>0</v>
      </c>
      <c r="CM172" s="158">
        <f t="shared" si="86"/>
        <v>0</v>
      </c>
      <c r="CN172" s="158">
        <f t="shared" si="86"/>
        <v>0</v>
      </c>
      <c r="CO172" s="158">
        <f t="shared" si="86"/>
        <v>0</v>
      </c>
      <c r="CP172" s="158">
        <f t="shared" si="86"/>
        <v>0</v>
      </c>
      <c r="CQ172" s="158">
        <f t="shared" si="86"/>
        <v>0</v>
      </c>
      <c r="CR172" s="158">
        <f t="shared" si="86"/>
        <v>0</v>
      </c>
      <c r="CS172" s="158">
        <f t="shared" si="86"/>
        <v>0</v>
      </c>
      <c r="CT172" s="158">
        <f>SUM(CT167:CT171)</f>
        <v>507500000</v>
      </c>
      <c r="CU172" s="158">
        <f>SUM(CU167:CU171)</f>
        <v>340418758</v>
      </c>
      <c r="CV172" s="158">
        <f>SUM(CV167:CV171)</f>
        <v>339426108</v>
      </c>
    </row>
    <row r="173" spans="1:100" s="27" customFormat="1" ht="15" x14ac:dyDescent="0.25">
      <c r="A173" s="19"/>
      <c r="B173" s="19"/>
      <c r="C173" s="949"/>
      <c r="D173" s="177"/>
      <c r="E173" s="949"/>
      <c r="F173" s="949"/>
      <c r="G173" s="177"/>
      <c r="H173" s="949"/>
      <c r="I173" s="177"/>
      <c r="J173" s="178"/>
      <c r="K173" s="178"/>
      <c r="L173" s="838"/>
      <c r="M173" s="229"/>
      <c r="N173" s="230"/>
      <c r="O173" s="221"/>
      <c r="P173" s="949"/>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1"/>
      <c r="BH173" s="181"/>
      <c r="BI173" s="181"/>
      <c r="BJ173" s="181"/>
      <c r="BK173" s="181"/>
      <c r="BL173" s="181"/>
      <c r="BM173" s="181"/>
      <c r="BN173" s="181"/>
      <c r="BO173" s="181"/>
      <c r="BP173" s="181"/>
      <c r="BQ173" s="181"/>
      <c r="BR173" s="181"/>
      <c r="BS173" s="181"/>
      <c r="BT173" s="181"/>
      <c r="BU173" s="181"/>
      <c r="BV173" s="181"/>
      <c r="BW173" s="181"/>
      <c r="BX173" s="181"/>
      <c r="BY173" s="180"/>
      <c r="BZ173" s="180"/>
      <c r="CA173" s="180"/>
      <c r="CB173" s="180"/>
      <c r="CC173" s="106"/>
      <c r="CD173" s="106"/>
      <c r="CE173" s="286"/>
      <c r="CF173" s="286"/>
      <c r="CG173" s="286"/>
      <c r="CH173" s="287"/>
      <c r="CI173" s="287"/>
      <c r="CJ173" s="287"/>
      <c r="CK173" s="180"/>
      <c r="CL173" s="180"/>
      <c r="CM173" s="180"/>
      <c r="CN173" s="180"/>
      <c r="CO173" s="180"/>
      <c r="CP173" s="180"/>
      <c r="CQ173" s="180"/>
      <c r="CR173" s="180"/>
      <c r="CS173" s="180"/>
      <c r="CT173" s="25"/>
      <c r="CU173" s="76"/>
      <c r="CV173" s="76"/>
    </row>
    <row r="174" spans="1:100" ht="15" x14ac:dyDescent="0.25">
      <c r="A174" s="19"/>
      <c r="B174" s="19"/>
      <c r="C174" s="213"/>
      <c r="D174" s="153"/>
      <c r="E174" s="581"/>
      <c r="F174" s="581"/>
      <c r="G174" s="188">
        <v>82</v>
      </c>
      <c r="H174" s="693" t="s">
        <v>220</v>
      </c>
      <c r="I174" s="189"/>
      <c r="J174" s="189"/>
      <c r="K174" s="189"/>
      <c r="L174" s="840"/>
      <c r="M174" s="189"/>
      <c r="N174" s="678"/>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89"/>
      <c r="BD174" s="189"/>
      <c r="BE174" s="189"/>
      <c r="BF174" s="189"/>
      <c r="BG174" s="189"/>
      <c r="BH174" s="189"/>
      <c r="BI174" s="189"/>
      <c r="BJ174" s="189"/>
      <c r="BK174" s="189"/>
      <c r="BL174" s="189"/>
      <c r="BM174" s="189"/>
      <c r="BN174" s="189"/>
      <c r="BO174" s="189"/>
      <c r="BP174" s="189"/>
      <c r="BQ174" s="189"/>
      <c r="BR174" s="189"/>
      <c r="BS174" s="189"/>
      <c r="BT174" s="189"/>
      <c r="BU174" s="189"/>
      <c r="BV174" s="189"/>
      <c r="BW174" s="189"/>
      <c r="BX174" s="189"/>
      <c r="BY174" s="189"/>
      <c r="BZ174" s="189"/>
      <c r="CA174" s="189"/>
      <c r="CB174" s="189"/>
      <c r="CC174" s="189"/>
      <c r="CD174" s="189"/>
      <c r="CE174" s="190"/>
      <c r="CF174" s="190"/>
      <c r="CG174" s="190"/>
      <c r="CH174" s="189"/>
      <c r="CI174" s="189"/>
      <c r="CJ174" s="189"/>
      <c r="CK174" s="189"/>
      <c r="CL174" s="189"/>
      <c r="CM174" s="189"/>
      <c r="CN174" s="189"/>
      <c r="CO174" s="189"/>
      <c r="CP174" s="189"/>
      <c r="CQ174" s="189"/>
      <c r="CR174" s="189"/>
      <c r="CS174" s="189"/>
      <c r="CT174" s="522"/>
      <c r="CU174" s="522"/>
      <c r="CV174" s="522"/>
    </row>
    <row r="175" spans="1:100" ht="57" customHeight="1" x14ac:dyDescent="0.25">
      <c r="A175" s="19"/>
      <c r="B175" s="19"/>
      <c r="C175" s="1067">
        <v>13</v>
      </c>
      <c r="D175" s="1098" t="s">
        <v>188</v>
      </c>
      <c r="E175" s="1094">
        <v>71.040000000000006</v>
      </c>
      <c r="F175" s="1094">
        <v>88.17</v>
      </c>
      <c r="G175" s="1021"/>
      <c r="H175" s="929">
        <v>241</v>
      </c>
      <c r="I175" s="928" t="s">
        <v>221</v>
      </c>
      <c r="J175" s="23">
        <v>1</v>
      </c>
      <c r="K175" s="23">
        <v>1</v>
      </c>
      <c r="L175" s="910">
        <v>1</v>
      </c>
      <c r="M175" s="1158" t="s">
        <v>213</v>
      </c>
      <c r="N175" s="1017" t="s">
        <v>222</v>
      </c>
      <c r="O175" s="1012" t="s">
        <v>223</v>
      </c>
      <c r="P175" s="929" t="s">
        <v>38</v>
      </c>
      <c r="Q175" s="25">
        <v>0</v>
      </c>
      <c r="R175" s="25"/>
      <c r="S175" s="25"/>
      <c r="T175" s="25">
        <v>0</v>
      </c>
      <c r="U175" s="25"/>
      <c r="V175" s="25"/>
      <c r="W175" s="25">
        <v>0</v>
      </c>
      <c r="X175" s="25"/>
      <c r="Y175" s="25"/>
      <c r="Z175" s="25">
        <v>0</v>
      </c>
      <c r="AA175" s="25"/>
      <c r="AB175" s="25"/>
      <c r="AC175" s="25">
        <v>0</v>
      </c>
      <c r="AD175" s="25"/>
      <c r="AE175" s="25"/>
      <c r="AF175" s="25">
        <v>0</v>
      </c>
      <c r="AG175" s="25"/>
      <c r="AH175" s="25"/>
      <c r="AI175" s="25">
        <v>0</v>
      </c>
      <c r="AJ175" s="25"/>
      <c r="AK175" s="25"/>
      <c r="AL175" s="25"/>
      <c r="AM175" s="25"/>
      <c r="AN175" s="25"/>
      <c r="AO175" s="25"/>
      <c r="AP175" s="25"/>
      <c r="AQ175" s="25"/>
      <c r="AR175" s="25"/>
      <c r="AS175" s="25"/>
      <c r="AT175" s="25"/>
      <c r="AU175" s="25">
        <v>0</v>
      </c>
      <c r="AV175" s="25"/>
      <c r="AW175" s="25"/>
      <c r="AX175" s="25"/>
      <c r="AY175" s="25"/>
      <c r="AZ175" s="25"/>
      <c r="BA175" s="25">
        <v>0</v>
      </c>
      <c r="BB175" s="25"/>
      <c r="BC175" s="25"/>
      <c r="BD175" s="25">
        <v>0</v>
      </c>
      <c r="BE175" s="25"/>
      <c r="BF175" s="25"/>
      <c r="BG175" s="250"/>
      <c r="BH175" s="250"/>
      <c r="BI175" s="250"/>
      <c r="BJ175" s="250"/>
      <c r="BK175" s="250"/>
      <c r="BL175" s="250"/>
      <c r="BM175" s="250"/>
      <c r="BN175" s="250"/>
      <c r="BO175" s="250"/>
      <c r="BP175" s="250"/>
      <c r="BQ175" s="250"/>
      <c r="BR175" s="250"/>
      <c r="BS175" s="250"/>
      <c r="BT175" s="250"/>
      <c r="BU175" s="250"/>
      <c r="BV175" s="250"/>
      <c r="BW175" s="250"/>
      <c r="BX175" s="250"/>
      <c r="BY175" s="25">
        <v>0</v>
      </c>
      <c r="BZ175" s="25"/>
      <c r="CA175" s="25"/>
      <c r="CB175" s="25">
        <v>0</v>
      </c>
      <c r="CC175" s="25"/>
      <c r="CD175" s="25"/>
      <c r="CE175" s="114">
        <v>50625000</v>
      </c>
      <c r="CF175" s="114">
        <v>50625000</v>
      </c>
      <c r="CG175" s="114">
        <v>50625000</v>
      </c>
      <c r="CH175" s="3"/>
      <c r="CI175" s="3"/>
      <c r="CJ175" s="3"/>
      <c r="CK175" s="25">
        <v>0</v>
      </c>
      <c r="CL175" s="26"/>
      <c r="CM175" s="26"/>
      <c r="CN175" s="288">
        <v>0</v>
      </c>
      <c r="CO175" s="288"/>
      <c r="CP175" s="288"/>
      <c r="CQ175" s="288"/>
      <c r="CR175" s="288"/>
      <c r="CS175" s="288"/>
      <c r="CT175" s="25">
        <f t="shared" ref="CT175:CV176" si="87">Q175+T175+W175+Z175+AC175+AF175+AI175+AL175+AO175+AR175+AU175+AX175+BA175+BD175+BG175+BJ175+BM175+BP175+BS175+BV175+BY175+CB175+CE175+CH175+CK175+CQ175+CN175</f>
        <v>50625000</v>
      </c>
      <c r="CU175" s="25">
        <f t="shared" si="87"/>
        <v>50625000</v>
      </c>
      <c r="CV175" s="25">
        <f t="shared" si="87"/>
        <v>50625000</v>
      </c>
    </row>
    <row r="176" spans="1:100" ht="81" customHeight="1" x14ac:dyDescent="0.25">
      <c r="A176" s="19"/>
      <c r="B176" s="19"/>
      <c r="C176" s="1069"/>
      <c r="D176" s="1100"/>
      <c r="E176" s="1095"/>
      <c r="F176" s="1095"/>
      <c r="G176" s="1022"/>
      <c r="H176" s="929">
        <v>242</v>
      </c>
      <c r="I176" s="928" t="s">
        <v>224</v>
      </c>
      <c r="J176" s="23">
        <v>1</v>
      </c>
      <c r="K176" s="23">
        <v>1</v>
      </c>
      <c r="L176" s="904">
        <v>1</v>
      </c>
      <c r="M176" s="1160"/>
      <c r="N176" s="1019"/>
      <c r="O176" s="1013"/>
      <c r="P176" s="929" t="s">
        <v>38</v>
      </c>
      <c r="Q176" s="25">
        <v>0</v>
      </c>
      <c r="R176" s="25"/>
      <c r="S176" s="25"/>
      <c r="T176" s="25">
        <v>0</v>
      </c>
      <c r="U176" s="25"/>
      <c r="V176" s="25"/>
      <c r="W176" s="25">
        <v>0</v>
      </c>
      <c r="X176" s="25"/>
      <c r="Y176" s="25"/>
      <c r="Z176" s="25">
        <v>0</v>
      </c>
      <c r="AA176" s="25"/>
      <c r="AB176" s="25"/>
      <c r="AC176" s="25">
        <v>0</v>
      </c>
      <c r="AD176" s="25"/>
      <c r="AE176" s="25"/>
      <c r="AF176" s="25">
        <v>0</v>
      </c>
      <c r="AG176" s="25"/>
      <c r="AH176" s="25"/>
      <c r="AI176" s="25">
        <v>0</v>
      </c>
      <c r="AJ176" s="25"/>
      <c r="AK176" s="25"/>
      <c r="AL176" s="25"/>
      <c r="AM176" s="25"/>
      <c r="AN176" s="25"/>
      <c r="AO176" s="25"/>
      <c r="AP176" s="25"/>
      <c r="AQ176" s="25"/>
      <c r="AR176" s="25"/>
      <c r="AS176" s="25"/>
      <c r="AT176" s="25"/>
      <c r="AU176" s="25">
        <v>0</v>
      </c>
      <c r="AV176" s="25"/>
      <c r="AW176" s="25"/>
      <c r="AX176" s="25"/>
      <c r="AY176" s="25"/>
      <c r="AZ176" s="25"/>
      <c r="BA176" s="25">
        <v>0</v>
      </c>
      <c r="BB176" s="25"/>
      <c r="BC176" s="25"/>
      <c r="BD176" s="25">
        <v>0</v>
      </c>
      <c r="BE176" s="25"/>
      <c r="BF176" s="25"/>
      <c r="BG176" s="250"/>
      <c r="BH176" s="250"/>
      <c r="BI176" s="250"/>
      <c r="BJ176" s="250"/>
      <c r="BK176" s="250"/>
      <c r="BL176" s="250"/>
      <c r="BM176" s="250"/>
      <c r="BN176" s="250"/>
      <c r="BO176" s="250"/>
      <c r="BP176" s="250"/>
      <c r="BQ176" s="250"/>
      <c r="BR176" s="250"/>
      <c r="BS176" s="250"/>
      <c r="BT176" s="250"/>
      <c r="BU176" s="250"/>
      <c r="BV176" s="250"/>
      <c r="BW176" s="250"/>
      <c r="BX176" s="250"/>
      <c r="BY176" s="25">
        <v>0</v>
      </c>
      <c r="BZ176" s="25"/>
      <c r="CA176" s="25"/>
      <c r="CB176" s="25">
        <v>0</v>
      </c>
      <c r="CC176" s="25"/>
      <c r="CD176" s="25"/>
      <c r="CE176" s="114">
        <v>39375000</v>
      </c>
      <c r="CF176" s="114">
        <v>11895300</v>
      </c>
      <c r="CG176" s="114">
        <v>11895300</v>
      </c>
      <c r="CH176" s="3"/>
      <c r="CI176" s="3"/>
      <c r="CJ176" s="3"/>
      <c r="CK176" s="25">
        <v>0</v>
      </c>
      <c r="CL176" s="26"/>
      <c r="CM176" s="26"/>
      <c r="CN176" s="288">
        <v>0</v>
      </c>
      <c r="CO176" s="288"/>
      <c r="CP176" s="288"/>
      <c r="CQ176" s="288"/>
      <c r="CR176" s="288"/>
      <c r="CS176" s="288"/>
      <c r="CT176" s="25">
        <f t="shared" si="87"/>
        <v>39375000</v>
      </c>
      <c r="CU176" s="25">
        <f t="shared" si="87"/>
        <v>11895300</v>
      </c>
      <c r="CV176" s="25">
        <f t="shared" si="87"/>
        <v>11895300</v>
      </c>
    </row>
    <row r="177" spans="1:100" ht="15" x14ac:dyDescent="0.25">
      <c r="A177" s="19"/>
      <c r="B177" s="152"/>
      <c r="C177" s="213"/>
      <c r="D177" s="153"/>
      <c r="E177" s="581"/>
      <c r="F177" s="581"/>
      <c r="G177" s="214"/>
      <c r="H177" s="215"/>
      <c r="I177" s="154"/>
      <c r="J177" s="156"/>
      <c r="K177" s="156"/>
      <c r="L177" s="837"/>
      <c r="M177" s="156"/>
      <c r="N177" s="157"/>
      <c r="O177" s="154"/>
      <c r="P177" s="155"/>
      <c r="Q177" s="158">
        <f>SUM(Q175:Q176)</f>
        <v>0</v>
      </c>
      <c r="R177" s="158">
        <f>SUM(R175:R176)</f>
        <v>0</v>
      </c>
      <c r="S177" s="158">
        <f t="shared" ref="S177:CD177" si="88">SUM(S175:S176)</f>
        <v>0</v>
      </c>
      <c r="T177" s="158">
        <f t="shared" si="88"/>
        <v>0</v>
      </c>
      <c r="U177" s="158">
        <f t="shared" si="88"/>
        <v>0</v>
      </c>
      <c r="V177" s="158">
        <f t="shared" si="88"/>
        <v>0</v>
      </c>
      <c r="W177" s="158">
        <f t="shared" si="88"/>
        <v>0</v>
      </c>
      <c r="X177" s="158">
        <f t="shared" si="88"/>
        <v>0</v>
      </c>
      <c r="Y177" s="158">
        <f t="shared" si="88"/>
        <v>0</v>
      </c>
      <c r="Z177" s="158">
        <f t="shared" si="88"/>
        <v>0</v>
      </c>
      <c r="AA177" s="158">
        <f t="shared" si="88"/>
        <v>0</v>
      </c>
      <c r="AB177" s="158">
        <f t="shared" si="88"/>
        <v>0</v>
      </c>
      <c r="AC177" s="158">
        <f t="shared" si="88"/>
        <v>0</v>
      </c>
      <c r="AD177" s="158">
        <f t="shared" si="88"/>
        <v>0</v>
      </c>
      <c r="AE177" s="158">
        <f t="shared" si="88"/>
        <v>0</v>
      </c>
      <c r="AF177" s="158">
        <f t="shared" si="88"/>
        <v>0</v>
      </c>
      <c r="AG177" s="158">
        <f t="shared" si="88"/>
        <v>0</v>
      </c>
      <c r="AH177" s="158">
        <f t="shared" si="88"/>
        <v>0</v>
      </c>
      <c r="AI177" s="158">
        <f t="shared" si="88"/>
        <v>0</v>
      </c>
      <c r="AJ177" s="158">
        <f t="shared" si="88"/>
        <v>0</v>
      </c>
      <c r="AK177" s="158">
        <f t="shared" si="88"/>
        <v>0</v>
      </c>
      <c r="AL177" s="158">
        <f t="shared" si="88"/>
        <v>0</v>
      </c>
      <c r="AM177" s="158">
        <f t="shared" si="88"/>
        <v>0</v>
      </c>
      <c r="AN177" s="158">
        <f t="shared" si="88"/>
        <v>0</v>
      </c>
      <c r="AO177" s="158">
        <f t="shared" si="88"/>
        <v>0</v>
      </c>
      <c r="AP177" s="158">
        <f t="shared" si="88"/>
        <v>0</v>
      </c>
      <c r="AQ177" s="158">
        <f t="shared" si="88"/>
        <v>0</v>
      </c>
      <c r="AR177" s="158">
        <f t="shared" si="88"/>
        <v>0</v>
      </c>
      <c r="AS177" s="158">
        <f t="shared" si="88"/>
        <v>0</v>
      </c>
      <c r="AT177" s="158">
        <f t="shared" si="88"/>
        <v>0</v>
      </c>
      <c r="AU177" s="158">
        <f t="shared" si="88"/>
        <v>0</v>
      </c>
      <c r="AV177" s="158">
        <f t="shared" si="88"/>
        <v>0</v>
      </c>
      <c r="AW177" s="158">
        <f t="shared" si="88"/>
        <v>0</v>
      </c>
      <c r="AX177" s="158">
        <f t="shared" si="88"/>
        <v>0</v>
      </c>
      <c r="AY177" s="158">
        <f t="shared" si="88"/>
        <v>0</v>
      </c>
      <c r="AZ177" s="158">
        <f t="shared" si="88"/>
        <v>0</v>
      </c>
      <c r="BA177" s="158">
        <f t="shared" si="88"/>
        <v>0</v>
      </c>
      <c r="BB177" s="158">
        <f t="shared" si="88"/>
        <v>0</v>
      </c>
      <c r="BC177" s="158">
        <f t="shared" si="88"/>
        <v>0</v>
      </c>
      <c r="BD177" s="158">
        <f t="shared" si="88"/>
        <v>0</v>
      </c>
      <c r="BE177" s="158">
        <f t="shared" si="88"/>
        <v>0</v>
      </c>
      <c r="BF177" s="158">
        <f t="shared" si="88"/>
        <v>0</v>
      </c>
      <c r="BG177" s="158">
        <f t="shared" si="88"/>
        <v>0</v>
      </c>
      <c r="BH177" s="158">
        <f t="shared" si="88"/>
        <v>0</v>
      </c>
      <c r="BI177" s="158">
        <f t="shared" si="88"/>
        <v>0</v>
      </c>
      <c r="BJ177" s="158">
        <f t="shared" si="88"/>
        <v>0</v>
      </c>
      <c r="BK177" s="158">
        <f t="shared" si="88"/>
        <v>0</v>
      </c>
      <c r="BL177" s="158">
        <f t="shared" si="88"/>
        <v>0</v>
      </c>
      <c r="BM177" s="158">
        <f t="shared" si="88"/>
        <v>0</v>
      </c>
      <c r="BN177" s="158">
        <f t="shared" si="88"/>
        <v>0</v>
      </c>
      <c r="BO177" s="158">
        <f t="shared" si="88"/>
        <v>0</v>
      </c>
      <c r="BP177" s="158">
        <f t="shared" si="88"/>
        <v>0</v>
      </c>
      <c r="BQ177" s="158">
        <f t="shared" si="88"/>
        <v>0</v>
      </c>
      <c r="BR177" s="158">
        <f t="shared" si="88"/>
        <v>0</v>
      </c>
      <c r="BS177" s="158">
        <f t="shared" si="88"/>
        <v>0</v>
      </c>
      <c r="BT177" s="158">
        <f t="shared" si="88"/>
        <v>0</v>
      </c>
      <c r="BU177" s="158">
        <f t="shared" si="88"/>
        <v>0</v>
      </c>
      <c r="BV177" s="158">
        <f t="shared" si="88"/>
        <v>0</v>
      </c>
      <c r="BW177" s="158">
        <f t="shared" si="88"/>
        <v>0</v>
      </c>
      <c r="BX177" s="158">
        <f t="shared" si="88"/>
        <v>0</v>
      </c>
      <c r="BY177" s="158">
        <f t="shared" si="88"/>
        <v>0</v>
      </c>
      <c r="BZ177" s="158">
        <f t="shared" si="88"/>
        <v>0</v>
      </c>
      <c r="CA177" s="158">
        <f t="shared" si="88"/>
        <v>0</v>
      </c>
      <c r="CB177" s="158">
        <f t="shared" si="88"/>
        <v>0</v>
      </c>
      <c r="CC177" s="158">
        <f t="shared" si="88"/>
        <v>0</v>
      </c>
      <c r="CD177" s="158">
        <f t="shared" si="88"/>
        <v>0</v>
      </c>
      <c r="CE177" s="158">
        <f t="shared" ref="CE177:CS177" si="89">SUM(CE175:CE176)</f>
        <v>90000000</v>
      </c>
      <c r="CF177" s="158">
        <f t="shared" si="89"/>
        <v>62520300</v>
      </c>
      <c r="CG177" s="158">
        <f t="shared" si="89"/>
        <v>62520300</v>
      </c>
      <c r="CH177" s="158">
        <f t="shared" si="89"/>
        <v>0</v>
      </c>
      <c r="CI177" s="158">
        <f t="shared" si="89"/>
        <v>0</v>
      </c>
      <c r="CJ177" s="158">
        <f t="shared" si="89"/>
        <v>0</v>
      </c>
      <c r="CK177" s="158">
        <f t="shared" si="89"/>
        <v>0</v>
      </c>
      <c r="CL177" s="158">
        <f t="shared" si="89"/>
        <v>0</v>
      </c>
      <c r="CM177" s="158">
        <f t="shared" si="89"/>
        <v>0</v>
      </c>
      <c r="CN177" s="158">
        <f t="shared" si="89"/>
        <v>0</v>
      </c>
      <c r="CO177" s="158">
        <f t="shared" si="89"/>
        <v>0</v>
      </c>
      <c r="CP177" s="158">
        <f t="shared" si="89"/>
        <v>0</v>
      </c>
      <c r="CQ177" s="158">
        <f t="shared" si="89"/>
        <v>0</v>
      </c>
      <c r="CR177" s="158">
        <f t="shared" si="89"/>
        <v>0</v>
      </c>
      <c r="CS177" s="158">
        <f t="shared" si="89"/>
        <v>0</v>
      </c>
      <c r="CT177" s="158">
        <f>SUM(CT175:CT176)</f>
        <v>90000000</v>
      </c>
      <c r="CU177" s="158">
        <f>SUM(CU175:CU176)</f>
        <v>62520300</v>
      </c>
      <c r="CV177" s="158">
        <f>SUM(CV175:CV176)</f>
        <v>62520300</v>
      </c>
    </row>
    <row r="178" spans="1:100" ht="15" x14ac:dyDescent="0.25">
      <c r="A178" s="152"/>
      <c r="B178" s="161"/>
      <c r="C178" s="218"/>
      <c r="D178" s="161"/>
      <c r="E178" s="162"/>
      <c r="F178" s="162"/>
      <c r="G178" s="219"/>
      <c r="H178" s="220"/>
      <c r="I178" s="161"/>
      <c r="J178" s="163"/>
      <c r="K178" s="163"/>
      <c r="L178" s="841"/>
      <c r="M178" s="163"/>
      <c r="N178" s="164"/>
      <c r="O178" s="161"/>
      <c r="P178" s="162"/>
      <c r="Q178" s="165">
        <f>Q177+Q172</f>
        <v>0</v>
      </c>
      <c r="R178" s="165">
        <f>R177+R172</f>
        <v>0</v>
      </c>
      <c r="S178" s="165">
        <f t="shared" ref="S178:CD178" si="90">S177+S172</f>
        <v>0</v>
      </c>
      <c r="T178" s="165">
        <f t="shared" si="90"/>
        <v>0</v>
      </c>
      <c r="U178" s="165">
        <f t="shared" si="90"/>
        <v>0</v>
      </c>
      <c r="V178" s="165">
        <f t="shared" si="90"/>
        <v>0</v>
      </c>
      <c r="W178" s="165">
        <f t="shared" si="90"/>
        <v>0</v>
      </c>
      <c r="X178" s="165">
        <f t="shared" si="90"/>
        <v>0</v>
      </c>
      <c r="Y178" s="165">
        <f t="shared" si="90"/>
        <v>0</v>
      </c>
      <c r="Z178" s="165">
        <f t="shared" si="90"/>
        <v>0</v>
      </c>
      <c r="AA178" s="165">
        <f t="shared" si="90"/>
        <v>0</v>
      </c>
      <c r="AB178" s="165">
        <f t="shared" si="90"/>
        <v>0</v>
      </c>
      <c r="AC178" s="165">
        <f t="shared" si="90"/>
        <v>0</v>
      </c>
      <c r="AD178" s="165">
        <f t="shared" si="90"/>
        <v>0</v>
      </c>
      <c r="AE178" s="165">
        <f t="shared" si="90"/>
        <v>0</v>
      </c>
      <c r="AF178" s="165">
        <f t="shared" si="90"/>
        <v>0</v>
      </c>
      <c r="AG178" s="165">
        <f t="shared" si="90"/>
        <v>0</v>
      </c>
      <c r="AH178" s="165">
        <f t="shared" si="90"/>
        <v>0</v>
      </c>
      <c r="AI178" s="165">
        <f t="shared" si="90"/>
        <v>0</v>
      </c>
      <c r="AJ178" s="165">
        <f t="shared" si="90"/>
        <v>0</v>
      </c>
      <c r="AK178" s="165">
        <f t="shared" si="90"/>
        <v>0</v>
      </c>
      <c r="AL178" s="165">
        <f t="shared" si="90"/>
        <v>0</v>
      </c>
      <c r="AM178" s="165">
        <f t="shared" si="90"/>
        <v>0</v>
      </c>
      <c r="AN178" s="165">
        <f t="shared" si="90"/>
        <v>0</v>
      </c>
      <c r="AO178" s="165">
        <f t="shared" si="90"/>
        <v>0</v>
      </c>
      <c r="AP178" s="165">
        <f t="shared" si="90"/>
        <v>0</v>
      </c>
      <c r="AQ178" s="165">
        <f t="shared" si="90"/>
        <v>0</v>
      </c>
      <c r="AR178" s="165">
        <f t="shared" si="90"/>
        <v>0</v>
      </c>
      <c r="AS178" s="165">
        <f t="shared" si="90"/>
        <v>0</v>
      </c>
      <c r="AT178" s="165">
        <f t="shared" si="90"/>
        <v>0</v>
      </c>
      <c r="AU178" s="165">
        <f t="shared" si="90"/>
        <v>0</v>
      </c>
      <c r="AV178" s="165">
        <f t="shared" si="90"/>
        <v>0</v>
      </c>
      <c r="AW178" s="165">
        <f t="shared" si="90"/>
        <v>0</v>
      </c>
      <c r="AX178" s="165">
        <f t="shared" si="90"/>
        <v>0</v>
      </c>
      <c r="AY178" s="165">
        <f t="shared" si="90"/>
        <v>0</v>
      </c>
      <c r="AZ178" s="165">
        <f t="shared" si="90"/>
        <v>0</v>
      </c>
      <c r="BA178" s="165">
        <f t="shared" si="90"/>
        <v>0</v>
      </c>
      <c r="BB178" s="165">
        <f t="shared" si="90"/>
        <v>0</v>
      </c>
      <c r="BC178" s="165">
        <f t="shared" si="90"/>
        <v>0</v>
      </c>
      <c r="BD178" s="165">
        <f t="shared" si="90"/>
        <v>0</v>
      </c>
      <c r="BE178" s="165">
        <f t="shared" si="90"/>
        <v>0</v>
      </c>
      <c r="BF178" s="165">
        <f t="shared" si="90"/>
        <v>0</v>
      </c>
      <c r="BG178" s="165">
        <f t="shared" si="90"/>
        <v>0</v>
      </c>
      <c r="BH178" s="165">
        <f t="shared" si="90"/>
        <v>0</v>
      </c>
      <c r="BI178" s="165">
        <f t="shared" si="90"/>
        <v>0</v>
      </c>
      <c r="BJ178" s="165">
        <f t="shared" si="90"/>
        <v>0</v>
      </c>
      <c r="BK178" s="165">
        <f t="shared" si="90"/>
        <v>0</v>
      </c>
      <c r="BL178" s="165">
        <f t="shared" si="90"/>
        <v>0</v>
      </c>
      <c r="BM178" s="165">
        <f t="shared" si="90"/>
        <v>0</v>
      </c>
      <c r="BN178" s="165">
        <f t="shared" si="90"/>
        <v>0</v>
      </c>
      <c r="BO178" s="165">
        <f t="shared" si="90"/>
        <v>0</v>
      </c>
      <c r="BP178" s="165">
        <f t="shared" si="90"/>
        <v>0</v>
      </c>
      <c r="BQ178" s="165">
        <f t="shared" si="90"/>
        <v>0</v>
      </c>
      <c r="BR178" s="165">
        <f t="shared" si="90"/>
        <v>0</v>
      </c>
      <c r="BS178" s="165">
        <f t="shared" si="90"/>
        <v>0</v>
      </c>
      <c r="BT178" s="165">
        <f t="shared" si="90"/>
        <v>0</v>
      </c>
      <c r="BU178" s="165">
        <f t="shared" si="90"/>
        <v>0</v>
      </c>
      <c r="BV178" s="165">
        <f t="shared" si="90"/>
        <v>0</v>
      </c>
      <c r="BW178" s="165">
        <f t="shared" si="90"/>
        <v>0</v>
      </c>
      <c r="BX178" s="165">
        <f t="shared" si="90"/>
        <v>0</v>
      </c>
      <c r="BY178" s="165">
        <f t="shared" si="90"/>
        <v>0</v>
      </c>
      <c r="BZ178" s="165">
        <f t="shared" si="90"/>
        <v>0</v>
      </c>
      <c r="CA178" s="165">
        <f t="shared" si="90"/>
        <v>0</v>
      </c>
      <c r="CB178" s="165">
        <f t="shared" si="90"/>
        <v>0</v>
      </c>
      <c r="CC178" s="165">
        <f t="shared" si="90"/>
        <v>0</v>
      </c>
      <c r="CD178" s="165">
        <f t="shared" si="90"/>
        <v>0</v>
      </c>
      <c r="CE178" s="165">
        <f t="shared" ref="CE178:CS178" si="91">CE177+CE172</f>
        <v>597500000</v>
      </c>
      <c r="CF178" s="165">
        <f t="shared" si="91"/>
        <v>402939058</v>
      </c>
      <c r="CG178" s="165">
        <f t="shared" si="91"/>
        <v>401946408</v>
      </c>
      <c r="CH178" s="165">
        <f t="shared" si="91"/>
        <v>0</v>
      </c>
      <c r="CI178" s="165">
        <f t="shared" si="91"/>
        <v>0</v>
      </c>
      <c r="CJ178" s="165">
        <f t="shared" si="91"/>
        <v>0</v>
      </c>
      <c r="CK178" s="165">
        <f t="shared" si="91"/>
        <v>0</v>
      </c>
      <c r="CL178" s="165">
        <f t="shared" si="91"/>
        <v>0</v>
      </c>
      <c r="CM178" s="165">
        <f t="shared" si="91"/>
        <v>0</v>
      </c>
      <c r="CN178" s="165">
        <f t="shared" si="91"/>
        <v>0</v>
      </c>
      <c r="CO178" s="165">
        <f t="shared" si="91"/>
        <v>0</v>
      </c>
      <c r="CP178" s="165">
        <f t="shared" si="91"/>
        <v>0</v>
      </c>
      <c r="CQ178" s="165">
        <f t="shared" si="91"/>
        <v>0</v>
      </c>
      <c r="CR178" s="165">
        <f t="shared" si="91"/>
        <v>0</v>
      </c>
      <c r="CS178" s="165">
        <f t="shared" si="91"/>
        <v>0</v>
      </c>
      <c r="CT178" s="165">
        <f>CT177+CT172</f>
        <v>597500000</v>
      </c>
      <c r="CU178" s="165">
        <f>CU177+CU172</f>
        <v>402939058</v>
      </c>
      <c r="CV178" s="165">
        <f>CV177+CV172</f>
        <v>401946408</v>
      </c>
    </row>
    <row r="179" spans="1:100" ht="15" x14ac:dyDescent="0.25">
      <c r="A179" s="258"/>
      <c r="B179" s="166"/>
      <c r="C179" s="167"/>
      <c r="D179" s="166"/>
      <c r="E179" s="167"/>
      <c r="F179" s="167"/>
      <c r="G179" s="289"/>
      <c r="H179" s="290"/>
      <c r="I179" s="166"/>
      <c r="J179" s="168"/>
      <c r="K179" s="168"/>
      <c r="L179" s="847"/>
      <c r="M179" s="168"/>
      <c r="N179" s="169"/>
      <c r="O179" s="166"/>
      <c r="P179" s="167"/>
      <c r="Q179" s="170">
        <f>Q178+Q163+Q142</f>
        <v>0</v>
      </c>
      <c r="R179" s="170">
        <f>R178+R163+R142</f>
        <v>0</v>
      </c>
      <c r="S179" s="170">
        <f t="shared" ref="S179:CD179" si="92">S178+S163+S142</f>
        <v>0</v>
      </c>
      <c r="T179" s="170">
        <f t="shared" si="92"/>
        <v>0</v>
      </c>
      <c r="U179" s="170">
        <f t="shared" si="92"/>
        <v>0</v>
      </c>
      <c r="V179" s="170">
        <f t="shared" si="92"/>
        <v>0</v>
      </c>
      <c r="W179" s="170">
        <f t="shared" si="92"/>
        <v>0</v>
      </c>
      <c r="X179" s="170">
        <f t="shared" si="92"/>
        <v>0</v>
      </c>
      <c r="Y179" s="170">
        <f t="shared" si="92"/>
        <v>0</v>
      </c>
      <c r="Z179" s="170">
        <f t="shared" si="92"/>
        <v>9145274815.1000004</v>
      </c>
      <c r="AA179" s="170">
        <f t="shared" si="92"/>
        <v>4878561676</v>
      </c>
      <c r="AB179" s="170">
        <f t="shared" si="92"/>
        <v>4749734437</v>
      </c>
      <c r="AC179" s="170">
        <f t="shared" si="92"/>
        <v>0</v>
      </c>
      <c r="AD179" s="170">
        <f t="shared" si="92"/>
        <v>0</v>
      </c>
      <c r="AE179" s="170">
        <f t="shared" si="92"/>
        <v>0</v>
      </c>
      <c r="AF179" s="170">
        <f t="shared" si="92"/>
        <v>0</v>
      </c>
      <c r="AG179" s="170">
        <f t="shared" si="92"/>
        <v>0</v>
      </c>
      <c r="AH179" s="170">
        <f t="shared" si="92"/>
        <v>0</v>
      </c>
      <c r="AI179" s="170">
        <f t="shared" si="92"/>
        <v>0</v>
      </c>
      <c r="AJ179" s="170">
        <f t="shared" si="92"/>
        <v>0</v>
      </c>
      <c r="AK179" s="170">
        <f t="shared" si="92"/>
        <v>0</v>
      </c>
      <c r="AL179" s="170">
        <f t="shared" si="92"/>
        <v>0</v>
      </c>
      <c r="AM179" s="170">
        <f t="shared" si="92"/>
        <v>0</v>
      </c>
      <c r="AN179" s="170">
        <f t="shared" si="92"/>
        <v>0</v>
      </c>
      <c r="AO179" s="170">
        <f t="shared" si="92"/>
        <v>0</v>
      </c>
      <c r="AP179" s="170">
        <f t="shared" si="92"/>
        <v>0</v>
      </c>
      <c r="AQ179" s="170">
        <f t="shared" si="92"/>
        <v>0</v>
      </c>
      <c r="AR179" s="170">
        <f t="shared" si="92"/>
        <v>0</v>
      </c>
      <c r="AS179" s="170">
        <f t="shared" si="92"/>
        <v>0</v>
      </c>
      <c r="AT179" s="170">
        <f t="shared" si="92"/>
        <v>0</v>
      </c>
      <c r="AU179" s="170">
        <f t="shared" si="92"/>
        <v>0</v>
      </c>
      <c r="AV179" s="170">
        <f t="shared" si="92"/>
        <v>0</v>
      </c>
      <c r="AW179" s="170">
        <f t="shared" si="92"/>
        <v>0</v>
      </c>
      <c r="AX179" s="170">
        <f t="shared" si="92"/>
        <v>0</v>
      </c>
      <c r="AY179" s="170">
        <f t="shared" si="92"/>
        <v>0</v>
      </c>
      <c r="AZ179" s="170">
        <f t="shared" si="92"/>
        <v>0</v>
      </c>
      <c r="BA179" s="170">
        <f t="shared" si="92"/>
        <v>0</v>
      </c>
      <c r="BB179" s="170">
        <f t="shared" si="92"/>
        <v>0</v>
      </c>
      <c r="BC179" s="170">
        <f t="shared" si="92"/>
        <v>0</v>
      </c>
      <c r="BD179" s="170">
        <f t="shared" si="92"/>
        <v>0</v>
      </c>
      <c r="BE179" s="170">
        <f t="shared" si="92"/>
        <v>0</v>
      </c>
      <c r="BF179" s="170">
        <f t="shared" si="92"/>
        <v>0</v>
      </c>
      <c r="BG179" s="170">
        <f t="shared" si="92"/>
        <v>0</v>
      </c>
      <c r="BH179" s="170">
        <f t="shared" si="92"/>
        <v>0</v>
      </c>
      <c r="BI179" s="170">
        <f t="shared" si="92"/>
        <v>0</v>
      </c>
      <c r="BJ179" s="170">
        <f t="shared" si="92"/>
        <v>0</v>
      </c>
      <c r="BK179" s="170">
        <f t="shared" si="92"/>
        <v>0</v>
      </c>
      <c r="BL179" s="170">
        <f t="shared" si="92"/>
        <v>0</v>
      </c>
      <c r="BM179" s="170">
        <f t="shared" si="92"/>
        <v>0</v>
      </c>
      <c r="BN179" s="170">
        <f t="shared" si="92"/>
        <v>0</v>
      </c>
      <c r="BO179" s="170">
        <f t="shared" si="92"/>
        <v>0</v>
      </c>
      <c r="BP179" s="170">
        <f t="shared" si="92"/>
        <v>0</v>
      </c>
      <c r="BQ179" s="170">
        <f t="shared" si="92"/>
        <v>0</v>
      </c>
      <c r="BR179" s="170">
        <f t="shared" si="92"/>
        <v>0</v>
      </c>
      <c r="BS179" s="170">
        <f t="shared" si="92"/>
        <v>0</v>
      </c>
      <c r="BT179" s="170">
        <f t="shared" si="92"/>
        <v>0</v>
      </c>
      <c r="BU179" s="170">
        <f t="shared" si="92"/>
        <v>0</v>
      </c>
      <c r="BV179" s="170">
        <f t="shared" si="92"/>
        <v>0</v>
      </c>
      <c r="BW179" s="170">
        <f t="shared" si="92"/>
        <v>0</v>
      </c>
      <c r="BX179" s="170">
        <f t="shared" si="92"/>
        <v>0</v>
      </c>
      <c r="BY179" s="170">
        <f t="shared" si="92"/>
        <v>0</v>
      </c>
      <c r="BZ179" s="170">
        <f t="shared" si="92"/>
        <v>0</v>
      </c>
      <c r="CA179" s="170">
        <f t="shared" si="92"/>
        <v>0</v>
      </c>
      <c r="CB179" s="170">
        <f t="shared" si="92"/>
        <v>0</v>
      </c>
      <c r="CC179" s="170">
        <f t="shared" si="92"/>
        <v>0</v>
      </c>
      <c r="CD179" s="170">
        <f t="shared" si="92"/>
        <v>0</v>
      </c>
      <c r="CE179" s="170">
        <f t="shared" ref="CE179:CS179" si="93">CE178+CE163+CE142</f>
        <v>1558849776</v>
      </c>
      <c r="CF179" s="170">
        <f t="shared" si="93"/>
        <v>1063268582</v>
      </c>
      <c r="CG179" s="170">
        <f t="shared" si="93"/>
        <v>1057437656</v>
      </c>
      <c r="CH179" s="170">
        <f t="shared" si="93"/>
        <v>0</v>
      </c>
      <c r="CI179" s="170">
        <f t="shared" si="93"/>
        <v>0</v>
      </c>
      <c r="CJ179" s="170">
        <f t="shared" si="93"/>
        <v>0</v>
      </c>
      <c r="CK179" s="170">
        <f t="shared" si="93"/>
        <v>0</v>
      </c>
      <c r="CL179" s="170">
        <f t="shared" si="93"/>
        <v>0</v>
      </c>
      <c r="CM179" s="170">
        <f t="shared" si="93"/>
        <v>0</v>
      </c>
      <c r="CN179" s="170">
        <f t="shared" si="93"/>
        <v>0</v>
      </c>
      <c r="CO179" s="170">
        <f t="shared" si="93"/>
        <v>0</v>
      </c>
      <c r="CP179" s="170">
        <f t="shared" si="93"/>
        <v>0</v>
      </c>
      <c r="CQ179" s="170">
        <f t="shared" si="93"/>
        <v>0</v>
      </c>
      <c r="CR179" s="170">
        <f t="shared" si="93"/>
        <v>0</v>
      </c>
      <c r="CS179" s="170">
        <f t="shared" si="93"/>
        <v>0</v>
      </c>
      <c r="CT179" s="170">
        <f>CT178+CT163+CT142</f>
        <v>10704124591.1</v>
      </c>
      <c r="CU179" s="170">
        <f>CU178+CU163+CU142</f>
        <v>5941830258</v>
      </c>
      <c r="CV179" s="170">
        <f>CV178+CV163+CV142</f>
        <v>5807172093</v>
      </c>
    </row>
    <row r="180" spans="1:100" s="27" customFormat="1" ht="15" x14ac:dyDescent="0.25">
      <c r="A180" s="177"/>
      <c r="B180" s="177"/>
      <c r="C180" s="949"/>
      <c r="D180" s="177"/>
      <c r="E180" s="949"/>
      <c r="F180" s="949"/>
      <c r="G180" s="221"/>
      <c r="H180" s="930"/>
      <c r="I180" s="177"/>
      <c r="J180" s="178"/>
      <c r="K180" s="178"/>
      <c r="L180" s="838"/>
      <c r="M180" s="229"/>
      <c r="N180" s="230"/>
      <c r="O180" s="221"/>
      <c r="P180" s="949"/>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1"/>
      <c r="BH180" s="181"/>
      <c r="BI180" s="181"/>
      <c r="BJ180" s="181"/>
      <c r="BK180" s="181"/>
      <c r="BL180" s="181"/>
      <c r="BM180" s="181"/>
      <c r="BN180" s="181"/>
      <c r="BO180" s="181"/>
      <c r="BP180" s="181"/>
      <c r="BQ180" s="181"/>
      <c r="BR180" s="181"/>
      <c r="BS180" s="181"/>
      <c r="BT180" s="181"/>
      <c r="BU180" s="181"/>
      <c r="BV180" s="181"/>
      <c r="BW180" s="181"/>
      <c r="BX180" s="181"/>
      <c r="BY180" s="180"/>
      <c r="BZ180" s="180"/>
      <c r="CA180" s="180"/>
      <c r="CB180" s="180"/>
      <c r="CC180" s="180"/>
      <c r="CD180" s="180"/>
      <c r="CE180" s="182"/>
      <c r="CF180" s="182"/>
      <c r="CG180" s="182"/>
      <c r="CH180" s="180"/>
      <c r="CI180" s="180"/>
      <c r="CJ180" s="180"/>
      <c r="CK180" s="180"/>
      <c r="CL180" s="180"/>
      <c r="CM180" s="180"/>
      <c r="CN180" s="180"/>
      <c r="CO180" s="180"/>
      <c r="CP180" s="180"/>
      <c r="CQ180" s="180"/>
      <c r="CR180" s="180"/>
      <c r="CS180" s="180"/>
      <c r="CT180" s="25"/>
      <c r="CU180" s="76"/>
      <c r="CV180" s="76"/>
    </row>
    <row r="181" spans="1:100" ht="15" x14ac:dyDescent="0.25">
      <c r="A181" s="291">
        <v>5</v>
      </c>
      <c r="B181" s="140" t="s">
        <v>26</v>
      </c>
      <c r="C181" s="141"/>
      <c r="D181" s="140"/>
      <c r="E181" s="140"/>
      <c r="F181" s="140"/>
      <c r="G181" s="140"/>
      <c r="H181" s="141"/>
      <c r="I181" s="140"/>
      <c r="J181" s="140"/>
      <c r="K181" s="140"/>
      <c r="L181" s="848"/>
      <c r="M181" s="140"/>
      <c r="N181" s="676"/>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2"/>
      <c r="CF181" s="142"/>
      <c r="CG181" s="142"/>
      <c r="CH181" s="140"/>
      <c r="CI181" s="140"/>
      <c r="CJ181" s="140"/>
      <c r="CK181" s="140"/>
      <c r="CL181" s="140"/>
      <c r="CM181" s="140"/>
      <c r="CN181" s="140"/>
      <c r="CO181" s="140"/>
      <c r="CP181" s="140"/>
      <c r="CQ181" s="140"/>
      <c r="CR181" s="140"/>
      <c r="CS181" s="140"/>
      <c r="CT181" s="540"/>
      <c r="CU181" s="540"/>
      <c r="CV181" s="540"/>
    </row>
    <row r="182" spans="1:100" s="27" customFormat="1" ht="15" x14ac:dyDescent="0.25">
      <c r="A182" s="208"/>
      <c r="B182" s="262">
        <v>26</v>
      </c>
      <c r="C182" s="145" t="s">
        <v>52</v>
      </c>
      <c r="D182" s="146"/>
      <c r="E182" s="146"/>
      <c r="F182" s="146"/>
      <c r="G182" s="146"/>
      <c r="H182" s="147"/>
      <c r="I182" s="146"/>
      <c r="J182" s="146"/>
      <c r="K182" s="146"/>
      <c r="L182" s="842"/>
      <c r="M182" s="146"/>
      <c r="N182" s="677"/>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c r="CB182" s="146"/>
      <c r="CC182" s="146"/>
      <c r="CD182" s="146"/>
      <c r="CE182" s="148"/>
      <c r="CF182" s="148"/>
      <c r="CG182" s="148"/>
      <c r="CH182" s="146"/>
      <c r="CI182" s="146"/>
      <c r="CJ182" s="146"/>
      <c r="CK182" s="146"/>
      <c r="CL182" s="146"/>
      <c r="CM182" s="146"/>
      <c r="CN182" s="146"/>
      <c r="CO182" s="146"/>
      <c r="CP182" s="146"/>
      <c r="CQ182" s="146"/>
      <c r="CR182" s="146"/>
      <c r="CS182" s="146"/>
      <c r="CT182" s="526"/>
      <c r="CU182" s="526"/>
      <c r="CV182" s="526"/>
    </row>
    <row r="183" spans="1:100" s="27" customFormat="1" ht="15" x14ac:dyDescent="0.25">
      <c r="A183" s="292"/>
      <c r="B183" s="22"/>
      <c r="C183" s="927"/>
      <c r="D183" s="928"/>
      <c r="E183" s="929"/>
      <c r="F183" s="929"/>
      <c r="G183" s="188">
        <v>84</v>
      </c>
      <c r="H183" s="189" t="s">
        <v>59</v>
      </c>
      <c r="I183" s="189"/>
      <c r="J183" s="189"/>
      <c r="K183" s="189"/>
      <c r="L183" s="840"/>
      <c r="M183" s="189"/>
      <c r="N183" s="684"/>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89"/>
      <c r="BI183" s="189"/>
      <c r="BJ183" s="189"/>
      <c r="BK183" s="189"/>
      <c r="BL183" s="189"/>
      <c r="BM183" s="189"/>
      <c r="BN183" s="189"/>
      <c r="BO183" s="189"/>
      <c r="BP183" s="189"/>
      <c r="BQ183" s="189"/>
      <c r="BR183" s="189"/>
      <c r="BS183" s="189"/>
      <c r="BT183" s="189"/>
      <c r="BU183" s="189"/>
      <c r="BV183" s="189"/>
      <c r="BW183" s="189"/>
      <c r="BX183" s="189"/>
      <c r="BY183" s="189"/>
      <c r="BZ183" s="189"/>
      <c r="CA183" s="189"/>
      <c r="CB183" s="189"/>
      <c r="CC183" s="189"/>
      <c r="CD183" s="189"/>
      <c r="CE183" s="190"/>
      <c r="CF183" s="190"/>
      <c r="CG183" s="190"/>
      <c r="CH183" s="189"/>
      <c r="CI183" s="189"/>
      <c r="CJ183" s="189"/>
      <c r="CK183" s="189"/>
      <c r="CL183" s="189"/>
      <c r="CM183" s="189"/>
      <c r="CN183" s="189"/>
      <c r="CO183" s="189"/>
      <c r="CP183" s="189"/>
      <c r="CQ183" s="189"/>
      <c r="CR183" s="189"/>
      <c r="CS183" s="189"/>
      <c r="CT183" s="522"/>
      <c r="CU183" s="522"/>
      <c r="CV183" s="522"/>
    </row>
    <row r="184" spans="1:100" s="27" customFormat="1" ht="74.25" customHeight="1" x14ac:dyDescent="0.25">
      <c r="A184" s="25">
        <f>+A183</f>
        <v>0</v>
      </c>
      <c r="B184" s="28"/>
      <c r="C184" s="927">
        <v>37</v>
      </c>
      <c r="D184" s="928" t="s">
        <v>225</v>
      </c>
      <c r="E184" s="929">
        <v>54.61</v>
      </c>
      <c r="F184" s="929">
        <v>60</v>
      </c>
      <c r="G184" s="928"/>
      <c r="H184" s="929">
        <v>247</v>
      </c>
      <c r="I184" s="928" t="s">
        <v>226</v>
      </c>
      <c r="J184" s="23" t="s">
        <v>30</v>
      </c>
      <c r="K184" s="23">
        <v>1</v>
      </c>
      <c r="L184" s="904">
        <v>1</v>
      </c>
      <c r="M184" s="24" t="s">
        <v>66</v>
      </c>
      <c r="N184" s="36" t="s">
        <v>227</v>
      </c>
      <c r="O184" s="928" t="s">
        <v>228</v>
      </c>
      <c r="P184" s="56" t="s">
        <v>38</v>
      </c>
      <c r="Q184" s="25">
        <v>0</v>
      </c>
      <c r="R184" s="25"/>
      <c r="S184" s="25"/>
      <c r="T184" s="25">
        <v>0</v>
      </c>
      <c r="U184" s="25"/>
      <c r="V184" s="25"/>
      <c r="W184" s="25">
        <v>0</v>
      </c>
      <c r="X184" s="25"/>
      <c r="Y184" s="25"/>
      <c r="Z184" s="25">
        <v>0</v>
      </c>
      <c r="AA184" s="25"/>
      <c r="AB184" s="25"/>
      <c r="AC184" s="25">
        <v>0</v>
      </c>
      <c r="AD184" s="25"/>
      <c r="AE184" s="25"/>
      <c r="AF184" s="25">
        <v>0</v>
      </c>
      <c r="AG184" s="25"/>
      <c r="AH184" s="25"/>
      <c r="AI184" s="25">
        <v>0</v>
      </c>
      <c r="AJ184" s="25"/>
      <c r="AK184" s="25"/>
      <c r="AL184" s="25"/>
      <c r="AM184" s="25"/>
      <c r="AN184" s="25"/>
      <c r="AO184" s="25"/>
      <c r="AP184" s="25"/>
      <c r="AQ184" s="25"/>
      <c r="AR184" s="25"/>
      <c r="AS184" s="25"/>
      <c r="AT184" s="25"/>
      <c r="AU184" s="25">
        <v>0</v>
      </c>
      <c r="AV184" s="25"/>
      <c r="AW184" s="25"/>
      <c r="AX184" s="25"/>
      <c r="AY184" s="25"/>
      <c r="AZ184" s="25"/>
      <c r="BA184" s="25">
        <v>0</v>
      </c>
      <c r="BB184" s="25"/>
      <c r="BC184" s="25"/>
      <c r="BD184" s="25">
        <v>0</v>
      </c>
      <c r="BE184" s="25"/>
      <c r="BF184" s="25"/>
      <c r="BG184" s="25"/>
      <c r="BH184" s="25"/>
      <c r="BI184" s="25"/>
      <c r="BJ184" s="25"/>
      <c r="BK184" s="25"/>
      <c r="BL184" s="25"/>
      <c r="BM184" s="25"/>
      <c r="BN184" s="25"/>
      <c r="BO184" s="25"/>
      <c r="BP184" s="25"/>
      <c r="BQ184" s="25"/>
      <c r="BR184" s="25"/>
      <c r="BS184" s="25"/>
      <c r="BT184" s="25"/>
      <c r="BU184" s="25"/>
      <c r="BV184" s="25"/>
      <c r="BW184" s="25"/>
      <c r="BX184" s="25"/>
      <c r="BY184" s="25">
        <v>0</v>
      </c>
      <c r="BZ184" s="25"/>
      <c r="CA184" s="25"/>
      <c r="CB184" s="25">
        <v>0</v>
      </c>
      <c r="CC184" s="25"/>
      <c r="CD184" s="25"/>
      <c r="CE184" s="110">
        <v>40000000</v>
      </c>
      <c r="CF184" s="110">
        <v>38853330</v>
      </c>
      <c r="CG184" s="110">
        <v>38398330</v>
      </c>
      <c r="CH184" s="13"/>
      <c r="CI184" s="13"/>
      <c r="CJ184" s="13"/>
      <c r="CK184" s="25">
        <v>0</v>
      </c>
      <c r="CL184" s="26"/>
      <c r="CM184" s="26"/>
      <c r="CN184" s="26">
        <v>0</v>
      </c>
      <c r="CO184" s="26"/>
      <c r="CP184" s="26"/>
      <c r="CQ184" s="26"/>
      <c r="CR184" s="26"/>
      <c r="CS184" s="26"/>
      <c r="CT184" s="25">
        <f>Q184+T184+W184+Z184+AC184+AF184+AI184+AL184+AO184+AR184+AU184+AX184+BA184+BD184+BG184+BJ184+BM184+BP184+BS184+BV184+BY184+CB184+CE184+CH184+CK184+CQ184+CN184</f>
        <v>40000000</v>
      </c>
      <c r="CU184" s="25">
        <f>R184+U184+X184+AA184+AD184+AG184+AJ184+AM184+AP184+AS184+AV184+AY184+BB184+BE184+BH184+BK184+BN184+BQ184+BT184+BW184+BZ184+CC184+CF184+CI184+CL184+CR184+CO184</f>
        <v>38853330</v>
      </c>
      <c r="CV184" s="25">
        <f>S184+V184+Y184+AB184+AE184+AH184+AK184+AN184+AQ184+AT184+AW184+AZ184+BC184+BF184+BI184+BL184+BO184+BR184+BU184+BX184+CA184+CD184+CG184+CJ184+CM184+CS184+CP184</f>
        <v>38398330</v>
      </c>
    </row>
    <row r="185" spans="1:100" s="27" customFormat="1" ht="18.75" customHeight="1" x14ac:dyDescent="0.25">
      <c r="A185" s="292"/>
      <c r="B185" s="29"/>
      <c r="C185" s="926"/>
      <c r="D185" s="953"/>
      <c r="E185" s="944"/>
      <c r="F185" s="944"/>
      <c r="G185" s="214"/>
      <c r="H185" s="215"/>
      <c r="I185" s="214"/>
      <c r="J185" s="293"/>
      <c r="K185" s="293"/>
      <c r="L185" s="849"/>
      <c r="M185" s="293"/>
      <c r="N185" s="294"/>
      <c r="O185" s="214"/>
      <c r="P185" s="215"/>
      <c r="Q185" s="295">
        <f>SUM(Q184)</f>
        <v>0</v>
      </c>
      <c r="R185" s="295">
        <f t="shared" ref="R185:CC185" si="94">SUM(R184)</f>
        <v>0</v>
      </c>
      <c r="S185" s="295">
        <f t="shared" si="94"/>
        <v>0</v>
      </c>
      <c r="T185" s="295">
        <f t="shared" si="94"/>
        <v>0</v>
      </c>
      <c r="U185" s="295">
        <f t="shared" si="94"/>
        <v>0</v>
      </c>
      <c r="V185" s="295">
        <f t="shared" si="94"/>
        <v>0</v>
      </c>
      <c r="W185" s="295">
        <f t="shared" si="94"/>
        <v>0</v>
      </c>
      <c r="X185" s="295">
        <f t="shared" si="94"/>
        <v>0</v>
      </c>
      <c r="Y185" s="295">
        <f t="shared" si="94"/>
        <v>0</v>
      </c>
      <c r="Z185" s="295">
        <f t="shared" si="94"/>
        <v>0</v>
      </c>
      <c r="AA185" s="295">
        <f t="shared" si="94"/>
        <v>0</v>
      </c>
      <c r="AB185" s="295">
        <f t="shared" si="94"/>
        <v>0</v>
      </c>
      <c r="AC185" s="295">
        <f t="shared" si="94"/>
        <v>0</v>
      </c>
      <c r="AD185" s="295">
        <f t="shared" si="94"/>
        <v>0</v>
      </c>
      <c r="AE185" s="295">
        <f t="shared" si="94"/>
        <v>0</v>
      </c>
      <c r="AF185" s="295">
        <f t="shared" si="94"/>
        <v>0</v>
      </c>
      <c r="AG185" s="295">
        <f t="shared" si="94"/>
        <v>0</v>
      </c>
      <c r="AH185" s="295">
        <f t="shared" si="94"/>
        <v>0</v>
      </c>
      <c r="AI185" s="295">
        <f t="shared" si="94"/>
        <v>0</v>
      </c>
      <c r="AJ185" s="295">
        <f t="shared" si="94"/>
        <v>0</v>
      </c>
      <c r="AK185" s="295">
        <f t="shared" si="94"/>
        <v>0</v>
      </c>
      <c r="AL185" s="295">
        <f t="shared" si="94"/>
        <v>0</v>
      </c>
      <c r="AM185" s="295">
        <f t="shared" si="94"/>
        <v>0</v>
      </c>
      <c r="AN185" s="295">
        <f t="shared" si="94"/>
        <v>0</v>
      </c>
      <c r="AO185" s="295">
        <f t="shared" si="94"/>
        <v>0</v>
      </c>
      <c r="AP185" s="295">
        <f t="shared" si="94"/>
        <v>0</v>
      </c>
      <c r="AQ185" s="295">
        <f t="shared" si="94"/>
        <v>0</v>
      </c>
      <c r="AR185" s="295">
        <f t="shared" si="94"/>
        <v>0</v>
      </c>
      <c r="AS185" s="295">
        <f t="shared" si="94"/>
        <v>0</v>
      </c>
      <c r="AT185" s="295">
        <f t="shared" si="94"/>
        <v>0</v>
      </c>
      <c r="AU185" s="295">
        <f t="shared" si="94"/>
        <v>0</v>
      </c>
      <c r="AV185" s="295">
        <f t="shared" si="94"/>
        <v>0</v>
      </c>
      <c r="AW185" s="295">
        <f t="shared" si="94"/>
        <v>0</v>
      </c>
      <c r="AX185" s="295">
        <f t="shared" si="94"/>
        <v>0</v>
      </c>
      <c r="AY185" s="295">
        <f t="shared" si="94"/>
        <v>0</v>
      </c>
      <c r="AZ185" s="295">
        <f t="shared" si="94"/>
        <v>0</v>
      </c>
      <c r="BA185" s="295">
        <f t="shared" si="94"/>
        <v>0</v>
      </c>
      <c r="BB185" s="295">
        <f t="shared" si="94"/>
        <v>0</v>
      </c>
      <c r="BC185" s="295">
        <f t="shared" si="94"/>
        <v>0</v>
      </c>
      <c r="BD185" s="295">
        <f t="shared" si="94"/>
        <v>0</v>
      </c>
      <c r="BE185" s="295">
        <f t="shared" si="94"/>
        <v>0</v>
      </c>
      <c r="BF185" s="295">
        <f t="shared" si="94"/>
        <v>0</v>
      </c>
      <c r="BG185" s="295">
        <f t="shared" si="94"/>
        <v>0</v>
      </c>
      <c r="BH185" s="295">
        <f t="shared" si="94"/>
        <v>0</v>
      </c>
      <c r="BI185" s="295">
        <f t="shared" si="94"/>
        <v>0</v>
      </c>
      <c r="BJ185" s="295">
        <f t="shared" si="94"/>
        <v>0</v>
      </c>
      <c r="BK185" s="295">
        <f t="shared" si="94"/>
        <v>0</v>
      </c>
      <c r="BL185" s="295">
        <f t="shared" si="94"/>
        <v>0</v>
      </c>
      <c r="BM185" s="295">
        <f t="shared" si="94"/>
        <v>0</v>
      </c>
      <c r="BN185" s="295">
        <f t="shared" si="94"/>
        <v>0</v>
      </c>
      <c r="BO185" s="295">
        <f t="shared" si="94"/>
        <v>0</v>
      </c>
      <c r="BP185" s="295">
        <f t="shared" si="94"/>
        <v>0</v>
      </c>
      <c r="BQ185" s="295">
        <f t="shared" si="94"/>
        <v>0</v>
      </c>
      <c r="BR185" s="295">
        <f t="shared" si="94"/>
        <v>0</v>
      </c>
      <c r="BS185" s="295">
        <f t="shared" si="94"/>
        <v>0</v>
      </c>
      <c r="BT185" s="295">
        <f t="shared" si="94"/>
        <v>0</v>
      </c>
      <c r="BU185" s="295">
        <f t="shared" si="94"/>
        <v>0</v>
      </c>
      <c r="BV185" s="295">
        <f t="shared" si="94"/>
        <v>0</v>
      </c>
      <c r="BW185" s="295">
        <f t="shared" si="94"/>
        <v>0</v>
      </c>
      <c r="BX185" s="295">
        <f t="shared" si="94"/>
        <v>0</v>
      </c>
      <c r="BY185" s="295">
        <f t="shared" si="94"/>
        <v>0</v>
      </c>
      <c r="BZ185" s="295">
        <f t="shared" si="94"/>
        <v>0</v>
      </c>
      <c r="CA185" s="295">
        <f t="shared" si="94"/>
        <v>0</v>
      </c>
      <c r="CB185" s="295">
        <f t="shared" si="94"/>
        <v>0</v>
      </c>
      <c r="CC185" s="295">
        <f t="shared" si="94"/>
        <v>0</v>
      </c>
      <c r="CD185" s="295">
        <f t="shared" ref="CD185:CS185" si="95">SUM(CD184)</f>
        <v>0</v>
      </c>
      <c r="CE185" s="295">
        <f t="shared" si="95"/>
        <v>40000000</v>
      </c>
      <c r="CF185" s="295">
        <f t="shared" si="95"/>
        <v>38853330</v>
      </c>
      <c r="CG185" s="295">
        <f t="shared" si="95"/>
        <v>38398330</v>
      </c>
      <c r="CH185" s="295">
        <f t="shared" si="95"/>
        <v>0</v>
      </c>
      <c r="CI185" s="295">
        <f t="shared" si="95"/>
        <v>0</v>
      </c>
      <c r="CJ185" s="295">
        <f t="shared" si="95"/>
        <v>0</v>
      </c>
      <c r="CK185" s="295">
        <f t="shared" si="95"/>
        <v>0</v>
      </c>
      <c r="CL185" s="295">
        <f t="shared" si="95"/>
        <v>0</v>
      </c>
      <c r="CM185" s="295">
        <f t="shared" si="95"/>
        <v>0</v>
      </c>
      <c r="CN185" s="295">
        <f t="shared" si="95"/>
        <v>0</v>
      </c>
      <c r="CO185" s="295">
        <f t="shared" si="95"/>
        <v>0</v>
      </c>
      <c r="CP185" s="295">
        <f t="shared" si="95"/>
        <v>0</v>
      </c>
      <c r="CQ185" s="295">
        <f t="shared" si="95"/>
        <v>0</v>
      </c>
      <c r="CR185" s="295">
        <f t="shared" si="95"/>
        <v>0</v>
      </c>
      <c r="CS185" s="295">
        <f t="shared" si="95"/>
        <v>0</v>
      </c>
      <c r="CT185" s="158">
        <f>SUM(CT184)</f>
        <v>40000000</v>
      </c>
      <c r="CU185" s="158">
        <f>SUM(CU184)</f>
        <v>38853330</v>
      </c>
      <c r="CV185" s="158">
        <f>SUM(CV184)</f>
        <v>38398330</v>
      </c>
    </row>
    <row r="186" spans="1:100" s="27" customFormat="1" ht="18.75" customHeight="1" x14ac:dyDescent="0.25">
      <c r="A186" s="292"/>
      <c r="B186" s="161"/>
      <c r="C186" s="218"/>
      <c r="D186" s="161"/>
      <c r="E186" s="162"/>
      <c r="F186" s="162"/>
      <c r="G186" s="161"/>
      <c r="H186" s="162"/>
      <c r="I186" s="161"/>
      <c r="J186" s="163"/>
      <c r="K186" s="163"/>
      <c r="L186" s="841"/>
      <c r="M186" s="163"/>
      <c r="N186" s="164"/>
      <c r="O186" s="161"/>
      <c r="P186" s="162"/>
      <c r="Q186" s="165">
        <f>Q185</f>
        <v>0</v>
      </c>
      <c r="R186" s="165">
        <f t="shared" ref="R186:CC186" si="96">R185</f>
        <v>0</v>
      </c>
      <c r="S186" s="165">
        <f t="shared" si="96"/>
        <v>0</v>
      </c>
      <c r="T186" s="165">
        <f t="shared" si="96"/>
        <v>0</v>
      </c>
      <c r="U186" s="165">
        <f t="shared" si="96"/>
        <v>0</v>
      </c>
      <c r="V186" s="165">
        <f t="shared" si="96"/>
        <v>0</v>
      </c>
      <c r="W186" s="165">
        <f t="shared" si="96"/>
        <v>0</v>
      </c>
      <c r="X186" s="165">
        <f t="shared" si="96"/>
        <v>0</v>
      </c>
      <c r="Y186" s="165">
        <f t="shared" si="96"/>
        <v>0</v>
      </c>
      <c r="Z186" s="165">
        <f t="shared" si="96"/>
        <v>0</v>
      </c>
      <c r="AA186" s="165">
        <f t="shared" si="96"/>
        <v>0</v>
      </c>
      <c r="AB186" s="165">
        <f t="shared" si="96"/>
        <v>0</v>
      </c>
      <c r="AC186" s="165">
        <f t="shared" si="96"/>
        <v>0</v>
      </c>
      <c r="AD186" s="165">
        <f t="shared" si="96"/>
        <v>0</v>
      </c>
      <c r="AE186" s="165">
        <f t="shared" si="96"/>
        <v>0</v>
      </c>
      <c r="AF186" s="165">
        <f t="shared" si="96"/>
        <v>0</v>
      </c>
      <c r="AG186" s="165">
        <f t="shared" si="96"/>
        <v>0</v>
      </c>
      <c r="AH186" s="165">
        <f t="shared" si="96"/>
        <v>0</v>
      </c>
      <c r="AI186" s="165">
        <f t="shared" si="96"/>
        <v>0</v>
      </c>
      <c r="AJ186" s="165">
        <f t="shared" si="96"/>
        <v>0</v>
      </c>
      <c r="AK186" s="165">
        <f t="shared" si="96"/>
        <v>0</v>
      </c>
      <c r="AL186" s="165">
        <f t="shared" si="96"/>
        <v>0</v>
      </c>
      <c r="AM186" s="165">
        <f t="shared" si="96"/>
        <v>0</v>
      </c>
      <c r="AN186" s="165">
        <f t="shared" si="96"/>
        <v>0</v>
      </c>
      <c r="AO186" s="165">
        <f t="shared" si="96"/>
        <v>0</v>
      </c>
      <c r="AP186" s="165">
        <f t="shared" si="96"/>
        <v>0</v>
      </c>
      <c r="AQ186" s="165">
        <f t="shared" si="96"/>
        <v>0</v>
      </c>
      <c r="AR186" s="165">
        <f t="shared" si="96"/>
        <v>0</v>
      </c>
      <c r="AS186" s="165">
        <f t="shared" si="96"/>
        <v>0</v>
      </c>
      <c r="AT186" s="165">
        <f t="shared" si="96"/>
        <v>0</v>
      </c>
      <c r="AU186" s="165">
        <f t="shared" si="96"/>
        <v>0</v>
      </c>
      <c r="AV186" s="165">
        <f t="shared" si="96"/>
        <v>0</v>
      </c>
      <c r="AW186" s="165">
        <f t="shared" si="96"/>
        <v>0</v>
      </c>
      <c r="AX186" s="165">
        <f t="shared" si="96"/>
        <v>0</v>
      </c>
      <c r="AY186" s="165">
        <f t="shared" si="96"/>
        <v>0</v>
      </c>
      <c r="AZ186" s="165">
        <f t="shared" si="96"/>
        <v>0</v>
      </c>
      <c r="BA186" s="165">
        <f t="shared" si="96"/>
        <v>0</v>
      </c>
      <c r="BB186" s="165">
        <f t="shared" si="96"/>
        <v>0</v>
      </c>
      <c r="BC186" s="165">
        <f t="shared" si="96"/>
        <v>0</v>
      </c>
      <c r="BD186" s="165">
        <f t="shared" si="96"/>
        <v>0</v>
      </c>
      <c r="BE186" s="165">
        <f t="shared" si="96"/>
        <v>0</v>
      </c>
      <c r="BF186" s="165">
        <f t="shared" si="96"/>
        <v>0</v>
      </c>
      <c r="BG186" s="165">
        <f t="shared" si="96"/>
        <v>0</v>
      </c>
      <c r="BH186" s="165">
        <f t="shared" si="96"/>
        <v>0</v>
      </c>
      <c r="BI186" s="165">
        <f t="shared" si="96"/>
        <v>0</v>
      </c>
      <c r="BJ186" s="165">
        <f t="shared" si="96"/>
        <v>0</v>
      </c>
      <c r="BK186" s="165">
        <f t="shared" si="96"/>
        <v>0</v>
      </c>
      <c r="BL186" s="165">
        <f t="shared" si="96"/>
        <v>0</v>
      </c>
      <c r="BM186" s="165">
        <f t="shared" si="96"/>
        <v>0</v>
      </c>
      <c r="BN186" s="165">
        <f t="shared" si="96"/>
        <v>0</v>
      </c>
      <c r="BO186" s="165">
        <f t="shared" si="96"/>
        <v>0</v>
      </c>
      <c r="BP186" s="165">
        <f t="shared" si="96"/>
        <v>0</v>
      </c>
      <c r="BQ186" s="165">
        <f t="shared" si="96"/>
        <v>0</v>
      </c>
      <c r="BR186" s="165">
        <f t="shared" si="96"/>
        <v>0</v>
      </c>
      <c r="BS186" s="165">
        <f t="shared" si="96"/>
        <v>0</v>
      </c>
      <c r="BT186" s="165">
        <f t="shared" si="96"/>
        <v>0</v>
      </c>
      <c r="BU186" s="165">
        <f t="shared" si="96"/>
        <v>0</v>
      </c>
      <c r="BV186" s="165">
        <f t="shared" si="96"/>
        <v>0</v>
      </c>
      <c r="BW186" s="165">
        <f t="shared" si="96"/>
        <v>0</v>
      </c>
      <c r="BX186" s="165">
        <f t="shared" si="96"/>
        <v>0</v>
      </c>
      <c r="BY186" s="165">
        <f t="shared" si="96"/>
        <v>0</v>
      </c>
      <c r="BZ186" s="165">
        <f t="shared" si="96"/>
        <v>0</v>
      </c>
      <c r="CA186" s="165">
        <f t="shared" si="96"/>
        <v>0</v>
      </c>
      <c r="CB186" s="165">
        <f t="shared" si="96"/>
        <v>0</v>
      </c>
      <c r="CC186" s="165">
        <f t="shared" si="96"/>
        <v>0</v>
      </c>
      <c r="CD186" s="165">
        <f t="shared" ref="CD186:CS186" si="97">CD185</f>
        <v>0</v>
      </c>
      <c r="CE186" s="165">
        <f t="shared" si="97"/>
        <v>40000000</v>
      </c>
      <c r="CF186" s="165">
        <f t="shared" si="97"/>
        <v>38853330</v>
      </c>
      <c r="CG186" s="165">
        <f t="shared" si="97"/>
        <v>38398330</v>
      </c>
      <c r="CH186" s="165">
        <f t="shared" si="97"/>
        <v>0</v>
      </c>
      <c r="CI186" s="165">
        <f t="shared" si="97"/>
        <v>0</v>
      </c>
      <c r="CJ186" s="165">
        <f t="shared" si="97"/>
        <v>0</v>
      </c>
      <c r="CK186" s="165">
        <f t="shared" si="97"/>
        <v>0</v>
      </c>
      <c r="CL186" s="165">
        <f t="shared" si="97"/>
        <v>0</v>
      </c>
      <c r="CM186" s="165">
        <f t="shared" si="97"/>
        <v>0</v>
      </c>
      <c r="CN186" s="165">
        <f t="shared" si="97"/>
        <v>0</v>
      </c>
      <c r="CO186" s="165">
        <f t="shared" si="97"/>
        <v>0</v>
      </c>
      <c r="CP186" s="165">
        <f t="shared" si="97"/>
        <v>0</v>
      </c>
      <c r="CQ186" s="165">
        <f t="shared" si="97"/>
        <v>0</v>
      </c>
      <c r="CR186" s="165">
        <f t="shared" si="97"/>
        <v>0</v>
      </c>
      <c r="CS186" s="165">
        <f t="shared" si="97"/>
        <v>0</v>
      </c>
      <c r="CT186" s="165">
        <f>CT185</f>
        <v>40000000</v>
      </c>
      <c r="CU186" s="165">
        <f>CU185</f>
        <v>38853330</v>
      </c>
      <c r="CV186" s="165">
        <f>CV185</f>
        <v>38398330</v>
      </c>
    </row>
    <row r="187" spans="1:100" s="27" customFormat="1" ht="24.75" customHeight="1" x14ac:dyDescent="0.25">
      <c r="A187" s="292"/>
      <c r="B187" s="928"/>
      <c r="C187" s="949"/>
      <c r="D187" s="177"/>
      <c r="E187" s="949"/>
      <c r="F187" s="949"/>
      <c r="G187" s="177"/>
      <c r="H187" s="949"/>
      <c r="I187" s="177"/>
      <c r="J187" s="178"/>
      <c r="K187" s="178"/>
      <c r="L187" s="850"/>
      <c r="M187" s="178"/>
      <c r="N187" s="179"/>
      <c r="O187" s="177"/>
      <c r="P187" s="949"/>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1"/>
      <c r="BH187" s="181"/>
      <c r="BI187" s="181"/>
      <c r="BJ187" s="181"/>
      <c r="BK187" s="181"/>
      <c r="BL187" s="181"/>
      <c r="BM187" s="181"/>
      <c r="BN187" s="181"/>
      <c r="BO187" s="181"/>
      <c r="BP187" s="181"/>
      <c r="BQ187" s="181"/>
      <c r="BR187" s="181"/>
      <c r="BS187" s="181"/>
      <c r="BT187" s="181"/>
      <c r="BU187" s="181"/>
      <c r="BV187" s="181"/>
      <c r="BW187" s="181"/>
      <c r="BX187" s="181"/>
      <c r="BY187" s="180"/>
      <c r="BZ187" s="180"/>
      <c r="CA187" s="180"/>
      <c r="CB187" s="180"/>
      <c r="CC187" s="180"/>
      <c r="CD187" s="180"/>
      <c r="CE187" s="182"/>
      <c r="CF187" s="182"/>
      <c r="CG187" s="182"/>
      <c r="CH187" s="183"/>
      <c r="CI187" s="183"/>
      <c r="CJ187" s="183"/>
      <c r="CK187" s="180"/>
      <c r="CL187" s="180"/>
      <c r="CM187" s="180"/>
      <c r="CN187" s="180"/>
      <c r="CO187" s="180"/>
      <c r="CP187" s="180"/>
      <c r="CQ187" s="180"/>
      <c r="CR187" s="180"/>
      <c r="CS187" s="180"/>
      <c r="CT187" s="25"/>
      <c r="CU187" s="76"/>
      <c r="CV187" s="76"/>
    </row>
    <row r="188" spans="1:100" ht="31.5" customHeight="1" x14ac:dyDescent="0.25">
      <c r="A188" s="292"/>
      <c r="B188" s="296">
        <v>27</v>
      </c>
      <c r="C188" s="146" t="s">
        <v>63</v>
      </c>
      <c r="D188" s="146"/>
      <c r="E188" s="146"/>
      <c r="F188" s="146"/>
      <c r="G188" s="146"/>
      <c r="H188" s="147"/>
      <c r="I188" s="146"/>
      <c r="J188" s="146"/>
      <c r="K188" s="146"/>
      <c r="L188" s="842"/>
      <c r="M188" s="146"/>
      <c r="N188" s="677"/>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8"/>
      <c r="CF188" s="148"/>
      <c r="CG188" s="148"/>
      <c r="CH188" s="146"/>
      <c r="CI188" s="146"/>
      <c r="CJ188" s="146"/>
      <c r="CK188" s="146"/>
      <c r="CL188" s="146"/>
      <c r="CM188" s="146"/>
      <c r="CN188" s="146"/>
      <c r="CO188" s="146"/>
      <c r="CP188" s="146"/>
      <c r="CQ188" s="146"/>
      <c r="CR188" s="146"/>
      <c r="CS188" s="146"/>
      <c r="CT188" s="526"/>
      <c r="CU188" s="526"/>
      <c r="CV188" s="526"/>
    </row>
    <row r="189" spans="1:100" ht="31.5" customHeight="1" x14ac:dyDescent="0.25">
      <c r="A189" s="292"/>
      <c r="B189" s="22"/>
      <c r="C189" s="949"/>
      <c r="D189" s="252"/>
      <c r="E189" s="252"/>
      <c r="F189" s="253"/>
      <c r="G189" s="297">
        <v>85</v>
      </c>
      <c r="H189" s="2" t="s">
        <v>64</v>
      </c>
      <c r="I189" s="2"/>
      <c r="J189" s="2"/>
      <c r="K189" s="2"/>
      <c r="L189" s="851"/>
      <c r="M189" s="2"/>
      <c r="N189" s="686"/>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109"/>
      <c r="CF189" s="109"/>
      <c r="CG189" s="109"/>
      <c r="CH189" s="2"/>
      <c r="CI189" s="2"/>
      <c r="CJ189" s="2"/>
      <c r="CK189" s="2"/>
      <c r="CL189" s="2"/>
      <c r="CM189" s="2"/>
      <c r="CN189" s="2"/>
      <c r="CO189" s="2"/>
      <c r="CP189" s="2"/>
      <c r="CQ189" s="2"/>
      <c r="CR189" s="2"/>
      <c r="CS189" s="2"/>
      <c r="CT189" s="126"/>
      <c r="CU189" s="126"/>
      <c r="CV189" s="126"/>
    </row>
    <row r="190" spans="1:100" s="27" customFormat="1" ht="74.25" customHeight="1" x14ac:dyDescent="0.25">
      <c r="A190" s="28"/>
      <c r="B190" s="28"/>
      <c r="C190" s="1032">
        <v>37</v>
      </c>
      <c r="D190" s="1012" t="s">
        <v>229</v>
      </c>
      <c r="E190" s="1021">
        <v>54.61</v>
      </c>
      <c r="F190" s="1021">
        <v>60</v>
      </c>
      <c r="G190" s="22"/>
      <c r="H190" s="914">
        <v>250</v>
      </c>
      <c r="I190" s="928" t="s">
        <v>230</v>
      </c>
      <c r="J190" s="23">
        <v>1</v>
      </c>
      <c r="K190" s="23">
        <v>3</v>
      </c>
      <c r="L190" s="904">
        <v>3</v>
      </c>
      <c r="M190" s="1158" t="s">
        <v>66</v>
      </c>
      <c r="N190" s="1017" t="s">
        <v>231</v>
      </c>
      <c r="O190" s="1012" t="s">
        <v>232</v>
      </c>
      <c r="P190" s="56" t="s">
        <v>38</v>
      </c>
      <c r="Q190" s="25">
        <v>0</v>
      </c>
      <c r="R190" s="25"/>
      <c r="S190" s="25"/>
      <c r="T190" s="25">
        <v>0</v>
      </c>
      <c r="U190" s="25"/>
      <c r="V190" s="25"/>
      <c r="W190" s="25">
        <v>0</v>
      </c>
      <c r="X190" s="25"/>
      <c r="Y190" s="25"/>
      <c r="Z190" s="25">
        <v>0</v>
      </c>
      <c r="AA190" s="25"/>
      <c r="AB190" s="25"/>
      <c r="AC190" s="25">
        <v>0</v>
      </c>
      <c r="AD190" s="25"/>
      <c r="AE190" s="25"/>
      <c r="AF190" s="25">
        <v>0</v>
      </c>
      <c r="AG190" s="25"/>
      <c r="AH190" s="25"/>
      <c r="AI190" s="25">
        <v>0</v>
      </c>
      <c r="AJ190" s="25"/>
      <c r="AK190" s="25"/>
      <c r="AL190" s="25"/>
      <c r="AM190" s="25"/>
      <c r="AN190" s="25"/>
      <c r="AO190" s="25"/>
      <c r="AP190" s="25"/>
      <c r="AQ190" s="25"/>
      <c r="AR190" s="25"/>
      <c r="AS190" s="25"/>
      <c r="AT190" s="25"/>
      <c r="AU190" s="25">
        <v>0</v>
      </c>
      <c r="AV190" s="25"/>
      <c r="AW190" s="25"/>
      <c r="AX190" s="25"/>
      <c r="AY190" s="25"/>
      <c r="AZ190" s="25"/>
      <c r="BA190" s="25">
        <v>0</v>
      </c>
      <c r="BB190" s="25"/>
      <c r="BC190" s="25"/>
      <c r="BD190" s="25">
        <v>0</v>
      </c>
      <c r="BE190" s="25"/>
      <c r="BF190" s="25"/>
      <c r="BG190" s="25"/>
      <c r="BH190" s="25"/>
      <c r="BI190" s="25"/>
      <c r="BJ190" s="25"/>
      <c r="BK190" s="25"/>
      <c r="BL190" s="25"/>
      <c r="BM190" s="25"/>
      <c r="BN190" s="25"/>
      <c r="BO190" s="25"/>
      <c r="BP190" s="25"/>
      <c r="BQ190" s="25"/>
      <c r="BR190" s="25"/>
      <c r="BS190" s="25"/>
      <c r="BT190" s="25"/>
      <c r="BU190" s="25"/>
      <c r="BV190" s="25"/>
      <c r="BW190" s="25"/>
      <c r="BX190" s="25"/>
      <c r="BY190" s="25">
        <v>0</v>
      </c>
      <c r="BZ190" s="25"/>
      <c r="CA190" s="25"/>
      <c r="CB190" s="25">
        <v>0</v>
      </c>
      <c r="CC190" s="25"/>
      <c r="CD190" s="25"/>
      <c r="CE190" s="111">
        <f>69250000+205000000</f>
        <v>274250000</v>
      </c>
      <c r="CF190" s="111">
        <v>253710625</v>
      </c>
      <c r="CG190" s="111">
        <v>253710625</v>
      </c>
      <c r="CH190" s="39"/>
      <c r="CI190" s="39"/>
      <c r="CJ190" s="39"/>
      <c r="CK190" s="25">
        <v>0</v>
      </c>
      <c r="CL190" s="26"/>
      <c r="CM190" s="26"/>
      <c r="CN190" s="26">
        <v>0</v>
      </c>
      <c r="CO190" s="26"/>
      <c r="CP190" s="26"/>
      <c r="CQ190" s="26"/>
      <c r="CR190" s="26"/>
      <c r="CS190" s="26"/>
      <c r="CT190" s="25">
        <f t="shared" ref="CT190:CV192" si="98">Q190+T190+W190+Z190+AC190+AF190+AI190+AL190+AO190+AR190+AU190+AX190+BA190+BD190+BG190+BJ190+BM190+BP190+BS190+BV190+BY190+CB190+CE190+CH190+CK190+CQ190+CN190</f>
        <v>274250000</v>
      </c>
      <c r="CU190" s="25">
        <f t="shared" si="98"/>
        <v>253710625</v>
      </c>
      <c r="CV190" s="25">
        <f t="shared" si="98"/>
        <v>253710625</v>
      </c>
    </row>
    <row r="191" spans="1:100" s="27" customFormat="1" ht="69.75" customHeight="1" x14ac:dyDescent="0.25">
      <c r="A191" s="28"/>
      <c r="B191" s="28"/>
      <c r="C191" s="1038"/>
      <c r="D191" s="1020"/>
      <c r="E191" s="1023"/>
      <c r="F191" s="1023"/>
      <c r="G191" s="28"/>
      <c r="H191" s="914">
        <v>251</v>
      </c>
      <c r="I191" s="928" t="s">
        <v>233</v>
      </c>
      <c r="J191" s="23">
        <v>0</v>
      </c>
      <c r="K191" s="23">
        <v>1</v>
      </c>
      <c r="L191" s="904">
        <v>1</v>
      </c>
      <c r="M191" s="1159"/>
      <c r="N191" s="1018"/>
      <c r="O191" s="1020"/>
      <c r="P191" s="56" t="s">
        <v>38</v>
      </c>
      <c r="Q191" s="25">
        <v>0</v>
      </c>
      <c r="R191" s="25"/>
      <c r="S191" s="25"/>
      <c r="T191" s="25">
        <v>0</v>
      </c>
      <c r="U191" s="25"/>
      <c r="V191" s="25"/>
      <c r="W191" s="25">
        <v>0</v>
      </c>
      <c r="X191" s="25"/>
      <c r="Y191" s="25"/>
      <c r="Z191" s="25">
        <v>0</v>
      </c>
      <c r="AA191" s="25"/>
      <c r="AB191" s="25"/>
      <c r="AC191" s="25">
        <v>0</v>
      </c>
      <c r="AD191" s="25"/>
      <c r="AE191" s="25"/>
      <c r="AF191" s="25">
        <v>0</v>
      </c>
      <c r="AG191" s="25"/>
      <c r="AH191" s="25"/>
      <c r="AI191" s="25">
        <v>0</v>
      </c>
      <c r="AJ191" s="25"/>
      <c r="AK191" s="25"/>
      <c r="AL191" s="25"/>
      <c r="AM191" s="25"/>
      <c r="AN191" s="25"/>
      <c r="AO191" s="25"/>
      <c r="AP191" s="25"/>
      <c r="AQ191" s="25"/>
      <c r="AR191" s="25"/>
      <c r="AS191" s="25"/>
      <c r="AT191" s="25"/>
      <c r="AU191" s="25">
        <v>0</v>
      </c>
      <c r="AV191" s="25"/>
      <c r="AW191" s="25"/>
      <c r="AX191" s="25"/>
      <c r="AY191" s="25"/>
      <c r="AZ191" s="25"/>
      <c r="BA191" s="25">
        <v>0</v>
      </c>
      <c r="BB191" s="25"/>
      <c r="BC191" s="25"/>
      <c r="BD191" s="25">
        <v>0</v>
      </c>
      <c r="BE191" s="25"/>
      <c r="BF191" s="25"/>
      <c r="BG191" s="25"/>
      <c r="BH191" s="25"/>
      <c r="BI191" s="25"/>
      <c r="BJ191" s="25"/>
      <c r="BK191" s="25"/>
      <c r="BL191" s="25"/>
      <c r="BM191" s="25"/>
      <c r="BN191" s="25"/>
      <c r="BO191" s="25"/>
      <c r="BP191" s="25"/>
      <c r="BQ191" s="25"/>
      <c r="BR191" s="25"/>
      <c r="BS191" s="25"/>
      <c r="BT191" s="25"/>
      <c r="BU191" s="25"/>
      <c r="BV191" s="25"/>
      <c r="BW191" s="25"/>
      <c r="BX191" s="25"/>
      <c r="BY191" s="25">
        <v>0</v>
      </c>
      <c r="BZ191" s="25"/>
      <c r="CA191" s="25"/>
      <c r="CB191" s="25">
        <v>0</v>
      </c>
      <c r="CC191" s="25"/>
      <c r="CD191" s="25"/>
      <c r="CE191" s="111">
        <f>230750000-25000000</f>
        <v>205750000</v>
      </c>
      <c r="CF191" s="111">
        <v>192838987</v>
      </c>
      <c r="CG191" s="111">
        <v>190393987</v>
      </c>
      <c r="CH191" s="39"/>
      <c r="CI191" s="39"/>
      <c r="CJ191" s="39"/>
      <c r="CK191" s="25">
        <v>0</v>
      </c>
      <c r="CL191" s="26"/>
      <c r="CM191" s="26"/>
      <c r="CN191" s="26">
        <v>0</v>
      </c>
      <c r="CO191" s="26"/>
      <c r="CP191" s="26"/>
      <c r="CQ191" s="26"/>
      <c r="CR191" s="26"/>
      <c r="CS191" s="26"/>
      <c r="CT191" s="25">
        <f t="shared" si="98"/>
        <v>205750000</v>
      </c>
      <c r="CU191" s="25">
        <f t="shared" si="98"/>
        <v>192838987</v>
      </c>
      <c r="CV191" s="25">
        <f t="shared" si="98"/>
        <v>190393987</v>
      </c>
    </row>
    <row r="192" spans="1:100" s="27" customFormat="1" ht="108.75" customHeight="1" x14ac:dyDescent="0.25">
      <c r="A192" s="28"/>
      <c r="B192" s="28"/>
      <c r="C192" s="1033"/>
      <c r="D192" s="1013"/>
      <c r="E192" s="1022"/>
      <c r="F192" s="1022"/>
      <c r="G192" s="29"/>
      <c r="H192" s="914">
        <v>254</v>
      </c>
      <c r="I192" s="69" t="s">
        <v>919</v>
      </c>
      <c r="J192" s="23">
        <v>0</v>
      </c>
      <c r="K192" s="23">
        <v>1</v>
      </c>
      <c r="L192" s="904">
        <v>1</v>
      </c>
      <c r="M192" s="1160"/>
      <c r="N192" s="1019"/>
      <c r="O192" s="1013"/>
      <c r="P192" s="56" t="s">
        <v>38</v>
      </c>
      <c r="Q192" s="25">
        <v>0</v>
      </c>
      <c r="R192" s="25"/>
      <c r="S192" s="25"/>
      <c r="T192" s="25">
        <v>0</v>
      </c>
      <c r="U192" s="25"/>
      <c r="V192" s="25"/>
      <c r="W192" s="25">
        <v>0</v>
      </c>
      <c r="X192" s="25"/>
      <c r="Y192" s="25"/>
      <c r="Z192" s="25">
        <v>0</v>
      </c>
      <c r="AA192" s="25"/>
      <c r="AB192" s="25"/>
      <c r="AC192" s="25">
        <v>0</v>
      </c>
      <c r="AD192" s="25"/>
      <c r="AE192" s="25"/>
      <c r="AF192" s="25">
        <v>0</v>
      </c>
      <c r="AG192" s="25"/>
      <c r="AH192" s="25"/>
      <c r="AI192" s="25">
        <v>0</v>
      </c>
      <c r="AJ192" s="25"/>
      <c r="AK192" s="25"/>
      <c r="AL192" s="25"/>
      <c r="AM192" s="25"/>
      <c r="AN192" s="25"/>
      <c r="AO192" s="25"/>
      <c r="AP192" s="25"/>
      <c r="AQ192" s="25"/>
      <c r="AR192" s="25"/>
      <c r="AS192" s="25"/>
      <c r="AT192" s="25"/>
      <c r="AU192" s="25">
        <v>0</v>
      </c>
      <c r="AV192" s="25"/>
      <c r="AW192" s="25"/>
      <c r="AX192" s="25"/>
      <c r="AY192" s="25"/>
      <c r="AZ192" s="25"/>
      <c r="BA192" s="25">
        <v>0</v>
      </c>
      <c r="BB192" s="25"/>
      <c r="BC192" s="25"/>
      <c r="BD192" s="25">
        <v>0</v>
      </c>
      <c r="BE192" s="25"/>
      <c r="BF192" s="25"/>
      <c r="BG192" s="25"/>
      <c r="BH192" s="25"/>
      <c r="BI192" s="25"/>
      <c r="BJ192" s="25"/>
      <c r="BK192" s="25"/>
      <c r="BL192" s="25"/>
      <c r="BM192" s="25"/>
      <c r="BN192" s="25"/>
      <c r="BO192" s="25"/>
      <c r="BP192" s="25"/>
      <c r="BQ192" s="25"/>
      <c r="BR192" s="25"/>
      <c r="BS192" s="25"/>
      <c r="BT192" s="25"/>
      <c r="BU192" s="25"/>
      <c r="BV192" s="25"/>
      <c r="BW192" s="25"/>
      <c r="BX192" s="25"/>
      <c r="BY192" s="25">
        <v>0</v>
      </c>
      <c r="BZ192" s="25"/>
      <c r="CA192" s="25"/>
      <c r="CB192" s="25">
        <v>0</v>
      </c>
      <c r="CC192" s="25"/>
      <c r="CD192" s="25"/>
      <c r="CE192" s="110">
        <v>25000000</v>
      </c>
      <c r="CF192" s="110">
        <v>24760850</v>
      </c>
      <c r="CG192" s="110">
        <v>23500000</v>
      </c>
      <c r="CH192" s="37"/>
      <c r="CI192" s="37"/>
      <c r="CJ192" s="37"/>
      <c r="CK192" s="25">
        <v>0</v>
      </c>
      <c r="CL192" s="25"/>
      <c r="CM192" s="25"/>
      <c r="CN192" s="25">
        <v>0</v>
      </c>
      <c r="CO192" s="25"/>
      <c r="CP192" s="25"/>
      <c r="CQ192" s="25"/>
      <c r="CR192" s="25"/>
      <c r="CS192" s="25"/>
      <c r="CT192" s="25">
        <f t="shared" si="98"/>
        <v>25000000</v>
      </c>
      <c r="CU192" s="25">
        <f t="shared" si="98"/>
        <v>24760850</v>
      </c>
      <c r="CV192" s="25">
        <f t="shared" si="98"/>
        <v>23500000</v>
      </c>
    </row>
    <row r="193" spans="1:100" ht="24.75" customHeight="1" x14ac:dyDescent="0.25">
      <c r="A193" s="292"/>
      <c r="B193" s="28"/>
      <c r="C193" s="213"/>
      <c r="D193" s="928"/>
      <c r="E193" s="929"/>
      <c r="F193" s="929"/>
      <c r="G193" s="214"/>
      <c r="H193" s="215"/>
      <c r="I193" s="298"/>
      <c r="J193" s="156"/>
      <c r="K193" s="156"/>
      <c r="L193" s="837"/>
      <c r="M193" s="156"/>
      <c r="N193" s="157"/>
      <c r="O193" s="154"/>
      <c r="P193" s="155"/>
      <c r="Q193" s="158">
        <f>SUM(Q190:Q192)</f>
        <v>0</v>
      </c>
      <c r="R193" s="158">
        <f t="shared" ref="R193:CC193" si="99">SUM(R190:R192)</f>
        <v>0</v>
      </c>
      <c r="S193" s="158">
        <f t="shared" si="99"/>
        <v>0</v>
      </c>
      <c r="T193" s="158">
        <f t="shared" si="99"/>
        <v>0</v>
      </c>
      <c r="U193" s="158">
        <f t="shared" si="99"/>
        <v>0</v>
      </c>
      <c r="V193" s="158">
        <f t="shared" si="99"/>
        <v>0</v>
      </c>
      <c r="W193" s="158">
        <f t="shared" si="99"/>
        <v>0</v>
      </c>
      <c r="X193" s="158">
        <f t="shared" si="99"/>
        <v>0</v>
      </c>
      <c r="Y193" s="158">
        <f t="shared" si="99"/>
        <v>0</v>
      </c>
      <c r="Z193" s="158">
        <f t="shared" si="99"/>
        <v>0</v>
      </c>
      <c r="AA193" s="158">
        <f t="shared" si="99"/>
        <v>0</v>
      </c>
      <c r="AB193" s="158">
        <f t="shared" si="99"/>
        <v>0</v>
      </c>
      <c r="AC193" s="158">
        <f t="shared" si="99"/>
        <v>0</v>
      </c>
      <c r="AD193" s="158">
        <f t="shared" si="99"/>
        <v>0</v>
      </c>
      <c r="AE193" s="158">
        <f t="shared" si="99"/>
        <v>0</v>
      </c>
      <c r="AF193" s="158">
        <f t="shared" si="99"/>
        <v>0</v>
      </c>
      <c r="AG193" s="158">
        <f t="shared" si="99"/>
        <v>0</v>
      </c>
      <c r="AH193" s="158">
        <f t="shared" si="99"/>
        <v>0</v>
      </c>
      <c r="AI193" s="158">
        <f t="shared" si="99"/>
        <v>0</v>
      </c>
      <c r="AJ193" s="158">
        <f t="shared" si="99"/>
        <v>0</v>
      </c>
      <c r="AK193" s="158">
        <f t="shared" si="99"/>
        <v>0</v>
      </c>
      <c r="AL193" s="158">
        <f t="shared" si="99"/>
        <v>0</v>
      </c>
      <c r="AM193" s="158">
        <f t="shared" si="99"/>
        <v>0</v>
      </c>
      <c r="AN193" s="158">
        <f t="shared" si="99"/>
        <v>0</v>
      </c>
      <c r="AO193" s="158">
        <f t="shared" si="99"/>
        <v>0</v>
      </c>
      <c r="AP193" s="158">
        <f t="shared" si="99"/>
        <v>0</v>
      </c>
      <c r="AQ193" s="158">
        <f t="shared" si="99"/>
        <v>0</v>
      </c>
      <c r="AR193" s="158">
        <f t="shared" si="99"/>
        <v>0</v>
      </c>
      <c r="AS193" s="158">
        <f t="shared" si="99"/>
        <v>0</v>
      </c>
      <c r="AT193" s="158">
        <f t="shared" si="99"/>
        <v>0</v>
      </c>
      <c r="AU193" s="158">
        <f t="shared" si="99"/>
        <v>0</v>
      </c>
      <c r="AV193" s="158">
        <f t="shared" si="99"/>
        <v>0</v>
      </c>
      <c r="AW193" s="158">
        <f t="shared" si="99"/>
        <v>0</v>
      </c>
      <c r="AX193" s="158">
        <f t="shared" si="99"/>
        <v>0</v>
      </c>
      <c r="AY193" s="158">
        <f t="shared" si="99"/>
        <v>0</v>
      </c>
      <c r="AZ193" s="158">
        <f t="shared" si="99"/>
        <v>0</v>
      </c>
      <c r="BA193" s="158">
        <f t="shared" si="99"/>
        <v>0</v>
      </c>
      <c r="BB193" s="158">
        <f t="shared" si="99"/>
        <v>0</v>
      </c>
      <c r="BC193" s="158">
        <f t="shared" si="99"/>
        <v>0</v>
      </c>
      <c r="BD193" s="158">
        <f t="shared" si="99"/>
        <v>0</v>
      </c>
      <c r="BE193" s="158">
        <f t="shared" si="99"/>
        <v>0</v>
      </c>
      <c r="BF193" s="158">
        <f t="shared" si="99"/>
        <v>0</v>
      </c>
      <c r="BG193" s="158">
        <f t="shared" si="99"/>
        <v>0</v>
      </c>
      <c r="BH193" s="158">
        <f t="shared" si="99"/>
        <v>0</v>
      </c>
      <c r="BI193" s="158">
        <f t="shared" si="99"/>
        <v>0</v>
      </c>
      <c r="BJ193" s="158">
        <f t="shared" si="99"/>
        <v>0</v>
      </c>
      <c r="BK193" s="158">
        <f t="shared" si="99"/>
        <v>0</v>
      </c>
      <c r="BL193" s="158">
        <f t="shared" si="99"/>
        <v>0</v>
      </c>
      <c r="BM193" s="158">
        <f t="shared" si="99"/>
        <v>0</v>
      </c>
      <c r="BN193" s="158">
        <f t="shared" si="99"/>
        <v>0</v>
      </c>
      <c r="BO193" s="158">
        <f t="shared" si="99"/>
        <v>0</v>
      </c>
      <c r="BP193" s="158">
        <f t="shared" si="99"/>
        <v>0</v>
      </c>
      <c r="BQ193" s="158">
        <f t="shared" si="99"/>
        <v>0</v>
      </c>
      <c r="BR193" s="158">
        <f t="shared" si="99"/>
        <v>0</v>
      </c>
      <c r="BS193" s="158">
        <f t="shared" si="99"/>
        <v>0</v>
      </c>
      <c r="BT193" s="158">
        <f t="shared" si="99"/>
        <v>0</v>
      </c>
      <c r="BU193" s="158">
        <f t="shared" si="99"/>
        <v>0</v>
      </c>
      <c r="BV193" s="158">
        <f t="shared" si="99"/>
        <v>0</v>
      </c>
      <c r="BW193" s="158">
        <f t="shared" si="99"/>
        <v>0</v>
      </c>
      <c r="BX193" s="158">
        <f t="shared" si="99"/>
        <v>0</v>
      </c>
      <c r="BY193" s="158">
        <f t="shared" si="99"/>
        <v>0</v>
      </c>
      <c r="BZ193" s="158">
        <f t="shared" si="99"/>
        <v>0</v>
      </c>
      <c r="CA193" s="158">
        <f t="shared" si="99"/>
        <v>0</v>
      </c>
      <c r="CB193" s="158">
        <f t="shared" si="99"/>
        <v>0</v>
      </c>
      <c r="CC193" s="158">
        <f t="shared" si="99"/>
        <v>0</v>
      </c>
      <c r="CD193" s="158">
        <f t="shared" ref="CD193:CS193" si="100">SUM(CD190:CD192)</f>
        <v>0</v>
      </c>
      <c r="CE193" s="158">
        <f t="shared" si="100"/>
        <v>505000000</v>
      </c>
      <c r="CF193" s="158">
        <f t="shared" si="100"/>
        <v>471310462</v>
      </c>
      <c r="CG193" s="158">
        <f t="shared" si="100"/>
        <v>467604612</v>
      </c>
      <c r="CH193" s="158">
        <f t="shared" si="100"/>
        <v>0</v>
      </c>
      <c r="CI193" s="158">
        <f t="shared" si="100"/>
        <v>0</v>
      </c>
      <c r="CJ193" s="158">
        <f t="shared" si="100"/>
        <v>0</v>
      </c>
      <c r="CK193" s="158">
        <f t="shared" si="100"/>
        <v>0</v>
      </c>
      <c r="CL193" s="158">
        <f t="shared" si="100"/>
        <v>0</v>
      </c>
      <c r="CM193" s="158">
        <f t="shared" si="100"/>
        <v>0</v>
      </c>
      <c r="CN193" s="158">
        <f t="shared" si="100"/>
        <v>0</v>
      </c>
      <c r="CO193" s="158">
        <f t="shared" si="100"/>
        <v>0</v>
      </c>
      <c r="CP193" s="158">
        <f t="shared" si="100"/>
        <v>0</v>
      </c>
      <c r="CQ193" s="158">
        <f t="shared" si="100"/>
        <v>0</v>
      </c>
      <c r="CR193" s="158">
        <f t="shared" si="100"/>
        <v>0</v>
      </c>
      <c r="CS193" s="158">
        <f t="shared" si="100"/>
        <v>0</v>
      </c>
      <c r="CT193" s="158">
        <f>SUM(CT190:CT192)</f>
        <v>505000000</v>
      </c>
      <c r="CU193" s="158">
        <f>SUM(CU190:CU192)</f>
        <v>471310462</v>
      </c>
      <c r="CV193" s="158">
        <f>SUM(CV190:CV192)</f>
        <v>467604612</v>
      </c>
    </row>
    <row r="194" spans="1:100" s="27" customFormat="1" ht="20.25" customHeight="1" x14ac:dyDescent="0.25">
      <c r="A194" s="292"/>
      <c r="B194" s="28"/>
      <c r="C194" s="949"/>
      <c r="D194" s="177"/>
      <c r="E194" s="949"/>
      <c r="F194" s="949"/>
      <c r="G194" s="221"/>
      <c r="H194" s="930"/>
      <c r="I194" s="299"/>
      <c r="J194" s="178"/>
      <c r="K194" s="178"/>
      <c r="L194" s="850"/>
      <c r="M194" s="178"/>
      <c r="N194" s="179"/>
      <c r="O194" s="177"/>
      <c r="P194" s="949"/>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0"/>
      <c r="BS194" s="180"/>
      <c r="BT194" s="180"/>
      <c r="BU194" s="180"/>
      <c r="BV194" s="180"/>
      <c r="BW194" s="180"/>
      <c r="BX194" s="180"/>
      <c r="BY194" s="180"/>
      <c r="BZ194" s="180"/>
      <c r="CA194" s="180"/>
      <c r="CB194" s="180"/>
      <c r="CC194" s="180"/>
      <c r="CD194" s="180"/>
      <c r="CE194" s="182"/>
      <c r="CF194" s="182"/>
      <c r="CG194" s="182"/>
      <c r="CH194" s="183"/>
      <c r="CI194" s="183"/>
      <c r="CJ194" s="183"/>
      <c r="CK194" s="180"/>
      <c r="CL194" s="180"/>
      <c r="CM194" s="180"/>
      <c r="CN194" s="180"/>
      <c r="CO194" s="180"/>
      <c r="CP194" s="180"/>
      <c r="CQ194" s="180"/>
      <c r="CR194" s="180"/>
      <c r="CS194" s="180"/>
      <c r="CT194" s="25"/>
      <c r="CU194" s="76"/>
      <c r="CV194" s="76"/>
    </row>
    <row r="195" spans="1:100" ht="27" customHeight="1" x14ac:dyDescent="0.25">
      <c r="A195" s="292"/>
      <c r="B195" s="28"/>
      <c r="C195" s="213"/>
      <c r="D195" s="928"/>
      <c r="E195" s="929"/>
      <c r="F195" s="929"/>
      <c r="G195" s="188">
        <v>86</v>
      </c>
      <c r="H195" s="189" t="s">
        <v>234</v>
      </c>
      <c r="I195" s="189"/>
      <c r="J195" s="189"/>
      <c r="K195" s="189"/>
      <c r="L195" s="840"/>
      <c r="M195" s="189"/>
      <c r="N195" s="684"/>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89"/>
      <c r="BD195" s="189"/>
      <c r="BE195" s="189"/>
      <c r="BF195" s="189"/>
      <c r="BG195" s="189"/>
      <c r="BH195" s="189"/>
      <c r="BI195" s="189"/>
      <c r="BJ195" s="189"/>
      <c r="BK195" s="189"/>
      <c r="BL195" s="189"/>
      <c r="BM195" s="189"/>
      <c r="BN195" s="189"/>
      <c r="BO195" s="189"/>
      <c r="BP195" s="189"/>
      <c r="BQ195" s="189"/>
      <c r="BR195" s="189"/>
      <c r="BS195" s="189"/>
      <c r="BT195" s="189"/>
      <c r="BU195" s="189"/>
      <c r="BV195" s="189"/>
      <c r="BW195" s="189"/>
      <c r="BX195" s="189"/>
      <c r="BY195" s="189"/>
      <c r="BZ195" s="189"/>
      <c r="CA195" s="189"/>
      <c r="CB195" s="189"/>
      <c r="CC195" s="189"/>
      <c r="CD195" s="189"/>
      <c r="CE195" s="190"/>
      <c r="CF195" s="190"/>
      <c r="CG195" s="190"/>
      <c r="CH195" s="189"/>
      <c r="CI195" s="189"/>
      <c r="CJ195" s="189"/>
      <c r="CK195" s="189"/>
      <c r="CL195" s="189"/>
      <c r="CM195" s="189"/>
      <c r="CN195" s="189"/>
      <c r="CO195" s="189"/>
      <c r="CP195" s="189"/>
      <c r="CQ195" s="189"/>
      <c r="CR195" s="189"/>
      <c r="CS195" s="189"/>
      <c r="CT195" s="522"/>
      <c r="CU195" s="522"/>
      <c r="CV195" s="522"/>
    </row>
    <row r="196" spans="1:100" ht="85.5" customHeight="1" x14ac:dyDescent="0.25">
      <c r="A196" s="292"/>
      <c r="B196" s="28"/>
      <c r="C196" s="927">
        <v>37</v>
      </c>
      <c r="D196" s="928" t="s">
        <v>225</v>
      </c>
      <c r="E196" s="929">
        <v>54.61</v>
      </c>
      <c r="F196" s="929">
        <v>60</v>
      </c>
      <c r="G196" s="22"/>
      <c r="H196" s="929">
        <v>255</v>
      </c>
      <c r="I196" s="5" t="s">
        <v>235</v>
      </c>
      <c r="J196" s="23">
        <v>12</v>
      </c>
      <c r="K196" s="23">
        <v>12</v>
      </c>
      <c r="L196" s="904">
        <v>12</v>
      </c>
      <c r="M196" s="24" t="s">
        <v>66</v>
      </c>
      <c r="N196" s="36" t="s">
        <v>236</v>
      </c>
      <c r="O196" s="928" t="s">
        <v>237</v>
      </c>
      <c r="P196" s="56" t="s">
        <v>38</v>
      </c>
      <c r="Q196" s="25">
        <v>0</v>
      </c>
      <c r="R196" s="25"/>
      <c r="S196" s="25"/>
      <c r="T196" s="25">
        <v>0</v>
      </c>
      <c r="U196" s="25"/>
      <c r="V196" s="25"/>
      <c r="W196" s="25">
        <v>0</v>
      </c>
      <c r="X196" s="25"/>
      <c r="Y196" s="25"/>
      <c r="Z196" s="25">
        <v>0</v>
      </c>
      <c r="AA196" s="25"/>
      <c r="AB196" s="25"/>
      <c r="AC196" s="25">
        <v>0</v>
      </c>
      <c r="AD196" s="25"/>
      <c r="AE196" s="25"/>
      <c r="AF196" s="25">
        <v>0</v>
      </c>
      <c r="AG196" s="25"/>
      <c r="AH196" s="25"/>
      <c r="AI196" s="25">
        <v>0</v>
      </c>
      <c r="AJ196" s="25"/>
      <c r="AK196" s="25"/>
      <c r="AL196" s="25"/>
      <c r="AM196" s="25"/>
      <c r="AN196" s="25"/>
      <c r="AO196" s="25"/>
      <c r="AP196" s="25"/>
      <c r="AQ196" s="25"/>
      <c r="AR196" s="25"/>
      <c r="AS196" s="25"/>
      <c r="AT196" s="25"/>
      <c r="AU196" s="25">
        <v>0</v>
      </c>
      <c r="AV196" s="25"/>
      <c r="AW196" s="25"/>
      <c r="AX196" s="25"/>
      <c r="AY196" s="25"/>
      <c r="AZ196" s="25"/>
      <c r="BA196" s="25">
        <v>0</v>
      </c>
      <c r="BB196" s="25"/>
      <c r="BC196" s="25"/>
      <c r="BD196" s="25">
        <v>0</v>
      </c>
      <c r="BE196" s="25"/>
      <c r="BF196" s="25"/>
      <c r="BG196" s="250"/>
      <c r="BH196" s="250"/>
      <c r="BI196" s="250"/>
      <c r="BJ196" s="250"/>
      <c r="BK196" s="250"/>
      <c r="BL196" s="250"/>
      <c r="BM196" s="250"/>
      <c r="BN196" s="250"/>
      <c r="BO196" s="250"/>
      <c r="BP196" s="250"/>
      <c r="BQ196" s="250"/>
      <c r="BR196" s="250"/>
      <c r="BS196" s="250"/>
      <c r="BT196" s="250"/>
      <c r="BU196" s="250"/>
      <c r="BV196" s="250"/>
      <c r="BW196" s="250"/>
      <c r="BX196" s="250"/>
      <c r="BY196" s="25">
        <v>0</v>
      </c>
      <c r="BZ196" s="25"/>
      <c r="CA196" s="25"/>
      <c r="CB196" s="25">
        <v>0</v>
      </c>
      <c r="CC196" s="26"/>
      <c r="CD196" s="26"/>
      <c r="CE196" s="112">
        <f>80000000+20500000</f>
        <v>100500000</v>
      </c>
      <c r="CF196" s="112">
        <v>95455000</v>
      </c>
      <c r="CG196" s="112">
        <v>95455000</v>
      </c>
      <c r="CH196" s="9"/>
      <c r="CI196" s="9"/>
      <c r="CJ196" s="9"/>
      <c r="CK196" s="25">
        <v>0</v>
      </c>
      <c r="CL196" s="26"/>
      <c r="CM196" s="26"/>
      <c r="CN196" s="26">
        <v>0</v>
      </c>
      <c r="CO196" s="26"/>
      <c r="CP196" s="26"/>
      <c r="CQ196" s="26"/>
      <c r="CR196" s="26"/>
      <c r="CS196" s="26"/>
      <c r="CT196" s="25">
        <f>Q196+T196+W196+Z196+AC196+AF196+AI196+AL196+AO196+AR196+AU196+AX196+BA196+BD196+BG196+BJ196+BM196+BP196+BS196+BV196+BY196+CB196+CE196+CH196+CK196+CQ196+CN196</f>
        <v>100500000</v>
      </c>
      <c r="CU196" s="25">
        <f>R196+U196+X196+AA196+AD196+AG196+AJ196+AM196+AP196+AS196+AV196+AY196+BB196+BE196+BH196+BK196+BN196+BQ196+BT196+BW196+BZ196+CC196+CF196+CI196+CL196+CR196+CO196</f>
        <v>95455000</v>
      </c>
      <c r="CV196" s="25">
        <f>S196+V196+Y196+AB196+AE196+AH196+AK196+AN196+AQ196+AT196+AW196+AZ196+BC196+BF196+BI196+BL196+BO196+BR196+BU196+BX196+CA196+CD196+CG196+CJ196+CM196+CS196+CP196</f>
        <v>95455000</v>
      </c>
    </row>
    <row r="197" spans="1:100" s="46" customFormat="1" ht="27" customHeight="1" x14ac:dyDescent="0.25">
      <c r="A197" s="292"/>
      <c r="B197" s="29"/>
      <c r="C197" s="927"/>
      <c r="D197" s="928"/>
      <c r="E197" s="929"/>
      <c r="F197" s="929"/>
      <c r="G197" s="154"/>
      <c r="H197" s="155"/>
      <c r="I197" s="154"/>
      <c r="J197" s="156"/>
      <c r="K197" s="156"/>
      <c r="L197" s="156"/>
      <c r="M197" s="156"/>
      <c r="N197" s="157"/>
      <c r="O197" s="154"/>
      <c r="P197" s="155"/>
      <c r="Q197" s="158">
        <f>SUM(Q196:Q196)</f>
        <v>0</v>
      </c>
      <c r="R197" s="158">
        <f t="shared" ref="R197:CC197" si="101">SUM(R196:R196)</f>
        <v>0</v>
      </c>
      <c r="S197" s="158">
        <f t="shared" si="101"/>
        <v>0</v>
      </c>
      <c r="T197" s="158">
        <f t="shared" si="101"/>
        <v>0</v>
      </c>
      <c r="U197" s="158">
        <f t="shared" si="101"/>
        <v>0</v>
      </c>
      <c r="V197" s="158">
        <f t="shared" si="101"/>
        <v>0</v>
      </c>
      <c r="W197" s="158">
        <f t="shared" si="101"/>
        <v>0</v>
      </c>
      <c r="X197" s="158">
        <f t="shared" si="101"/>
        <v>0</v>
      </c>
      <c r="Y197" s="158">
        <f t="shared" si="101"/>
        <v>0</v>
      </c>
      <c r="Z197" s="158">
        <f t="shared" si="101"/>
        <v>0</v>
      </c>
      <c r="AA197" s="158">
        <f t="shared" si="101"/>
        <v>0</v>
      </c>
      <c r="AB197" s="158">
        <f t="shared" si="101"/>
        <v>0</v>
      </c>
      <c r="AC197" s="158">
        <f t="shared" si="101"/>
        <v>0</v>
      </c>
      <c r="AD197" s="158">
        <f t="shared" si="101"/>
        <v>0</v>
      </c>
      <c r="AE197" s="158">
        <f t="shared" si="101"/>
        <v>0</v>
      </c>
      <c r="AF197" s="158">
        <f t="shared" si="101"/>
        <v>0</v>
      </c>
      <c r="AG197" s="158">
        <f t="shared" si="101"/>
        <v>0</v>
      </c>
      <c r="AH197" s="158">
        <f t="shared" si="101"/>
        <v>0</v>
      </c>
      <c r="AI197" s="158">
        <f t="shared" si="101"/>
        <v>0</v>
      </c>
      <c r="AJ197" s="158">
        <f t="shared" si="101"/>
        <v>0</v>
      </c>
      <c r="AK197" s="158">
        <f t="shared" si="101"/>
        <v>0</v>
      </c>
      <c r="AL197" s="158">
        <f t="shared" si="101"/>
        <v>0</v>
      </c>
      <c r="AM197" s="158">
        <f t="shared" si="101"/>
        <v>0</v>
      </c>
      <c r="AN197" s="158">
        <f t="shared" si="101"/>
        <v>0</v>
      </c>
      <c r="AO197" s="158">
        <f t="shared" si="101"/>
        <v>0</v>
      </c>
      <c r="AP197" s="158">
        <f t="shared" si="101"/>
        <v>0</v>
      </c>
      <c r="AQ197" s="158">
        <f t="shared" si="101"/>
        <v>0</v>
      </c>
      <c r="AR197" s="158">
        <f t="shared" si="101"/>
        <v>0</v>
      </c>
      <c r="AS197" s="158">
        <f t="shared" si="101"/>
        <v>0</v>
      </c>
      <c r="AT197" s="158">
        <f t="shared" si="101"/>
        <v>0</v>
      </c>
      <c r="AU197" s="158">
        <f t="shared" si="101"/>
        <v>0</v>
      </c>
      <c r="AV197" s="158">
        <f t="shared" si="101"/>
        <v>0</v>
      </c>
      <c r="AW197" s="158">
        <f t="shared" si="101"/>
        <v>0</v>
      </c>
      <c r="AX197" s="158">
        <f t="shared" si="101"/>
        <v>0</v>
      </c>
      <c r="AY197" s="158">
        <f t="shared" si="101"/>
        <v>0</v>
      </c>
      <c r="AZ197" s="158">
        <f t="shared" si="101"/>
        <v>0</v>
      </c>
      <c r="BA197" s="158">
        <f t="shared" si="101"/>
        <v>0</v>
      </c>
      <c r="BB197" s="158">
        <f t="shared" si="101"/>
        <v>0</v>
      </c>
      <c r="BC197" s="158">
        <f t="shared" si="101"/>
        <v>0</v>
      </c>
      <c r="BD197" s="158">
        <f t="shared" si="101"/>
        <v>0</v>
      </c>
      <c r="BE197" s="158">
        <f t="shared" si="101"/>
        <v>0</v>
      </c>
      <c r="BF197" s="158">
        <f t="shared" si="101"/>
        <v>0</v>
      </c>
      <c r="BG197" s="158">
        <f t="shared" si="101"/>
        <v>0</v>
      </c>
      <c r="BH197" s="158">
        <f t="shared" si="101"/>
        <v>0</v>
      </c>
      <c r="BI197" s="158">
        <f t="shared" si="101"/>
        <v>0</v>
      </c>
      <c r="BJ197" s="158">
        <f t="shared" si="101"/>
        <v>0</v>
      </c>
      <c r="BK197" s="158">
        <f t="shared" si="101"/>
        <v>0</v>
      </c>
      <c r="BL197" s="158">
        <f t="shared" si="101"/>
        <v>0</v>
      </c>
      <c r="BM197" s="158">
        <f t="shared" si="101"/>
        <v>0</v>
      </c>
      <c r="BN197" s="158">
        <f t="shared" si="101"/>
        <v>0</v>
      </c>
      <c r="BO197" s="158">
        <f t="shared" si="101"/>
        <v>0</v>
      </c>
      <c r="BP197" s="158">
        <f t="shared" si="101"/>
        <v>0</v>
      </c>
      <c r="BQ197" s="158">
        <f t="shared" si="101"/>
        <v>0</v>
      </c>
      <c r="BR197" s="158">
        <f t="shared" si="101"/>
        <v>0</v>
      </c>
      <c r="BS197" s="158">
        <f t="shared" si="101"/>
        <v>0</v>
      </c>
      <c r="BT197" s="158">
        <f t="shared" si="101"/>
        <v>0</v>
      </c>
      <c r="BU197" s="158">
        <f t="shared" si="101"/>
        <v>0</v>
      </c>
      <c r="BV197" s="158">
        <f t="shared" si="101"/>
        <v>0</v>
      </c>
      <c r="BW197" s="158">
        <f t="shared" si="101"/>
        <v>0</v>
      </c>
      <c r="BX197" s="158">
        <f t="shared" si="101"/>
        <v>0</v>
      </c>
      <c r="BY197" s="158">
        <f t="shared" si="101"/>
        <v>0</v>
      </c>
      <c r="BZ197" s="158">
        <f t="shared" si="101"/>
        <v>0</v>
      </c>
      <c r="CA197" s="158">
        <f t="shared" si="101"/>
        <v>0</v>
      </c>
      <c r="CB197" s="158">
        <f t="shared" si="101"/>
        <v>0</v>
      </c>
      <c r="CC197" s="158">
        <f t="shared" si="101"/>
        <v>0</v>
      </c>
      <c r="CD197" s="158">
        <f t="shared" ref="CD197:CS197" si="102">SUM(CD196:CD196)</f>
        <v>0</v>
      </c>
      <c r="CE197" s="158">
        <f t="shared" si="102"/>
        <v>100500000</v>
      </c>
      <c r="CF197" s="158">
        <f t="shared" si="102"/>
        <v>95455000</v>
      </c>
      <c r="CG197" s="158">
        <f t="shared" si="102"/>
        <v>95455000</v>
      </c>
      <c r="CH197" s="158">
        <f t="shared" si="102"/>
        <v>0</v>
      </c>
      <c r="CI197" s="158">
        <f t="shared" si="102"/>
        <v>0</v>
      </c>
      <c r="CJ197" s="158">
        <f t="shared" si="102"/>
        <v>0</v>
      </c>
      <c r="CK197" s="158">
        <f t="shared" si="102"/>
        <v>0</v>
      </c>
      <c r="CL197" s="158">
        <f t="shared" si="102"/>
        <v>0</v>
      </c>
      <c r="CM197" s="158">
        <f t="shared" si="102"/>
        <v>0</v>
      </c>
      <c r="CN197" s="158">
        <f t="shared" si="102"/>
        <v>0</v>
      </c>
      <c r="CO197" s="158">
        <f t="shared" si="102"/>
        <v>0</v>
      </c>
      <c r="CP197" s="158">
        <f t="shared" si="102"/>
        <v>0</v>
      </c>
      <c r="CQ197" s="158">
        <f t="shared" si="102"/>
        <v>0</v>
      </c>
      <c r="CR197" s="158">
        <f t="shared" si="102"/>
        <v>0</v>
      </c>
      <c r="CS197" s="158">
        <f t="shared" si="102"/>
        <v>0</v>
      </c>
      <c r="CT197" s="158">
        <f>SUM(CT196:CT196)</f>
        <v>100500000</v>
      </c>
      <c r="CU197" s="158">
        <f>SUM(CU196:CU196)</f>
        <v>95455000</v>
      </c>
      <c r="CV197" s="158">
        <f>SUM(CV196:CV196)</f>
        <v>95455000</v>
      </c>
    </row>
    <row r="198" spans="1:100" s="300" customFormat="1" ht="25.5" customHeight="1" x14ac:dyDescent="0.25">
      <c r="A198" s="212"/>
      <c r="B198" s="161"/>
      <c r="C198" s="218"/>
      <c r="D198" s="161"/>
      <c r="E198" s="162"/>
      <c r="F198" s="162"/>
      <c r="G198" s="161"/>
      <c r="H198" s="162"/>
      <c r="I198" s="161"/>
      <c r="J198" s="163"/>
      <c r="K198" s="163"/>
      <c r="L198" s="163"/>
      <c r="M198" s="163"/>
      <c r="N198" s="164"/>
      <c r="O198" s="161"/>
      <c r="P198" s="162"/>
      <c r="Q198" s="165">
        <f>Q197+Q193</f>
        <v>0</v>
      </c>
      <c r="R198" s="165">
        <f t="shared" ref="R198:CC198" si="103">R197+R193</f>
        <v>0</v>
      </c>
      <c r="S198" s="165">
        <f t="shared" si="103"/>
        <v>0</v>
      </c>
      <c r="T198" s="165">
        <f t="shared" si="103"/>
        <v>0</v>
      </c>
      <c r="U198" s="165">
        <f t="shared" si="103"/>
        <v>0</v>
      </c>
      <c r="V198" s="165">
        <f t="shared" si="103"/>
        <v>0</v>
      </c>
      <c r="W198" s="165">
        <f t="shared" si="103"/>
        <v>0</v>
      </c>
      <c r="X198" s="165">
        <f t="shared" si="103"/>
        <v>0</v>
      </c>
      <c r="Y198" s="165">
        <f t="shared" si="103"/>
        <v>0</v>
      </c>
      <c r="Z198" s="165">
        <f t="shared" si="103"/>
        <v>0</v>
      </c>
      <c r="AA198" s="165">
        <f t="shared" si="103"/>
        <v>0</v>
      </c>
      <c r="AB198" s="165">
        <f t="shared" si="103"/>
        <v>0</v>
      </c>
      <c r="AC198" s="165">
        <f t="shared" si="103"/>
        <v>0</v>
      </c>
      <c r="AD198" s="165">
        <f t="shared" si="103"/>
        <v>0</v>
      </c>
      <c r="AE198" s="165">
        <f t="shared" si="103"/>
        <v>0</v>
      </c>
      <c r="AF198" s="165">
        <f t="shared" si="103"/>
        <v>0</v>
      </c>
      <c r="AG198" s="165">
        <f t="shared" si="103"/>
        <v>0</v>
      </c>
      <c r="AH198" s="165">
        <f t="shared" si="103"/>
        <v>0</v>
      </c>
      <c r="AI198" s="165">
        <f t="shared" si="103"/>
        <v>0</v>
      </c>
      <c r="AJ198" s="165">
        <f t="shared" si="103"/>
        <v>0</v>
      </c>
      <c r="AK198" s="165">
        <f t="shared" si="103"/>
        <v>0</v>
      </c>
      <c r="AL198" s="165">
        <f t="shared" si="103"/>
        <v>0</v>
      </c>
      <c r="AM198" s="165">
        <f t="shared" si="103"/>
        <v>0</v>
      </c>
      <c r="AN198" s="165">
        <f t="shared" si="103"/>
        <v>0</v>
      </c>
      <c r="AO198" s="165">
        <f t="shared" si="103"/>
        <v>0</v>
      </c>
      <c r="AP198" s="165">
        <f t="shared" si="103"/>
        <v>0</v>
      </c>
      <c r="AQ198" s="165">
        <f t="shared" si="103"/>
        <v>0</v>
      </c>
      <c r="AR198" s="165">
        <f t="shared" si="103"/>
        <v>0</v>
      </c>
      <c r="AS198" s="165">
        <f t="shared" si="103"/>
        <v>0</v>
      </c>
      <c r="AT198" s="165">
        <f t="shared" si="103"/>
        <v>0</v>
      </c>
      <c r="AU198" s="165">
        <f t="shared" si="103"/>
        <v>0</v>
      </c>
      <c r="AV198" s="165">
        <f t="shared" si="103"/>
        <v>0</v>
      </c>
      <c r="AW198" s="165">
        <f t="shared" si="103"/>
        <v>0</v>
      </c>
      <c r="AX198" s="165">
        <f t="shared" si="103"/>
        <v>0</v>
      </c>
      <c r="AY198" s="165">
        <f t="shared" si="103"/>
        <v>0</v>
      </c>
      <c r="AZ198" s="165">
        <f t="shared" si="103"/>
        <v>0</v>
      </c>
      <c r="BA198" s="165">
        <f t="shared" si="103"/>
        <v>0</v>
      </c>
      <c r="BB198" s="165">
        <f t="shared" si="103"/>
        <v>0</v>
      </c>
      <c r="BC198" s="165">
        <f t="shared" si="103"/>
        <v>0</v>
      </c>
      <c r="BD198" s="165">
        <f t="shared" si="103"/>
        <v>0</v>
      </c>
      <c r="BE198" s="165">
        <f t="shared" si="103"/>
        <v>0</v>
      </c>
      <c r="BF198" s="165">
        <f t="shared" si="103"/>
        <v>0</v>
      </c>
      <c r="BG198" s="165">
        <f t="shared" si="103"/>
        <v>0</v>
      </c>
      <c r="BH198" s="165">
        <f t="shared" si="103"/>
        <v>0</v>
      </c>
      <c r="BI198" s="165">
        <f t="shared" si="103"/>
        <v>0</v>
      </c>
      <c r="BJ198" s="165">
        <f t="shared" si="103"/>
        <v>0</v>
      </c>
      <c r="BK198" s="165">
        <f t="shared" si="103"/>
        <v>0</v>
      </c>
      <c r="BL198" s="165">
        <f t="shared" si="103"/>
        <v>0</v>
      </c>
      <c r="BM198" s="165">
        <f t="shared" si="103"/>
        <v>0</v>
      </c>
      <c r="BN198" s="165">
        <f t="shared" si="103"/>
        <v>0</v>
      </c>
      <c r="BO198" s="165">
        <f t="shared" si="103"/>
        <v>0</v>
      </c>
      <c r="BP198" s="165">
        <f t="shared" si="103"/>
        <v>0</v>
      </c>
      <c r="BQ198" s="165">
        <f t="shared" si="103"/>
        <v>0</v>
      </c>
      <c r="BR198" s="165">
        <f t="shared" si="103"/>
        <v>0</v>
      </c>
      <c r="BS198" s="165">
        <f t="shared" si="103"/>
        <v>0</v>
      </c>
      <c r="BT198" s="165">
        <f t="shared" si="103"/>
        <v>0</v>
      </c>
      <c r="BU198" s="165">
        <f t="shared" si="103"/>
        <v>0</v>
      </c>
      <c r="BV198" s="165">
        <f t="shared" si="103"/>
        <v>0</v>
      </c>
      <c r="BW198" s="165">
        <f t="shared" si="103"/>
        <v>0</v>
      </c>
      <c r="BX198" s="165">
        <f t="shared" si="103"/>
        <v>0</v>
      </c>
      <c r="BY198" s="165">
        <f t="shared" si="103"/>
        <v>0</v>
      </c>
      <c r="BZ198" s="165">
        <f t="shared" si="103"/>
        <v>0</v>
      </c>
      <c r="CA198" s="165">
        <f t="shared" si="103"/>
        <v>0</v>
      </c>
      <c r="CB198" s="165">
        <f t="shared" si="103"/>
        <v>0</v>
      </c>
      <c r="CC198" s="165">
        <f t="shared" si="103"/>
        <v>0</v>
      </c>
      <c r="CD198" s="165">
        <f t="shared" ref="CD198:CS198" si="104">CD197+CD193</f>
        <v>0</v>
      </c>
      <c r="CE198" s="165">
        <f t="shared" si="104"/>
        <v>605500000</v>
      </c>
      <c r="CF198" s="165">
        <f t="shared" si="104"/>
        <v>566765462</v>
      </c>
      <c r="CG198" s="165">
        <f t="shared" si="104"/>
        <v>563059612</v>
      </c>
      <c r="CH198" s="165">
        <f t="shared" si="104"/>
        <v>0</v>
      </c>
      <c r="CI198" s="165">
        <f t="shared" si="104"/>
        <v>0</v>
      </c>
      <c r="CJ198" s="165">
        <f t="shared" si="104"/>
        <v>0</v>
      </c>
      <c r="CK198" s="165">
        <f t="shared" si="104"/>
        <v>0</v>
      </c>
      <c r="CL198" s="165">
        <f t="shared" si="104"/>
        <v>0</v>
      </c>
      <c r="CM198" s="165">
        <f t="shared" si="104"/>
        <v>0</v>
      </c>
      <c r="CN198" s="165">
        <f t="shared" si="104"/>
        <v>0</v>
      </c>
      <c r="CO198" s="165">
        <f t="shared" si="104"/>
        <v>0</v>
      </c>
      <c r="CP198" s="165">
        <f t="shared" si="104"/>
        <v>0</v>
      </c>
      <c r="CQ198" s="165">
        <f t="shared" si="104"/>
        <v>0</v>
      </c>
      <c r="CR198" s="165">
        <f t="shared" si="104"/>
        <v>0</v>
      </c>
      <c r="CS198" s="165">
        <f t="shared" si="104"/>
        <v>0</v>
      </c>
      <c r="CT198" s="165">
        <f>CT197+CT193</f>
        <v>605500000</v>
      </c>
      <c r="CU198" s="165">
        <f>CU197+CU193</f>
        <v>566765462</v>
      </c>
      <c r="CV198" s="165">
        <f>CV197+CV193</f>
        <v>563059612</v>
      </c>
    </row>
    <row r="199" spans="1:100" ht="24" customHeight="1" x14ac:dyDescent="0.25">
      <c r="A199" s="166"/>
      <c r="B199" s="166"/>
      <c r="C199" s="167"/>
      <c r="D199" s="166"/>
      <c r="E199" s="167"/>
      <c r="F199" s="167"/>
      <c r="G199" s="166"/>
      <c r="H199" s="167"/>
      <c r="I199" s="166"/>
      <c r="J199" s="168"/>
      <c r="K199" s="168"/>
      <c r="L199" s="168"/>
      <c r="M199" s="168"/>
      <c r="N199" s="169"/>
      <c r="O199" s="166"/>
      <c r="P199" s="167"/>
      <c r="Q199" s="170">
        <f>Q198+Q186</f>
        <v>0</v>
      </c>
      <c r="R199" s="170">
        <f t="shared" ref="R199:CC199" si="105">R198+R186</f>
        <v>0</v>
      </c>
      <c r="S199" s="170">
        <f t="shared" si="105"/>
        <v>0</v>
      </c>
      <c r="T199" s="170">
        <f t="shared" si="105"/>
        <v>0</v>
      </c>
      <c r="U199" s="170">
        <f t="shared" si="105"/>
        <v>0</v>
      </c>
      <c r="V199" s="170">
        <f t="shared" si="105"/>
        <v>0</v>
      </c>
      <c r="W199" s="170">
        <f t="shared" si="105"/>
        <v>0</v>
      </c>
      <c r="X199" s="170">
        <f t="shared" si="105"/>
        <v>0</v>
      </c>
      <c r="Y199" s="170">
        <f t="shared" si="105"/>
        <v>0</v>
      </c>
      <c r="Z199" s="170">
        <f t="shared" si="105"/>
        <v>0</v>
      </c>
      <c r="AA199" s="170">
        <f t="shared" si="105"/>
        <v>0</v>
      </c>
      <c r="AB199" s="170">
        <f t="shared" si="105"/>
        <v>0</v>
      </c>
      <c r="AC199" s="170">
        <f t="shared" si="105"/>
        <v>0</v>
      </c>
      <c r="AD199" s="170">
        <f t="shared" si="105"/>
        <v>0</v>
      </c>
      <c r="AE199" s="170">
        <f t="shared" si="105"/>
        <v>0</v>
      </c>
      <c r="AF199" s="170">
        <f t="shared" si="105"/>
        <v>0</v>
      </c>
      <c r="AG199" s="170">
        <f t="shared" si="105"/>
        <v>0</v>
      </c>
      <c r="AH199" s="170">
        <f t="shared" si="105"/>
        <v>0</v>
      </c>
      <c r="AI199" s="170">
        <f t="shared" si="105"/>
        <v>0</v>
      </c>
      <c r="AJ199" s="170">
        <f t="shared" si="105"/>
        <v>0</v>
      </c>
      <c r="AK199" s="170">
        <f t="shared" si="105"/>
        <v>0</v>
      </c>
      <c r="AL199" s="170">
        <f t="shared" si="105"/>
        <v>0</v>
      </c>
      <c r="AM199" s="170">
        <f t="shared" si="105"/>
        <v>0</v>
      </c>
      <c r="AN199" s="170">
        <f t="shared" si="105"/>
        <v>0</v>
      </c>
      <c r="AO199" s="170">
        <f t="shared" si="105"/>
        <v>0</v>
      </c>
      <c r="AP199" s="170">
        <f t="shared" si="105"/>
        <v>0</v>
      </c>
      <c r="AQ199" s="170">
        <f t="shared" si="105"/>
        <v>0</v>
      </c>
      <c r="AR199" s="170">
        <f t="shared" si="105"/>
        <v>0</v>
      </c>
      <c r="AS199" s="170">
        <f t="shared" si="105"/>
        <v>0</v>
      </c>
      <c r="AT199" s="170">
        <f t="shared" si="105"/>
        <v>0</v>
      </c>
      <c r="AU199" s="170">
        <f t="shared" si="105"/>
        <v>0</v>
      </c>
      <c r="AV199" s="170">
        <f t="shared" si="105"/>
        <v>0</v>
      </c>
      <c r="AW199" s="170">
        <f t="shared" si="105"/>
        <v>0</v>
      </c>
      <c r="AX199" s="170">
        <f t="shared" si="105"/>
        <v>0</v>
      </c>
      <c r="AY199" s="170">
        <f t="shared" si="105"/>
        <v>0</v>
      </c>
      <c r="AZ199" s="170">
        <f t="shared" si="105"/>
        <v>0</v>
      </c>
      <c r="BA199" s="170">
        <f t="shared" si="105"/>
        <v>0</v>
      </c>
      <c r="BB199" s="170">
        <f t="shared" si="105"/>
        <v>0</v>
      </c>
      <c r="BC199" s="170">
        <f t="shared" si="105"/>
        <v>0</v>
      </c>
      <c r="BD199" s="170">
        <f t="shared" si="105"/>
        <v>0</v>
      </c>
      <c r="BE199" s="170">
        <f t="shared" si="105"/>
        <v>0</v>
      </c>
      <c r="BF199" s="170">
        <f t="shared" si="105"/>
        <v>0</v>
      </c>
      <c r="BG199" s="170">
        <f t="shared" si="105"/>
        <v>0</v>
      </c>
      <c r="BH199" s="170">
        <f t="shared" si="105"/>
        <v>0</v>
      </c>
      <c r="BI199" s="170">
        <f t="shared" si="105"/>
        <v>0</v>
      </c>
      <c r="BJ199" s="170">
        <f t="shared" si="105"/>
        <v>0</v>
      </c>
      <c r="BK199" s="170">
        <f t="shared" si="105"/>
        <v>0</v>
      </c>
      <c r="BL199" s="170">
        <f t="shared" si="105"/>
        <v>0</v>
      </c>
      <c r="BM199" s="170">
        <f t="shared" si="105"/>
        <v>0</v>
      </c>
      <c r="BN199" s="170">
        <f t="shared" si="105"/>
        <v>0</v>
      </c>
      <c r="BO199" s="170">
        <f t="shared" si="105"/>
        <v>0</v>
      </c>
      <c r="BP199" s="170">
        <f t="shared" si="105"/>
        <v>0</v>
      </c>
      <c r="BQ199" s="170">
        <f t="shared" si="105"/>
        <v>0</v>
      </c>
      <c r="BR199" s="170">
        <f t="shared" si="105"/>
        <v>0</v>
      </c>
      <c r="BS199" s="170">
        <f t="shared" si="105"/>
        <v>0</v>
      </c>
      <c r="BT199" s="170">
        <f t="shared" si="105"/>
        <v>0</v>
      </c>
      <c r="BU199" s="170">
        <f t="shared" si="105"/>
        <v>0</v>
      </c>
      <c r="BV199" s="170">
        <f t="shared" si="105"/>
        <v>0</v>
      </c>
      <c r="BW199" s="170">
        <f t="shared" si="105"/>
        <v>0</v>
      </c>
      <c r="BX199" s="170">
        <f t="shared" si="105"/>
        <v>0</v>
      </c>
      <c r="BY199" s="170">
        <f t="shared" si="105"/>
        <v>0</v>
      </c>
      <c r="BZ199" s="170">
        <f t="shared" si="105"/>
        <v>0</v>
      </c>
      <c r="CA199" s="170">
        <f t="shared" si="105"/>
        <v>0</v>
      </c>
      <c r="CB199" s="170">
        <f t="shared" si="105"/>
        <v>0</v>
      </c>
      <c r="CC199" s="170">
        <f t="shared" si="105"/>
        <v>0</v>
      </c>
      <c r="CD199" s="170">
        <f t="shared" ref="CD199:CS199" si="106">CD198+CD186</f>
        <v>0</v>
      </c>
      <c r="CE199" s="170">
        <f t="shared" si="106"/>
        <v>645500000</v>
      </c>
      <c r="CF199" s="170">
        <f t="shared" si="106"/>
        <v>605618792</v>
      </c>
      <c r="CG199" s="170">
        <f t="shared" si="106"/>
        <v>601457942</v>
      </c>
      <c r="CH199" s="170">
        <f t="shared" si="106"/>
        <v>0</v>
      </c>
      <c r="CI199" s="170">
        <f t="shared" si="106"/>
        <v>0</v>
      </c>
      <c r="CJ199" s="170">
        <f t="shared" si="106"/>
        <v>0</v>
      </c>
      <c r="CK199" s="170">
        <f t="shared" si="106"/>
        <v>0</v>
      </c>
      <c r="CL199" s="170">
        <f t="shared" si="106"/>
        <v>0</v>
      </c>
      <c r="CM199" s="170">
        <f t="shared" si="106"/>
        <v>0</v>
      </c>
      <c r="CN199" s="170">
        <f t="shared" si="106"/>
        <v>0</v>
      </c>
      <c r="CO199" s="170">
        <f t="shared" si="106"/>
        <v>0</v>
      </c>
      <c r="CP199" s="170">
        <f t="shared" si="106"/>
        <v>0</v>
      </c>
      <c r="CQ199" s="170">
        <f t="shared" si="106"/>
        <v>0</v>
      </c>
      <c r="CR199" s="170">
        <f t="shared" si="106"/>
        <v>0</v>
      </c>
      <c r="CS199" s="170">
        <f t="shared" si="106"/>
        <v>0</v>
      </c>
      <c r="CT199" s="170">
        <f>CT198+CT186</f>
        <v>645500000</v>
      </c>
      <c r="CU199" s="170">
        <f>CU198+CU186</f>
        <v>605618792</v>
      </c>
      <c r="CV199" s="170">
        <f>CV198+CV186</f>
        <v>601457942</v>
      </c>
    </row>
    <row r="200" spans="1:100" ht="24" customHeight="1" x14ac:dyDescent="0.25">
      <c r="A200" s="171"/>
      <c r="B200" s="171"/>
      <c r="C200" s="172"/>
      <c r="D200" s="171"/>
      <c r="E200" s="172"/>
      <c r="F200" s="172"/>
      <c r="G200" s="171"/>
      <c r="H200" s="172"/>
      <c r="I200" s="171"/>
      <c r="J200" s="173"/>
      <c r="K200" s="173"/>
      <c r="L200" s="173"/>
      <c r="M200" s="173"/>
      <c r="N200" s="174"/>
      <c r="O200" s="171"/>
      <c r="P200" s="172"/>
      <c r="Q200" s="175">
        <f>Q199+Q179</f>
        <v>0</v>
      </c>
      <c r="R200" s="175">
        <f t="shared" ref="R200:CC200" si="107">R199+R179</f>
        <v>0</v>
      </c>
      <c r="S200" s="175">
        <f t="shared" si="107"/>
        <v>0</v>
      </c>
      <c r="T200" s="175">
        <f t="shared" si="107"/>
        <v>0</v>
      </c>
      <c r="U200" s="175">
        <f t="shared" si="107"/>
        <v>0</v>
      </c>
      <c r="V200" s="175">
        <f t="shared" si="107"/>
        <v>0</v>
      </c>
      <c r="W200" s="175">
        <f t="shared" si="107"/>
        <v>0</v>
      </c>
      <c r="X200" s="175">
        <f t="shared" si="107"/>
        <v>0</v>
      </c>
      <c r="Y200" s="175">
        <f t="shared" si="107"/>
        <v>0</v>
      </c>
      <c r="Z200" s="175">
        <f t="shared" si="107"/>
        <v>9145274815.1000004</v>
      </c>
      <c r="AA200" s="175">
        <f t="shared" si="107"/>
        <v>4878561676</v>
      </c>
      <c r="AB200" s="175">
        <f t="shared" si="107"/>
        <v>4749734437</v>
      </c>
      <c r="AC200" s="175">
        <f t="shared" si="107"/>
        <v>0</v>
      </c>
      <c r="AD200" s="175">
        <f t="shared" si="107"/>
        <v>0</v>
      </c>
      <c r="AE200" s="175">
        <f t="shared" si="107"/>
        <v>0</v>
      </c>
      <c r="AF200" s="175">
        <f t="shared" si="107"/>
        <v>0</v>
      </c>
      <c r="AG200" s="175">
        <f t="shared" si="107"/>
        <v>0</v>
      </c>
      <c r="AH200" s="175">
        <f t="shared" si="107"/>
        <v>0</v>
      </c>
      <c r="AI200" s="175">
        <f t="shared" si="107"/>
        <v>0</v>
      </c>
      <c r="AJ200" s="175">
        <f t="shared" si="107"/>
        <v>0</v>
      </c>
      <c r="AK200" s="175">
        <f t="shared" si="107"/>
        <v>0</v>
      </c>
      <c r="AL200" s="175">
        <f t="shared" si="107"/>
        <v>0</v>
      </c>
      <c r="AM200" s="175">
        <f t="shared" si="107"/>
        <v>0</v>
      </c>
      <c r="AN200" s="175">
        <f t="shared" si="107"/>
        <v>0</v>
      </c>
      <c r="AO200" s="175">
        <f t="shared" si="107"/>
        <v>0</v>
      </c>
      <c r="AP200" s="175">
        <f t="shared" si="107"/>
        <v>0</v>
      </c>
      <c r="AQ200" s="175">
        <f t="shared" si="107"/>
        <v>0</v>
      </c>
      <c r="AR200" s="175">
        <f t="shared" si="107"/>
        <v>0</v>
      </c>
      <c r="AS200" s="175">
        <f t="shared" si="107"/>
        <v>0</v>
      </c>
      <c r="AT200" s="175">
        <f t="shared" si="107"/>
        <v>0</v>
      </c>
      <c r="AU200" s="175">
        <f t="shared" si="107"/>
        <v>0</v>
      </c>
      <c r="AV200" s="175">
        <f t="shared" si="107"/>
        <v>0</v>
      </c>
      <c r="AW200" s="175">
        <f t="shared" si="107"/>
        <v>0</v>
      </c>
      <c r="AX200" s="175">
        <f t="shared" si="107"/>
        <v>0</v>
      </c>
      <c r="AY200" s="175">
        <f t="shared" si="107"/>
        <v>0</v>
      </c>
      <c r="AZ200" s="175">
        <f t="shared" si="107"/>
        <v>0</v>
      </c>
      <c r="BA200" s="175">
        <f t="shared" si="107"/>
        <v>0</v>
      </c>
      <c r="BB200" s="175">
        <f t="shared" si="107"/>
        <v>0</v>
      </c>
      <c r="BC200" s="175">
        <f t="shared" si="107"/>
        <v>0</v>
      </c>
      <c r="BD200" s="175">
        <f t="shared" si="107"/>
        <v>0</v>
      </c>
      <c r="BE200" s="175">
        <f t="shared" si="107"/>
        <v>0</v>
      </c>
      <c r="BF200" s="175">
        <f t="shared" si="107"/>
        <v>0</v>
      </c>
      <c r="BG200" s="175">
        <f t="shared" si="107"/>
        <v>0</v>
      </c>
      <c r="BH200" s="175">
        <f t="shared" si="107"/>
        <v>0</v>
      </c>
      <c r="BI200" s="175">
        <f t="shared" si="107"/>
        <v>0</v>
      </c>
      <c r="BJ200" s="175">
        <f t="shared" si="107"/>
        <v>0</v>
      </c>
      <c r="BK200" s="175">
        <f t="shared" si="107"/>
        <v>0</v>
      </c>
      <c r="BL200" s="175">
        <f t="shared" si="107"/>
        <v>0</v>
      </c>
      <c r="BM200" s="175">
        <f t="shared" si="107"/>
        <v>0</v>
      </c>
      <c r="BN200" s="175">
        <f t="shared" si="107"/>
        <v>0</v>
      </c>
      <c r="BO200" s="175">
        <f t="shared" si="107"/>
        <v>0</v>
      </c>
      <c r="BP200" s="175">
        <f t="shared" si="107"/>
        <v>0</v>
      </c>
      <c r="BQ200" s="175">
        <f t="shared" si="107"/>
        <v>0</v>
      </c>
      <c r="BR200" s="175">
        <f t="shared" si="107"/>
        <v>0</v>
      </c>
      <c r="BS200" s="175">
        <f t="shared" si="107"/>
        <v>0</v>
      </c>
      <c r="BT200" s="175">
        <f t="shared" si="107"/>
        <v>0</v>
      </c>
      <c r="BU200" s="175">
        <f t="shared" si="107"/>
        <v>0</v>
      </c>
      <c r="BV200" s="175">
        <f t="shared" si="107"/>
        <v>0</v>
      </c>
      <c r="BW200" s="175">
        <f t="shared" si="107"/>
        <v>0</v>
      </c>
      <c r="BX200" s="175">
        <f t="shared" si="107"/>
        <v>0</v>
      </c>
      <c r="BY200" s="175">
        <f t="shared" si="107"/>
        <v>0</v>
      </c>
      <c r="BZ200" s="175">
        <f t="shared" si="107"/>
        <v>0</v>
      </c>
      <c r="CA200" s="175">
        <f t="shared" si="107"/>
        <v>0</v>
      </c>
      <c r="CB200" s="175">
        <f t="shared" si="107"/>
        <v>0</v>
      </c>
      <c r="CC200" s="175">
        <f t="shared" si="107"/>
        <v>0</v>
      </c>
      <c r="CD200" s="175">
        <f t="shared" ref="CD200:CS200" si="108">CD199+CD179</f>
        <v>0</v>
      </c>
      <c r="CE200" s="175">
        <f t="shared" si="108"/>
        <v>2204349776</v>
      </c>
      <c r="CF200" s="175">
        <f t="shared" si="108"/>
        <v>1668887374</v>
      </c>
      <c r="CG200" s="175">
        <f t="shared" si="108"/>
        <v>1658895598</v>
      </c>
      <c r="CH200" s="175">
        <f t="shared" si="108"/>
        <v>0</v>
      </c>
      <c r="CI200" s="175">
        <f t="shared" si="108"/>
        <v>0</v>
      </c>
      <c r="CJ200" s="175">
        <f t="shared" si="108"/>
        <v>0</v>
      </c>
      <c r="CK200" s="175">
        <f t="shared" si="108"/>
        <v>0</v>
      </c>
      <c r="CL200" s="175">
        <f t="shared" si="108"/>
        <v>0</v>
      </c>
      <c r="CM200" s="175">
        <f t="shared" si="108"/>
        <v>0</v>
      </c>
      <c r="CN200" s="175">
        <f t="shared" si="108"/>
        <v>0</v>
      </c>
      <c r="CO200" s="175">
        <f t="shared" si="108"/>
        <v>0</v>
      </c>
      <c r="CP200" s="175">
        <f t="shared" si="108"/>
        <v>0</v>
      </c>
      <c r="CQ200" s="175">
        <f t="shared" si="108"/>
        <v>0</v>
      </c>
      <c r="CR200" s="175">
        <f t="shared" si="108"/>
        <v>0</v>
      </c>
      <c r="CS200" s="175">
        <f t="shared" si="108"/>
        <v>0</v>
      </c>
      <c r="CT200" s="856">
        <f>CT199+CT179</f>
        <v>11349624591.1</v>
      </c>
      <c r="CU200" s="175">
        <f>CU199+CU179</f>
        <v>6547449050</v>
      </c>
      <c r="CV200" s="175">
        <f>CV199+CV179</f>
        <v>6408630035</v>
      </c>
    </row>
    <row r="201" spans="1:100" s="27" customFormat="1" ht="21" customHeight="1" x14ac:dyDescent="0.25">
      <c r="A201" s="228"/>
      <c r="B201" s="221"/>
      <c r="C201" s="930"/>
      <c r="D201" s="221"/>
      <c r="E201" s="930"/>
      <c r="F201" s="930"/>
      <c r="G201" s="221"/>
      <c r="H201" s="930"/>
      <c r="I201" s="221"/>
      <c r="J201" s="229"/>
      <c r="K201" s="229"/>
      <c r="L201" s="229"/>
      <c r="M201" s="229"/>
      <c r="N201" s="230"/>
      <c r="O201" s="221"/>
      <c r="P201" s="930"/>
      <c r="Q201" s="231"/>
      <c r="R201" s="703"/>
      <c r="S201" s="703"/>
      <c r="T201" s="231"/>
      <c r="U201" s="703"/>
      <c r="V201" s="703"/>
      <c r="W201" s="231"/>
      <c r="X201" s="703"/>
      <c r="Y201" s="703"/>
      <c r="Z201" s="231"/>
      <c r="AA201" s="703"/>
      <c r="AB201" s="703"/>
      <c r="AC201" s="231"/>
      <c r="AD201" s="703"/>
      <c r="AE201" s="703"/>
      <c r="AF201" s="231"/>
      <c r="AG201" s="703"/>
      <c r="AH201" s="703"/>
      <c r="AI201" s="231"/>
      <c r="AJ201" s="703"/>
      <c r="AK201" s="703"/>
      <c r="AL201" s="231"/>
      <c r="AM201" s="703"/>
      <c r="AN201" s="703"/>
      <c r="AO201" s="231"/>
      <c r="AP201" s="703"/>
      <c r="AQ201" s="703"/>
      <c r="AR201" s="231"/>
      <c r="AS201" s="703"/>
      <c r="AT201" s="703"/>
      <c r="AU201" s="231"/>
      <c r="AV201" s="703"/>
      <c r="AW201" s="703"/>
      <c r="AX201" s="231"/>
      <c r="AY201" s="703"/>
      <c r="AZ201" s="703"/>
      <c r="BA201" s="231"/>
      <c r="BB201" s="703"/>
      <c r="BC201" s="703"/>
      <c r="BD201" s="231"/>
      <c r="BE201" s="703"/>
      <c r="BF201" s="703"/>
      <c r="BG201" s="232"/>
      <c r="BH201" s="713"/>
      <c r="BI201" s="713"/>
      <c r="BJ201" s="232"/>
      <c r="BK201" s="713"/>
      <c r="BL201" s="713"/>
      <c r="BM201" s="232"/>
      <c r="BN201" s="713"/>
      <c r="BO201" s="713"/>
      <c r="BP201" s="232"/>
      <c r="BQ201" s="713"/>
      <c r="BR201" s="713"/>
      <c r="BS201" s="232"/>
      <c r="BT201" s="713"/>
      <c r="BU201" s="713"/>
      <c r="BV201" s="232"/>
      <c r="BW201" s="713"/>
      <c r="BX201" s="713"/>
      <c r="BY201" s="231"/>
      <c r="BZ201" s="703"/>
      <c r="CA201" s="703"/>
      <c r="CB201" s="231"/>
      <c r="CC201" s="703"/>
      <c r="CD201" s="703"/>
      <c r="CE201" s="110"/>
      <c r="CF201" s="714"/>
      <c r="CG201" s="714"/>
      <c r="CH201" s="301"/>
      <c r="CI201" s="723"/>
      <c r="CJ201" s="723"/>
      <c r="CK201" s="231"/>
      <c r="CL201" s="703"/>
      <c r="CM201" s="703"/>
      <c r="CN201" s="231"/>
      <c r="CO201" s="703"/>
      <c r="CP201" s="703"/>
      <c r="CQ201" s="231"/>
      <c r="CR201" s="703"/>
      <c r="CS201" s="703"/>
      <c r="CT201" s="970"/>
      <c r="CU201" s="970"/>
      <c r="CV201" s="970"/>
    </row>
    <row r="202" spans="1:100" ht="20.25" x14ac:dyDescent="0.25">
      <c r="A202" s="234" t="s">
        <v>238</v>
      </c>
      <c r="B202" s="235"/>
      <c r="C202" s="236"/>
      <c r="D202" s="235"/>
      <c r="E202" s="235"/>
      <c r="F202" s="235"/>
      <c r="G202" s="235"/>
      <c r="H202" s="236"/>
      <c r="I202" s="235"/>
      <c r="J202" s="235"/>
      <c r="K202" s="235"/>
      <c r="L202" s="235"/>
      <c r="M202" s="235"/>
      <c r="N202" s="681"/>
      <c r="O202" s="235"/>
      <c r="P202" s="236"/>
      <c r="Q202" s="235"/>
      <c r="R202" s="704"/>
      <c r="S202" s="704"/>
      <c r="T202" s="235"/>
      <c r="U202" s="704"/>
      <c r="V202" s="704"/>
      <c r="W202" s="235"/>
      <c r="X202" s="704"/>
      <c r="Y202" s="704"/>
      <c r="Z202" s="235"/>
      <c r="AA202" s="704"/>
      <c r="AB202" s="704"/>
      <c r="AC202" s="235"/>
      <c r="AD202" s="704"/>
      <c r="AE202" s="704"/>
      <c r="AF202" s="235"/>
      <c r="AG202" s="704"/>
      <c r="AH202" s="704"/>
      <c r="AI202" s="235"/>
      <c r="AJ202" s="704"/>
      <c r="AK202" s="704"/>
      <c r="AL202" s="235"/>
      <c r="AM202" s="704"/>
      <c r="AN202" s="704"/>
      <c r="AO202" s="235"/>
      <c r="AP202" s="704"/>
      <c r="AQ202" s="704"/>
      <c r="AR202" s="235"/>
      <c r="AS202" s="704"/>
      <c r="AT202" s="704"/>
      <c r="AU202" s="235"/>
      <c r="AV202" s="704"/>
      <c r="AW202" s="704"/>
      <c r="AX202" s="235"/>
      <c r="AY202" s="704"/>
      <c r="AZ202" s="704"/>
      <c r="BA202" s="235"/>
      <c r="BB202" s="704"/>
      <c r="BC202" s="704"/>
      <c r="BD202" s="235"/>
      <c r="BE202" s="704"/>
      <c r="BF202" s="704"/>
      <c r="BG202" s="235"/>
      <c r="BH202" s="704"/>
      <c r="BI202" s="704"/>
      <c r="BJ202" s="235"/>
      <c r="BK202" s="704"/>
      <c r="BL202" s="704"/>
      <c r="BM202" s="235"/>
      <c r="BN202" s="704"/>
      <c r="BO202" s="704"/>
      <c r="BP202" s="235"/>
      <c r="BQ202" s="704"/>
      <c r="BR202" s="704"/>
      <c r="BS202" s="235"/>
      <c r="BT202" s="704"/>
      <c r="BU202" s="704"/>
      <c r="BV202" s="235"/>
      <c r="BW202" s="704"/>
      <c r="BX202" s="704"/>
      <c r="BY202" s="235"/>
      <c r="BZ202" s="704"/>
      <c r="CA202" s="704"/>
      <c r="CB202" s="235"/>
      <c r="CC202" s="704"/>
      <c r="CD202" s="704"/>
      <c r="CE202" s="302"/>
      <c r="CF202" s="715"/>
      <c r="CG202" s="715"/>
      <c r="CH202" s="238"/>
      <c r="CI202" s="722"/>
      <c r="CJ202" s="722"/>
      <c r="CK202" s="235"/>
      <c r="CL202" s="704"/>
      <c r="CM202" s="704"/>
      <c r="CN202" s="235"/>
      <c r="CO202" s="704"/>
      <c r="CP202" s="704"/>
      <c r="CQ202" s="235"/>
      <c r="CR202" s="704"/>
      <c r="CS202" s="704"/>
      <c r="CT202" s="566" t="s">
        <v>0</v>
      </c>
      <c r="CU202" s="566" t="s">
        <v>0</v>
      </c>
      <c r="CV202" s="566" t="s">
        <v>0</v>
      </c>
    </row>
    <row r="203" spans="1:100" s="27" customFormat="1" ht="15" x14ac:dyDescent="0.25">
      <c r="A203" s="139">
        <v>3</v>
      </c>
      <c r="B203" s="140" t="s">
        <v>239</v>
      </c>
      <c r="C203" s="141"/>
      <c r="D203" s="140"/>
      <c r="E203" s="140"/>
      <c r="F203" s="140"/>
      <c r="G203" s="140"/>
      <c r="H203" s="141"/>
      <c r="I203" s="140"/>
      <c r="J203" s="140"/>
      <c r="K203" s="140"/>
      <c r="L203" s="140"/>
      <c r="M203" s="140"/>
      <c r="N203" s="676"/>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2"/>
      <c r="CF203" s="142"/>
      <c r="CG203" s="142"/>
      <c r="CH203" s="140"/>
      <c r="CI203" s="140"/>
      <c r="CJ203" s="140"/>
      <c r="CK203" s="140"/>
      <c r="CL203" s="140"/>
      <c r="CM203" s="140"/>
      <c r="CN203" s="140"/>
      <c r="CO203" s="140"/>
      <c r="CP203" s="140"/>
      <c r="CQ203" s="140"/>
      <c r="CR203" s="140"/>
      <c r="CS203" s="140"/>
      <c r="CT203" s="540"/>
      <c r="CU203" s="540"/>
      <c r="CV203" s="540"/>
    </row>
    <row r="204" spans="1:100" s="27" customFormat="1" ht="15" x14ac:dyDescent="0.25">
      <c r="A204" s="185"/>
      <c r="B204" s="239">
        <v>9</v>
      </c>
      <c r="C204" s="147" t="s">
        <v>240</v>
      </c>
      <c r="D204" s="146"/>
      <c r="E204" s="146"/>
      <c r="F204" s="146"/>
      <c r="G204" s="146"/>
      <c r="H204" s="147"/>
      <c r="I204" s="146"/>
      <c r="J204" s="146"/>
      <c r="K204" s="146"/>
      <c r="L204" s="146"/>
      <c r="M204" s="146"/>
      <c r="N204" s="677"/>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46"/>
      <c r="BV204" s="146"/>
      <c r="BW204" s="146"/>
      <c r="BX204" s="146"/>
      <c r="BY204" s="146"/>
      <c r="BZ204" s="146"/>
      <c r="CA204" s="146"/>
      <c r="CB204" s="146"/>
      <c r="CC204" s="146"/>
      <c r="CD204" s="146"/>
      <c r="CE204" s="148"/>
      <c r="CF204" s="148"/>
      <c r="CG204" s="148"/>
      <c r="CH204" s="146"/>
      <c r="CI204" s="146"/>
      <c r="CJ204" s="146"/>
      <c r="CK204" s="146"/>
      <c r="CL204" s="146"/>
      <c r="CM204" s="146"/>
      <c r="CN204" s="146"/>
      <c r="CO204" s="146"/>
      <c r="CP204" s="146"/>
      <c r="CQ204" s="146"/>
      <c r="CR204" s="146"/>
      <c r="CS204" s="146"/>
      <c r="CT204" s="526"/>
      <c r="CU204" s="526"/>
      <c r="CV204" s="526"/>
    </row>
    <row r="205" spans="1:100" s="27" customFormat="1" ht="15" x14ac:dyDescent="0.25">
      <c r="A205" s="19"/>
      <c r="B205" s="185"/>
      <c r="C205" s="240"/>
      <c r="D205" s="186"/>
      <c r="E205" s="186"/>
      <c r="F205" s="187"/>
      <c r="G205" s="188">
        <v>29</v>
      </c>
      <c r="H205" s="189" t="s">
        <v>241</v>
      </c>
      <c r="I205" s="189"/>
      <c r="J205" s="189"/>
      <c r="K205" s="189"/>
      <c r="L205" s="189"/>
      <c r="M205" s="189"/>
      <c r="N205" s="684"/>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c r="CE205" s="190"/>
      <c r="CF205" s="190"/>
      <c r="CG205" s="190"/>
      <c r="CH205" s="189"/>
      <c r="CI205" s="189"/>
      <c r="CJ205" s="189"/>
      <c r="CK205" s="189"/>
      <c r="CL205" s="189"/>
      <c r="CM205" s="189"/>
      <c r="CN205" s="189"/>
      <c r="CO205" s="189"/>
      <c r="CP205" s="189"/>
      <c r="CQ205" s="189"/>
      <c r="CR205" s="189"/>
      <c r="CS205" s="189"/>
      <c r="CT205" s="522"/>
      <c r="CU205" s="522"/>
      <c r="CV205" s="522"/>
    </row>
    <row r="206" spans="1:100" s="27" customFormat="1" ht="88.5" customHeight="1" x14ac:dyDescent="0.25">
      <c r="A206" s="19"/>
      <c r="B206" s="19"/>
      <c r="C206" s="921" t="s">
        <v>242</v>
      </c>
      <c r="D206" s="946" t="s">
        <v>243</v>
      </c>
      <c r="E206" s="947" t="s">
        <v>244</v>
      </c>
      <c r="F206" s="916" t="s">
        <v>245</v>
      </c>
      <c r="G206" s="916"/>
      <c r="H206" s="987">
        <v>114</v>
      </c>
      <c r="I206" s="919" t="s">
        <v>246</v>
      </c>
      <c r="J206" s="957" t="s">
        <v>30</v>
      </c>
      <c r="K206" s="916">
        <v>30</v>
      </c>
      <c r="L206" s="916">
        <v>31</v>
      </c>
      <c r="M206" s="916" t="s">
        <v>247</v>
      </c>
      <c r="N206" s="36" t="s">
        <v>248</v>
      </c>
      <c r="O206" s="918" t="s">
        <v>249</v>
      </c>
      <c r="P206" s="916" t="s">
        <v>38</v>
      </c>
      <c r="Q206" s="700">
        <f>158620000+737538491+5427554-10728309.58</f>
        <v>890857735.41999996</v>
      </c>
      <c r="R206" s="707"/>
      <c r="S206" s="7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303"/>
      <c r="CF206" s="303"/>
      <c r="CG206" s="303"/>
      <c r="CH206" s="304"/>
      <c r="CI206" s="304"/>
      <c r="CJ206" s="304"/>
      <c r="CK206" s="107"/>
      <c r="CL206" s="305"/>
      <c r="CM206" s="305"/>
      <c r="CN206" s="305"/>
      <c r="CO206" s="305"/>
      <c r="CP206" s="305"/>
      <c r="CQ206" s="305"/>
      <c r="CR206" s="305"/>
      <c r="CS206" s="305"/>
      <c r="CT206" s="25">
        <f t="shared" ref="CT206:CV209" si="109">Q206+T206+W206+Z206+AC206+AF206+AI206+AL206+AO206+AR206+AU206+AX206+BA206+BD206+BG206+BJ206+BM206+BP206+BS206+BV206+BY206+CB206+CE206+CH206+CK206+CQ206+CN206</f>
        <v>890857735.41999996</v>
      </c>
      <c r="CU206" s="25">
        <f t="shared" si="109"/>
        <v>0</v>
      </c>
      <c r="CV206" s="25">
        <f t="shared" si="109"/>
        <v>0</v>
      </c>
    </row>
    <row r="207" spans="1:100" s="27" customFormat="1" ht="88.5" customHeight="1" x14ac:dyDescent="0.25">
      <c r="A207" s="19"/>
      <c r="B207" s="19"/>
      <c r="C207" s="1032" t="s">
        <v>242</v>
      </c>
      <c r="D207" s="1109" t="s">
        <v>250</v>
      </c>
      <c r="E207" s="1155" t="s">
        <v>244</v>
      </c>
      <c r="F207" s="1021" t="s">
        <v>244</v>
      </c>
      <c r="G207" s="28"/>
      <c r="H207" s="916">
        <v>114</v>
      </c>
      <c r="I207" s="919" t="s">
        <v>246</v>
      </c>
      <c r="J207" s="957" t="s">
        <v>30</v>
      </c>
      <c r="K207" s="941">
        <v>30</v>
      </c>
      <c r="L207" s="4">
        <v>31</v>
      </c>
      <c r="M207" s="1021" t="s">
        <v>247</v>
      </c>
      <c r="N207" s="1018" t="s">
        <v>251</v>
      </c>
      <c r="O207" s="1012" t="s">
        <v>252</v>
      </c>
      <c r="P207" s="916" t="s">
        <v>38</v>
      </c>
      <c r="Q207" s="306">
        <v>0</v>
      </c>
      <c r="R207" s="708"/>
      <c r="S207" s="708"/>
      <c r="T207" s="43">
        <v>0</v>
      </c>
      <c r="U207" s="43"/>
      <c r="V207" s="43"/>
      <c r="W207" s="43">
        <v>0</v>
      </c>
      <c r="X207" s="43"/>
      <c r="Y207" s="43"/>
      <c r="Z207" s="43">
        <v>0</v>
      </c>
      <c r="AA207" s="43"/>
      <c r="AB207" s="43"/>
      <c r="AC207" s="43">
        <v>0</v>
      </c>
      <c r="AD207" s="43"/>
      <c r="AE207" s="43"/>
      <c r="AF207" s="43">
        <v>0</v>
      </c>
      <c r="AG207" s="43"/>
      <c r="AH207" s="43"/>
      <c r="AI207" s="43">
        <v>0</v>
      </c>
      <c r="AJ207" s="43"/>
      <c r="AK207" s="43"/>
      <c r="AL207" s="43"/>
      <c r="AM207" s="43"/>
      <c r="AN207" s="43"/>
      <c r="AO207" s="43"/>
      <c r="AP207" s="43"/>
      <c r="AQ207" s="43"/>
      <c r="AR207" s="43"/>
      <c r="AS207" s="43"/>
      <c r="AT207" s="43"/>
      <c r="AU207" s="43">
        <v>0</v>
      </c>
      <c r="AV207" s="43"/>
      <c r="AW207" s="43"/>
      <c r="AX207" s="43"/>
      <c r="AY207" s="43"/>
      <c r="AZ207" s="43"/>
      <c r="BA207" s="43">
        <v>0</v>
      </c>
      <c r="BB207" s="43"/>
      <c r="BC207" s="43"/>
      <c r="BD207" s="43">
        <v>0</v>
      </c>
      <c r="BE207" s="43"/>
      <c r="BF207" s="43"/>
      <c r="BG207" s="43"/>
      <c r="BH207" s="43"/>
      <c r="BI207" s="43"/>
      <c r="BJ207" s="43"/>
      <c r="BK207" s="43"/>
      <c r="BL207" s="43"/>
      <c r="BM207" s="43"/>
      <c r="BN207" s="43"/>
      <c r="BO207" s="43"/>
      <c r="BP207" s="43"/>
      <c r="BQ207" s="43"/>
      <c r="BR207" s="43"/>
      <c r="BS207" s="43"/>
      <c r="BT207" s="43"/>
      <c r="BU207" s="43"/>
      <c r="BV207" s="43"/>
      <c r="BW207" s="43"/>
      <c r="BX207" s="43"/>
      <c r="BY207" s="43">
        <v>0</v>
      </c>
      <c r="BZ207" s="43"/>
      <c r="CA207" s="43"/>
      <c r="CB207" s="43">
        <v>0</v>
      </c>
      <c r="CC207" s="43"/>
      <c r="CD207" s="43"/>
      <c r="CE207" s="303">
        <f>175100000+240000000+450000000+300000000+100000000</f>
        <v>1265100000</v>
      </c>
      <c r="CF207" s="303">
        <v>1251268167</v>
      </c>
      <c r="CG207" s="303">
        <v>1251268167</v>
      </c>
      <c r="CH207" s="304"/>
      <c r="CI207" s="304"/>
      <c r="CJ207" s="304"/>
      <c r="CK207" s="43">
        <v>0</v>
      </c>
      <c r="CL207" s="307"/>
      <c r="CM207" s="307"/>
      <c r="CN207" s="307">
        <v>0</v>
      </c>
      <c r="CO207" s="307"/>
      <c r="CP207" s="307"/>
      <c r="CQ207" s="307"/>
      <c r="CR207" s="307"/>
      <c r="CS207" s="307"/>
      <c r="CT207" s="25">
        <f t="shared" si="109"/>
        <v>1265100000</v>
      </c>
      <c r="CU207" s="25">
        <f t="shared" si="109"/>
        <v>1251268167</v>
      </c>
      <c r="CV207" s="25">
        <f t="shared" si="109"/>
        <v>1251268167</v>
      </c>
    </row>
    <row r="208" spans="1:100" s="27" customFormat="1" ht="68.25" customHeight="1" x14ac:dyDescent="0.25">
      <c r="A208" s="19"/>
      <c r="B208" s="19"/>
      <c r="C208" s="1038"/>
      <c r="D208" s="1110"/>
      <c r="E208" s="1156"/>
      <c r="F208" s="1023"/>
      <c r="G208" s="28"/>
      <c r="H208" s="916">
        <v>115</v>
      </c>
      <c r="I208" s="928" t="s">
        <v>253</v>
      </c>
      <c r="J208" s="30">
        <v>0</v>
      </c>
      <c r="K208" s="308">
        <v>35</v>
      </c>
      <c r="L208" s="64">
        <v>54</v>
      </c>
      <c r="M208" s="1023"/>
      <c r="N208" s="1018"/>
      <c r="O208" s="1020"/>
      <c r="P208" s="929" t="s">
        <v>34</v>
      </c>
      <c r="Q208" s="13">
        <f>793100000+566730870+27037773-53541550.99</f>
        <v>1333327092.01</v>
      </c>
      <c r="R208" s="13">
        <v>761010161.79999995</v>
      </c>
      <c r="S208" s="13">
        <v>761010161.79999995</v>
      </c>
      <c r="T208" s="25">
        <v>0</v>
      </c>
      <c r="U208" s="25"/>
      <c r="V208" s="25"/>
      <c r="W208" s="25">
        <v>0</v>
      </c>
      <c r="X208" s="25"/>
      <c r="Y208" s="25"/>
      <c r="Z208" s="25">
        <v>0</v>
      </c>
      <c r="AA208" s="25"/>
      <c r="AB208" s="25"/>
      <c r="AC208" s="25">
        <v>0</v>
      </c>
      <c r="AD208" s="25"/>
      <c r="AE208" s="25"/>
      <c r="AF208" s="25">
        <v>0</v>
      </c>
      <c r="AG208" s="25"/>
      <c r="AH208" s="25"/>
      <c r="AI208" s="25">
        <v>0</v>
      </c>
      <c r="AJ208" s="25"/>
      <c r="AK208" s="25"/>
      <c r="AL208" s="25"/>
      <c r="AM208" s="25"/>
      <c r="AN208" s="25"/>
      <c r="AO208" s="25"/>
      <c r="AP208" s="25"/>
      <c r="AQ208" s="25"/>
      <c r="AR208" s="25"/>
      <c r="AS208" s="25"/>
      <c r="AT208" s="25"/>
      <c r="AU208" s="25">
        <v>0</v>
      </c>
      <c r="AV208" s="25"/>
      <c r="AW208" s="25"/>
      <c r="AX208" s="25"/>
      <c r="AY208" s="25"/>
      <c r="AZ208" s="25"/>
      <c r="BA208" s="25">
        <v>0</v>
      </c>
      <c r="BB208" s="25"/>
      <c r="BC208" s="25"/>
      <c r="BD208" s="25">
        <v>0</v>
      </c>
      <c r="BE208" s="25"/>
      <c r="BF208" s="25"/>
      <c r="BG208" s="25"/>
      <c r="BH208" s="25"/>
      <c r="BI208" s="25"/>
      <c r="BJ208" s="25"/>
      <c r="BK208" s="25"/>
      <c r="BL208" s="25"/>
      <c r="BM208" s="25"/>
      <c r="BN208" s="25"/>
      <c r="BO208" s="25"/>
      <c r="BP208" s="25"/>
      <c r="BQ208" s="25"/>
      <c r="BR208" s="25"/>
      <c r="BS208" s="25"/>
      <c r="BT208" s="25"/>
      <c r="BU208" s="25"/>
      <c r="BV208" s="25"/>
      <c r="BW208" s="25"/>
      <c r="BX208" s="25"/>
      <c r="BY208" s="25">
        <v>0</v>
      </c>
      <c r="BZ208" s="25"/>
      <c r="CA208" s="25"/>
      <c r="CB208" s="25">
        <v>0</v>
      </c>
      <c r="CC208" s="25"/>
      <c r="CD208" s="25"/>
      <c r="CE208" s="110">
        <f>400000000-400000000</f>
        <v>0</v>
      </c>
      <c r="CF208" s="110"/>
      <c r="CG208" s="110"/>
      <c r="CH208" s="37"/>
      <c r="CI208" s="37"/>
      <c r="CJ208" s="37"/>
      <c r="CK208" s="25">
        <v>0</v>
      </c>
      <c r="CL208" s="26"/>
      <c r="CM208" s="26"/>
      <c r="CN208" s="26">
        <v>0</v>
      </c>
      <c r="CO208" s="26"/>
      <c r="CP208" s="26"/>
      <c r="CQ208" s="26"/>
      <c r="CR208" s="26"/>
      <c r="CS208" s="26"/>
      <c r="CT208" s="25">
        <f t="shared" si="109"/>
        <v>1333327092.01</v>
      </c>
      <c r="CU208" s="25">
        <f t="shared" si="109"/>
        <v>761010161.79999995</v>
      </c>
      <c r="CV208" s="25">
        <f t="shared" si="109"/>
        <v>761010161.79999995</v>
      </c>
    </row>
    <row r="209" spans="1:100" s="27" customFormat="1" ht="73.5" customHeight="1" x14ac:dyDescent="0.25">
      <c r="A209" s="19"/>
      <c r="B209" s="19"/>
      <c r="C209" s="1033"/>
      <c r="D209" s="1111"/>
      <c r="E209" s="1157"/>
      <c r="F209" s="1022"/>
      <c r="G209" s="29"/>
      <c r="H209" s="916">
        <v>116</v>
      </c>
      <c r="I209" s="928" t="s">
        <v>254</v>
      </c>
      <c r="J209" s="30" t="s">
        <v>30</v>
      </c>
      <c r="K209" s="309">
        <v>11</v>
      </c>
      <c r="L209" s="309">
        <v>15</v>
      </c>
      <c r="M209" s="1022"/>
      <c r="N209" s="1019"/>
      <c r="O209" s="1013"/>
      <c r="P209" s="929" t="s">
        <v>34</v>
      </c>
      <c r="Q209" s="701">
        <f>158620000+158211035+5427554-10728309.59</f>
        <v>311530279.41000003</v>
      </c>
      <c r="R209" s="701">
        <v>168890000</v>
      </c>
      <c r="S209" s="701">
        <v>168890000</v>
      </c>
      <c r="T209" s="25">
        <v>0</v>
      </c>
      <c r="U209" s="25"/>
      <c r="V209" s="25"/>
      <c r="W209" s="25">
        <v>0</v>
      </c>
      <c r="X209" s="25"/>
      <c r="Y209" s="25"/>
      <c r="Z209" s="25">
        <v>0</v>
      </c>
      <c r="AA209" s="25"/>
      <c r="AB209" s="25"/>
      <c r="AC209" s="25">
        <v>0</v>
      </c>
      <c r="AD209" s="25"/>
      <c r="AE209" s="25"/>
      <c r="AF209" s="25">
        <v>0</v>
      </c>
      <c r="AG209" s="25"/>
      <c r="AH209" s="25"/>
      <c r="AI209" s="25">
        <v>0</v>
      </c>
      <c r="AJ209" s="25"/>
      <c r="AK209" s="25"/>
      <c r="AL209" s="25"/>
      <c r="AM209" s="25"/>
      <c r="AN209" s="25"/>
      <c r="AO209" s="25"/>
      <c r="AP209" s="25"/>
      <c r="AQ209" s="25"/>
      <c r="AR209" s="25"/>
      <c r="AS209" s="25"/>
      <c r="AT209" s="25"/>
      <c r="AU209" s="25">
        <v>0</v>
      </c>
      <c r="AV209" s="25"/>
      <c r="AW209" s="25"/>
      <c r="AX209" s="25"/>
      <c r="AY209" s="25"/>
      <c r="AZ209" s="25"/>
      <c r="BA209" s="25">
        <v>0</v>
      </c>
      <c r="BB209" s="25"/>
      <c r="BC209" s="25"/>
      <c r="BD209" s="25">
        <v>0</v>
      </c>
      <c r="BE209" s="25"/>
      <c r="BF209" s="25"/>
      <c r="BG209" s="25"/>
      <c r="BH209" s="25"/>
      <c r="BI209" s="25"/>
      <c r="BJ209" s="25"/>
      <c r="BK209" s="25"/>
      <c r="BL209" s="25"/>
      <c r="BM209" s="25"/>
      <c r="BN209" s="25"/>
      <c r="BO209" s="25"/>
      <c r="BP209" s="25"/>
      <c r="BQ209" s="25"/>
      <c r="BR209" s="25"/>
      <c r="BS209" s="25"/>
      <c r="BT209" s="25"/>
      <c r="BU209" s="25"/>
      <c r="BV209" s="25"/>
      <c r="BW209" s="25"/>
      <c r="BX209" s="25"/>
      <c r="BY209" s="25">
        <v>0</v>
      </c>
      <c r="BZ209" s="25"/>
      <c r="CA209" s="25"/>
      <c r="CB209" s="25">
        <v>0</v>
      </c>
      <c r="CC209" s="25"/>
      <c r="CD209" s="25"/>
      <c r="CE209" s="110">
        <f>50000000-50000000</f>
        <v>0</v>
      </c>
      <c r="CF209" s="110"/>
      <c r="CG209" s="110"/>
      <c r="CH209" s="37"/>
      <c r="CI209" s="37"/>
      <c r="CJ209" s="37"/>
      <c r="CK209" s="25">
        <v>0</v>
      </c>
      <c r="CL209" s="26"/>
      <c r="CM209" s="26"/>
      <c r="CN209" s="26">
        <v>0</v>
      </c>
      <c r="CO209" s="26"/>
      <c r="CP209" s="26"/>
      <c r="CQ209" s="26"/>
      <c r="CR209" s="26"/>
      <c r="CS209" s="26"/>
      <c r="CT209" s="25">
        <f t="shared" si="109"/>
        <v>311530279.41000003</v>
      </c>
      <c r="CU209" s="25">
        <f t="shared" si="109"/>
        <v>168890000</v>
      </c>
      <c r="CV209" s="25">
        <f t="shared" si="109"/>
        <v>168890000</v>
      </c>
    </row>
    <row r="210" spans="1:100" ht="15" x14ac:dyDescent="0.25">
      <c r="A210" s="19"/>
      <c r="B210" s="19"/>
      <c r="C210" s="213"/>
      <c r="D210" s="310"/>
      <c r="E210" s="966"/>
      <c r="F210" s="966"/>
      <c r="G210" s="154"/>
      <c r="H210" s="155"/>
      <c r="I210" s="154"/>
      <c r="J210" s="311"/>
      <c r="K210" s="155"/>
      <c r="L210" s="155"/>
      <c r="M210" s="155"/>
      <c r="N210" s="157"/>
      <c r="O210" s="154"/>
      <c r="P210" s="155"/>
      <c r="Q210" s="158">
        <f t="shared" ref="Q210:CN210" si="110">SUM(Q206:Q209)</f>
        <v>2535715106.8399997</v>
      </c>
      <c r="R210" s="158">
        <f t="shared" si="110"/>
        <v>929900161.79999995</v>
      </c>
      <c r="S210" s="158">
        <f t="shared" si="110"/>
        <v>929900161.79999995</v>
      </c>
      <c r="T210" s="158">
        <f t="shared" si="110"/>
        <v>0</v>
      </c>
      <c r="U210" s="158">
        <f t="shared" si="110"/>
        <v>0</v>
      </c>
      <c r="V210" s="158">
        <f t="shared" si="110"/>
        <v>0</v>
      </c>
      <c r="W210" s="158">
        <f t="shared" si="110"/>
        <v>0</v>
      </c>
      <c r="X210" s="158">
        <f t="shared" si="110"/>
        <v>0</v>
      </c>
      <c r="Y210" s="158">
        <f t="shared" si="110"/>
        <v>0</v>
      </c>
      <c r="Z210" s="158">
        <f t="shared" si="110"/>
        <v>0</v>
      </c>
      <c r="AA210" s="158">
        <f t="shared" si="110"/>
        <v>0</v>
      </c>
      <c r="AB210" s="158">
        <f t="shared" si="110"/>
        <v>0</v>
      </c>
      <c r="AC210" s="158">
        <f t="shared" si="110"/>
        <v>0</v>
      </c>
      <c r="AD210" s="158">
        <f t="shared" si="110"/>
        <v>0</v>
      </c>
      <c r="AE210" s="158">
        <f t="shared" si="110"/>
        <v>0</v>
      </c>
      <c r="AF210" s="158">
        <f t="shared" si="110"/>
        <v>0</v>
      </c>
      <c r="AG210" s="158">
        <f t="shared" si="110"/>
        <v>0</v>
      </c>
      <c r="AH210" s="158">
        <f t="shared" si="110"/>
        <v>0</v>
      </c>
      <c r="AI210" s="158">
        <f t="shared" si="110"/>
        <v>0</v>
      </c>
      <c r="AJ210" s="158">
        <f t="shared" si="110"/>
        <v>0</v>
      </c>
      <c r="AK210" s="158">
        <f t="shared" si="110"/>
        <v>0</v>
      </c>
      <c r="AL210" s="158">
        <f t="shared" si="110"/>
        <v>0</v>
      </c>
      <c r="AM210" s="158">
        <f t="shared" si="110"/>
        <v>0</v>
      </c>
      <c r="AN210" s="158">
        <f t="shared" si="110"/>
        <v>0</v>
      </c>
      <c r="AO210" s="158">
        <f t="shared" si="110"/>
        <v>0</v>
      </c>
      <c r="AP210" s="158">
        <f t="shared" si="110"/>
        <v>0</v>
      </c>
      <c r="AQ210" s="158">
        <f t="shared" si="110"/>
        <v>0</v>
      </c>
      <c r="AR210" s="158">
        <f t="shared" si="110"/>
        <v>0</v>
      </c>
      <c r="AS210" s="158">
        <f t="shared" si="110"/>
        <v>0</v>
      </c>
      <c r="AT210" s="158">
        <f t="shared" si="110"/>
        <v>0</v>
      </c>
      <c r="AU210" s="158">
        <f t="shared" si="110"/>
        <v>0</v>
      </c>
      <c r="AV210" s="158">
        <f t="shared" si="110"/>
        <v>0</v>
      </c>
      <c r="AW210" s="158">
        <f t="shared" si="110"/>
        <v>0</v>
      </c>
      <c r="AX210" s="158">
        <f t="shared" si="110"/>
        <v>0</v>
      </c>
      <c r="AY210" s="158">
        <f t="shared" si="110"/>
        <v>0</v>
      </c>
      <c r="AZ210" s="158">
        <f t="shared" si="110"/>
        <v>0</v>
      </c>
      <c r="BA210" s="158">
        <f t="shared" si="110"/>
        <v>0</v>
      </c>
      <c r="BB210" s="158">
        <f t="shared" si="110"/>
        <v>0</v>
      </c>
      <c r="BC210" s="158">
        <f t="shared" si="110"/>
        <v>0</v>
      </c>
      <c r="BD210" s="158">
        <f t="shared" si="110"/>
        <v>0</v>
      </c>
      <c r="BE210" s="158">
        <f t="shared" si="110"/>
        <v>0</v>
      </c>
      <c r="BF210" s="158">
        <f t="shared" si="110"/>
        <v>0</v>
      </c>
      <c r="BG210" s="158">
        <f t="shared" si="110"/>
        <v>0</v>
      </c>
      <c r="BH210" s="158">
        <f t="shared" si="110"/>
        <v>0</v>
      </c>
      <c r="BI210" s="158">
        <f t="shared" si="110"/>
        <v>0</v>
      </c>
      <c r="BJ210" s="158">
        <f t="shared" si="110"/>
        <v>0</v>
      </c>
      <c r="BK210" s="158">
        <f t="shared" si="110"/>
        <v>0</v>
      </c>
      <c r="BL210" s="158">
        <f t="shared" si="110"/>
        <v>0</v>
      </c>
      <c r="BM210" s="158">
        <f t="shared" si="110"/>
        <v>0</v>
      </c>
      <c r="BN210" s="158">
        <f t="shared" si="110"/>
        <v>0</v>
      </c>
      <c r="BO210" s="158">
        <f t="shared" si="110"/>
        <v>0</v>
      </c>
      <c r="BP210" s="158">
        <f t="shared" si="110"/>
        <v>0</v>
      </c>
      <c r="BQ210" s="158">
        <f t="shared" si="110"/>
        <v>0</v>
      </c>
      <c r="BR210" s="158">
        <f t="shared" si="110"/>
        <v>0</v>
      </c>
      <c r="BS210" s="158">
        <f t="shared" si="110"/>
        <v>0</v>
      </c>
      <c r="BT210" s="158">
        <f t="shared" si="110"/>
        <v>0</v>
      </c>
      <c r="BU210" s="158">
        <f t="shared" si="110"/>
        <v>0</v>
      </c>
      <c r="BV210" s="158">
        <f t="shared" si="110"/>
        <v>0</v>
      </c>
      <c r="BW210" s="158">
        <f t="shared" si="110"/>
        <v>0</v>
      </c>
      <c r="BX210" s="158">
        <f t="shared" si="110"/>
        <v>0</v>
      </c>
      <c r="BY210" s="158">
        <f t="shared" si="110"/>
        <v>0</v>
      </c>
      <c r="BZ210" s="158">
        <f t="shared" si="110"/>
        <v>0</v>
      </c>
      <c r="CA210" s="158">
        <f t="shared" si="110"/>
        <v>0</v>
      </c>
      <c r="CB210" s="158">
        <f t="shared" si="110"/>
        <v>0</v>
      </c>
      <c r="CC210" s="158">
        <f t="shared" si="110"/>
        <v>0</v>
      </c>
      <c r="CD210" s="158">
        <f t="shared" si="110"/>
        <v>0</v>
      </c>
      <c r="CE210" s="158">
        <f t="shared" si="110"/>
        <v>1265100000</v>
      </c>
      <c r="CF210" s="158">
        <f t="shared" si="110"/>
        <v>1251268167</v>
      </c>
      <c r="CG210" s="158">
        <f t="shared" si="110"/>
        <v>1251268167</v>
      </c>
      <c r="CH210" s="158">
        <f t="shared" si="110"/>
        <v>0</v>
      </c>
      <c r="CI210" s="158">
        <f t="shared" si="110"/>
        <v>0</v>
      </c>
      <c r="CJ210" s="158">
        <f t="shared" si="110"/>
        <v>0</v>
      </c>
      <c r="CK210" s="158">
        <f t="shared" si="110"/>
        <v>0</v>
      </c>
      <c r="CL210" s="158">
        <f t="shared" si="110"/>
        <v>0</v>
      </c>
      <c r="CM210" s="158">
        <f t="shared" si="110"/>
        <v>0</v>
      </c>
      <c r="CN210" s="158">
        <f t="shared" si="110"/>
        <v>0</v>
      </c>
      <c r="CO210" s="158">
        <f t="shared" ref="CO210:CV210" si="111">SUM(CO206:CO209)</f>
        <v>0</v>
      </c>
      <c r="CP210" s="158">
        <f t="shared" si="111"/>
        <v>0</v>
      </c>
      <c r="CQ210" s="158">
        <f t="shared" si="111"/>
        <v>0</v>
      </c>
      <c r="CR210" s="158">
        <f t="shared" si="111"/>
        <v>0</v>
      </c>
      <c r="CS210" s="158">
        <f t="shared" si="111"/>
        <v>0</v>
      </c>
      <c r="CT210" s="158">
        <f t="shared" si="111"/>
        <v>3800815106.8400002</v>
      </c>
      <c r="CU210" s="158">
        <f t="shared" si="111"/>
        <v>2181168328.8000002</v>
      </c>
      <c r="CV210" s="158">
        <f t="shared" si="111"/>
        <v>2181168328.8000002</v>
      </c>
    </row>
    <row r="211" spans="1:100" s="27" customFormat="1" ht="15" x14ac:dyDescent="0.25">
      <c r="A211" s="19"/>
      <c r="B211" s="19"/>
      <c r="C211" s="931"/>
      <c r="D211" s="312"/>
      <c r="E211" s="313"/>
      <c r="F211" s="313"/>
      <c r="G211" s="177"/>
      <c r="H211" s="949"/>
      <c r="I211" s="177"/>
      <c r="J211" s="314"/>
      <c r="K211" s="949"/>
      <c r="L211" s="949"/>
      <c r="M211" s="949"/>
      <c r="N211" s="179"/>
      <c r="O211" s="177"/>
      <c r="P211" s="949"/>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0"/>
      <c r="BS211" s="180"/>
      <c r="BT211" s="180"/>
      <c r="BU211" s="180"/>
      <c r="BV211" s="180"/>
      <c r="BW211" s="180"/>
      <c r="BX211" s="180"/>
      <c r="BY211" s="180"/>
      <c r="BZ211" s="180"/>
      <c r="CA211" s="180"/>
      <c r="CB211" s="180"/>
      <c r="CC211" s="180"/>
      <c r="CD211" s="180"/>
      <c r="CE211" s="182"/>
      <c r="CF211" s="182"/>
      <c r="CG211" s="182"/>
      <c r="CH211" s="180"/>
      <c r="CI211" s="180"/>
      <c r="CJ211" s="180"/>
      <c r="CK211" s="180"/>
      <c r="CL211" s="180"/>
      <c r="CM211" s="180"/>
      <c r="CN211" s="180"/>
      <c r="CO211" s="180"/>
      <c r="CP211" s="180"/>
      <c r="CQ211" s="180"/>
      <c r="CR211" s="180"/>
      <c r="CS211" s="180"/>
      <c r="CT211" s="25"/>
      <c r="CU211" s="76"/>
      <c r="CV211" s="76"/>
    </row>
    <row r="212" spans="1:100" s="27" customFormat="1" ht="15" x14ac:dyDescent="0.25">
      <c r="A212" s="19"/>
      <c r="B212" s="19"/>
      <c r="C212" s="921"/>
      <c r="D212" s="315"/>
      <c r="E212" s="316"/>
      <c r="F212" s="316"/>
      <c r="G212" s="188">
        <v>30</v>
      </c>
      <c r="H212" s="189" t="s">
        <v>255</v>
      </c>
      <c r="I212" s="189"/>
      <c r="J212" s="189"/>
      <c r="K212" s="189"/>
      <c r="L212" s="189"/>
      <c r="M212" s="189"/>
      <c r="N212" s="684"/>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c r="BY212" s="189"/>
      <c r="BZ212" s="189"/>
      <c r="CA212" s="189"/>
      <c r="CB212" s="189"/>
      <c r="CC212" s="189"/>
      <c r="CD212" s="189"/>
      <c r="CE212" s="190"/>
      <c r="CF212" s="190"/>
      <c r="CG212" s="190"/>
      <c r="CH212" s="189"/>
      <c r="CI212" s="189"/>
      <c r="CJ212" s="189"/>
      <c r="CK212" s="189"/>
      <c r="CL212" s="189"/>
      <c r="CM212" s="189"/>
      <c r="CN212" s="189"/>
      <c r="CO212" s="189"/>
      <c r="CP212" s="189"/>
      <c r="CQ212" s="189"/>
      <c r="CR212" s="189"/>
      <c r="CS212" s="189"/>
      <c r="CT212" s="522"/>
      <c r="CU212" s="522"/>
      <c r="CV212" s="522"/>
    </row>
    <row r="213" spans="1:100" ht="114.75" customHeight="1" x14ac:dyDescent="0.25">
      <c r="A213" s="19"/>
      <c r="B213" s="19"/>
      <c r="C213" s="921" t="s">
        <v>256</v>
      </c>
      <c r="D213" s="942" t="s">
        <v>257</v>
      </c>
      <c r="E213" s="943" t="s">
        <v>258</v>
      </c>
      <c r="F213" s="941" t="s">
        <v>259</v>
      </c>
      <c r="G213" s="928"/>
      <c r="H213" s="929">
        <v>117</v>
      </c>
      <c r="I213" s="928" t="s">
        <v>260</v>
      </c>
      <c r="J213" s="30" t="s">
        <v>30</v>
      </c>
      <c r="K213" s="317">
        <v>1</v>
      </c>
      <c r="L213" s="317">
        <v>3</v>
      </c>
      <c r="M213" s="317" t="s">
        <v>247</v>
      </c>
      <c r="N213" s="36" t="s">
        <v>261</v>
      </c>
      <c r="O213" s="928" t="s">
        <v>262</v>
      </c>
      <c r="P213" s="318" t="s">
        <v>34</v>
      </c>
      <c r="Q213" s="250">
        <v>0</v>
      </c>
      <c r="R213" s="250"/>
      <c r="S213" s="250"/>
      <c r="T213" s="319">
        <v>0</v>
      </c>
      <c r="U213" s="319"/>
      <c r="V213" s="319"/>
      <c r="W213" s="319">
        <v>0</v>
      </c>
      <c r="X213" s="319"/>
      <c r="Y213" s="319"/>
      <c r="Z213" s="319">
        <v>0</v>
      </c>
      <c r="AA213" s="319"/>
      <c r="AB213" s="319"/>
      <c r="AC213" s="319">
        <v>0</v>
      </c>
      <c r="AD213" s="319"/>
      <c r="AE213" s="319"/>
      <c r="AF213" s="319">
        <v>0</v>
      </c>
      <c r="AG213" s="319"/>
      <c r="AH213" s="319"/>
      <c r="AI213" s="319">
        <v>0</v>
      </c>
      <c r="AJ213" s="319"/>
      <c r="AK213" s="319"/>
      <c r="AL213" s="319"/>
      <c r="AM213" s="319"/>
      <c r="AN213" s="319"/>
      <c r="AO213" s="319"/>
      <c r="AP213" s="319"/>
      <c r="AQ213" s="319"/>
      <c r="AR213" s="319"/>
      <c r="AS213" s="319"/>
      <c r="AT213" s="319"/>
      <c r="AU213" s="319">
        <v>0</v>
      </c>
      <c r="AV213" s="319"/>
      <c r="AW213" s="319"/>
      <c r="AX213" s="319"/>
      <c r="AY213" s="319"/>
      <c r="AZ213" s="319"/>
      <c r="BA213" s="319">
        <v>0</v>
      </c>
      <c r="BB213" s="319"/>
      <c r="BC213" s="319"/>
      <c r="BD213" s="319">
        <v>0</v>
      </c>
      <c r="BE213" s="319"/>
      <c r="BF213" s="319"/>
      <c r="BG213" s="250"/>
      <c r="BH213" s="250"/>
      <c r="BI213" s="250"/>
      <c r="BJ213" s="250"/>
      <c r="BK213" s="250"/>
      <c r="BL213" s="250"/>
      <c r="BM213" s="250"/>
      <c r="BN213" s="250"/>
      <c r="BO213" s="250"/>
      <c r="BP213" s="250"/>
      <c r="BQ213" s="250"/>
      <c r="BR213" s="250"/>
      <c r="BS213" s="250"/>
      <c r="BT213" s="250"/>
      <c r="BU213" s="250"/>
      <c r="BV213" s="250"/>
      <c r="BW213" s="250"/>
      <c r="BX213" s="250"/>
      <c r="BY213" s="319">
        <v>0</v>
      </c>
      <c r="BZ213" s="319"/>
      <c r="CA213" s="319"/>
      <c r="CB213" s="319">
        <v>0</v>
      </c>
      <c r="CC213" s="319"/>
      <c r="CD213" s="319"/>
      <c r="CE213" s="110">
        <f>51500000+60000000+443025</f>
        <v>111943025</v>
      </c>
      <c r="CF213" s="110">
        <v>96618125</v>
      </c>
      <c r="CG213" s="110">
        <v>96618125</v>
      </c>
      <c r="CH213" s="37"/>
      <c r="CI213" s="37"/>
      <c r="CJ213" s="37"/>
      <c r="CK213" s="319">
        <v>0</v>
      </c>
      <c r="CL213" s="288"/>
      <c r="CM213" s="288"/>
      <c r="CN213" s="288">
        <v>0</v>
      </c>
      <c r="CO213" s="288"/>
      <c r="CP213" s="288"/>
      <c r="CQ213" s="288"/>
      <c r="CR213" s="288"/>
      <c r="CS213" s="288"/>
      <c r="CT213" s="25">
        <f>Q213+T213+W213+Z213+AC213+AF213+AI213+AL213+AO213+AR213+AU213+AX213+BA213+BD213+BG213+BJ213+BM213+BP213+BS213+BV213+BY213+CB213+CE213+CH213+CK213+CQ213+CN213</f>
        <v>111943025</v>
      </c>
      <c r="CU213" s="25">
        <f>R213+U213+X213+AA213+AD213+AG213+AJ213+AM213+AP213+AS213+AV213+AY213+BB213+BE213+BH213+BK213+BN213+BQ213+BT213+BW213+BZ213+CC213+CF213+CI213+CL213+CR213+CO213</f>
        <v>96618125</v>
      </c>
      <c r="CV213" s="25">
        <f>S213+V213+Y213+AB213+AE213+AH213+AK213+AN213+AQ213+AT213+AW213+AZ213+BC213+BF213+BI213+BL213+BO213+BR213+BU213+BX213+CA213+CD213+CG213+CJ213+CM213+CS213+CP213</f>
        <v>96618125</v>
      </c>
    </row>
    <row r="214" spans="1:100" ht="15" x14ac:dyDescent="0.25">
      <c r="A214" s="19"/>
      <c r="B214" s="19"/>
      <c r="C214" s="213"/>
      <c r="D214" s="310"/>
      <c r="E214" s="966"/>
      <c r="F214" s="966"/>
      <c r="G214" s="154"/>
      <c r="H214" s="155"/>
      <c r="I214" s="154"/>
      <c r="J214" s="311"/>
      <c r="K214" s="311"/>
      <c r="L214" s="311"/>
      <c r="M214" s="311"/>
      <c r="N214" s="157"/>
      <c r="O214" s="154"/>
      <c r="P214" s="155"/>
      <c r="Q214" s="158">
        <f t="shared" ref="Q214:CB214" si="112">Q213</f>
        <v>0</v>
      </c>
      <c r="R214" s="158">
        <f t="shared" si="112"/>
        <v>0</v>
      </c>
      <c r="S214" s="158">
        <f t="shared" si="112"/>
        <v>0</v>
      </c>
      <c r="T214" s="158">
        <f t="shared" si="112"/>
        <v>0</v>
      </c>
      <c r="U214" s="158">
        <f t="shared" si="112"/>
        <v>0</v>
      </c>
      <c r="V214" s="158">
        <f t="shared" si="112"/>
        <v>0</v>
      </c>
      <c r="W214" s="158">
        <f t="shared" si="112"/>
        <v>0</v>
      </c>
      <c r="X214" s="158">
        <f t="shared" si="112"/>
        <v>0</v>
      </c>
      <c r="Y214" s="158">
        <f t="shared" si="112"/>
        <v>0</v>
      </c>
      <c r="Z214" s="158">
        <f t="shared" si="112"/>
        <v>0</v>
      </c>
      <c r="AA214" s="158">
        <f t="shared" si="112"/>
        <v>0</v>
      </c>
      <c r="AB214" s="158">
        <f t="shared" si="112"/>
        <v>0</v>
      </c>
      <c r="AC214" s="158">
        <f t="shared" si="112"/>
        <v>0</v>
      </c>
      <c r="AD214" s="158">
        <f t="shared" si="112"/>
        <v>0</v>
      </c>
      <c r="AE214" s="158">
        <f t="shared" si="112"/>
        <v>0</v>
      </c>
      <c r="AF214" s="158">
        <f t="shared" si="112"/>
        <v>0</v>
      </c>
      <c r="AG214" s="158">
        <f t="shared" si="112"/>
        <v>0</v>
      </c>
      <c r="AH214" s="158">
        <f t="shared" si="112"/>
        <v>0</v>
      </c>
      <c r="AI214" s="158">
        <f t="shared" si="112"/>
        <v>0</v>
      </c>
      <c r="AJ214" s="158">
        <f t="shared" si="112"/>
        <v>0</v>
      </c>
      <c r="AK214" s="158">
        <f t="shared" si="112"/>
        <v>0</v>
      </c>
      <c r="AL214" s="158">
        <f t="shared" si="112"/>
        <v>0</v>
      </c>
      <c r="AM214" s="158">
        <f t="shared" si="112"/>
        <v>0</v>
      </c>
      <c r="AN214" s="158">
        <f t="shared" si="112"/>
        <v>0</v>
      </c>
      <c r="AO214" s="158">
        <f t="shared" si="112"/>
        <v>0</v>
      </c>
      <c r="AP214" s="158">
        <f t="shared" si="112"/>
        <v>0</v>
      </c>
      <c r="AQ214" s="158">
        <f t="shared" si="112"/>
        <v>0</v>
      </c>
      <c r="AR214" s="158">
        <f t="shared" si="112"/>
        <v>0</v>
      </c>
      <c r="AS214" s="158">
        <f t="shared" si="112"/>
        <v>0</v>
      </c>
      <c r="AT214" s="158">
        <f t="shared" si="112"/>
        <v>0</v>
      </c>
      <c r="AU214" s="158">
        <f t="shared" si="112"/>
        <v>0</v>
      </c>
      <c r="AV214" s="158">
        <f t="shared" si="112"/>
        <v>0</v>
      </c>
      <c r="AW214" s="158">
        <f t="shared" si="112"/>
        <v>0</v>
      </c>
      <c r="AX214" s="158">
        <f t="shared" si="112"/>
        <v>0</v>
      </c>
      <c r="AY214" s="158">
        <f t="shared" si="112"/>
        <v>0</v>
      </c>
      <c r="AZ214" s="158">
        <f t="shared" si="112"/>
        <v>0</v>
      </c>
      <c r="BA214" s="158">
        <f t="shared" si="112"/>
        <v>0</v>
      </c>
      <c r="BB214" s="158">
        <f t="shared" si="112"/>
        <v>0</v>
      </c>
      <c r="BC214" s="158">
        <f t="shared" si="112"/>
        <v>0</v>
      </c>
      <c r="BD214" s="158">
        <f t="shared" si="112"/>
        <v>0</v>
      </c>
      <c r="BE214" s="158">
        <f t="shared" si="112"/>
        <v>0</v>
      </c>
      <c r="BF214" s="158">
        <f t="shared" si="112"/>
        <v>0</v>
      </c>
      <c r="BG214" s="158">
        <f t="shared" si="112"/>
        <v>0</v>
      </c>
      <c r="BH214" s="158">
        <f t="shared" si="112"/>
        <v>0</v>
      </c>
      <c r="BI214" s="158">
        <f t="shared" si="112"/>
        <v>0</v>
      </c>
      <c r="BJ214" s="158">
        <f t="shared" si="112"/>
        <v>0</v>
      </c>
      <c r="BK214" s="158">
        <f t="shared" si="112"/>
        <v>0</v>
      </c>
      <c r="BL214" s="158">
        <f t="shared" si="112"/>
        <v>0</v>
      </c>
      <c r="BM214" s="158">
        <f t="shared" si="112"/>
        <v>0</v>
      </c>
      <c r="BN214" s="158">
        <f t="shared" si="112"/>
        <v>0</v>
      </c>
      <c r="BO214" s="158">
        <f t="shared" si="112"/>
        <v>0</v>
      </c>
      <c r="BP214" s="158">
        <f t="shared" si="112"/>
        <v>0</v>
      </c>
      <c r="BQ214" s="158">
        <f t="shared" si="112"/>
        <v>0</v>
      </c>
      <c r="BR214" s="158">
        <f t="shared" si="112"/>
        <v>0</v>
      </c>
      <c r="BS214" s="158">
        <f t="shared" si="112"/>
        <v>0</v>
      </c>
      <c r="BT214" s="158">
        <f t="shared" si="112"/>
        <v>0</v>
      </c>
      <c r="BU214" s="158">
        <f t="shared" si="112"/>
        <v>0</v>
      </c>
      <c r="BV214" s="158">
        <f t="shared" si="112"/>
        <v>0</v>
      </c>
      <c r="BW214" s="158">
        <f t="shared" si="112"/>
        <v>0</v>
      </c>
      <c r="BX214" s="158">
        <f t="shared" si="112"/>
        <v>0</v>
      </c>
      <c r="BY214" s="158">
        <f t="shared" si="112"/>
        <v>0</v>
      </c>
      <c r="BZ214" s="158">
        <f t="shared" si="112"/>
        <v>0</v>
      </c>
      <c r="CA214" s="158">
        <f t="shared" si="112"/>
        <v>0</v>
      </c>
      <c r="CB214" s="158">
        <f t="shared" si="112"/>
        <v>0</v>
      </c>
      <c r="CC214" s="158">
        <f t="shared" ref="CC214:CS214" si="113">CC213</f>
        <v>0</v>
      </c>
      <c r="CD214" s="158">
        <f t="shared" si="113"/>
        <v>0</v>
      </c>
      <c r="CE214" s="158">
        <f t="shared" si="113"/>
        <v>111943025</v>
      </c>
      <c r="CF214" s="158">
        <f t="shared" si="113"/>
        <v>96618125</v>
      </c>
      <c r="CG214" s="158">
        <f t="shared" si="113"/>
        <v>96618125</v>
      </c>
      <c r="CH214" s="158">
        <f t="shared" si="113"/>
        <v>0</v>
      </c>
      <c r="CI214" s="158">
        <f t="shared" si="113"/>
        <v>0</v>
      </c>
      <c r="CJ214" s="158">
        <f t="shared" si="113"/>
        <v>0</v>
      </c>
      <c r="CK214" s="158">
        <f t="shared" si="113"/>
        <v>0</v>
      </c>
      <c r="CL214" s="158">
        <f t="shared" si="113"/>
        <v>0</v>
      </c>
      <c r="CM214" s="158">
        <f t="shared" si="113"/>
        <v>0</v>
      </c>
      <c r="CN214" s="158">
        <f t="shared" si="113"/>
        <v>0</v>
      </c>
      <c r="CO214" s="158">
        <f t="shared" si="113"/>
        <v>0</v>
      </c>
      <c r="CP214" s="158">
        <f t="shared" si="113"/>
        <v>0</v>
      </c>
      <c r="CQ214" s="158">
        <f t="shared" si="113"/>
        <v>0</v>
      </c>
      <c r="CR214" s="158">
        <f t="shared" si="113"/>
        <v>0</v>
      </c>
      <c r="CS214" s="158">
        <f t="shared" si="113"/>
        <v>0</v>
      </c>
      <c r="CT214" s="158">
        <f>CT213</f>
        <v>111943025</v>
      </c>
      <c r="CU214" s="158">
        <f>CU213</f>
        <v>96618125</v>
      </c>
      <c r="CV214" s="158">
        <f>CV213</f>
        <v>96618125</v>
      </c>
    </row>
    <row r="215" spans="1:100" s="27" customFormat="1" ht="15" x14ac:dyDescent="0.25">
      <c r="A215" s="19"/>
      <c r="B215" s="19"/>
      <c r="C215" s="931"/>
      <c r="D215" s="312"/>
      <c r="E215" s="313"/>
      <c r="F215" s="313"/>
      <c r="G215" s="177"/>
      <c r="H215" s="949"/>
      <c r="I215" s="177"/>
      <c r="J215" s="314"/>
      <c r="K215" s="314"/>
      <c r="L215" s="314"/>
      <c r="M215" s="314"/>
      <c r="N215" s="179"/>
      <c r="O215" s="177"/>
      <c r="P215" s="949"/>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0"/>
      <c r="BS215" s="180"/>
      <c r="BT215" s="180"/>
      <c r="BU215" s="180"/>
      <c r="BV215" s="180"/>
      <c r="BW215" s="180"/>
      <c r="BX215" s="180"/>
      <c r="BY215" s="180"/>
      <c r="BZ215" s="180"/>
      <c r="CA215" s="180"/>
      <c r="CB215" s="180"/>
      <c r="CC215" s="180"/>
      <c r="CD215" s="180"/>
      <c r="CE215" s="182"/>
      <c r="CF215" s="182"/>
      <c r="CG215" s="182"/>
      <c r="CH215" s="183"/>
      <c r="CI215" s="183"/>
      <c r="CJ215" s="183"/>
      <c r="CK215" s="180"/>
      <c r="CL215" s="180"/>
      <c r="CM215" s="180"/>
      <c r="CN215" s="180"/>
      <c r="CO215" s="180"/>
      <c r="CP215" s="180"/>
      <c r="CQ215" s="180"/>
      <c r="CR215" s="180"/>
      <c r="CS215" s="180"/>
      <c r="CT215" s="25"/>
      <c r="CU215" s="76"/>
      <c r="CV215" s="76"/>
    </row>
    <row r="216" spans="1:100" ht="15" x14ac:dyDescent="0.25">
      <c r="A216" s="19"/>
      <c r="B216" s="19"/>
      <c r="C216" s="320"/>
      <c r="D216" s="315"/>
      <c r="E216" s="316"/>
      <c r="F216" s="316"/>
      <c r="G216" s="254">
        <v>31</v>
      </c>
      <c r="H216" s="271" t="s">
        <v>263</v>
      </c>
      <c r="I216" s="189"/>
      <c r="J216" s="189"/>
      <c r="K216" s="189"/>
      <c r="L216" s="189"/>
      <c r="M216" s="189"/>
      <c r="N216" s="684"/>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c r="BG216" s="189"/>
      <c r="BH216" s="189"/>
      <c r="BI216" s="189"/>
      <c r="BJ216" s="189"/>
      <c r="BK216" s="189"/>
      <c r="BL216" s="189"/>
      <c r="BM216" s="189"/>
      <c r="BN216" s="189"/>
      <c r="BO216" s="189"/>
      <c r="BP216" s="189"/>
      <c r="BQ216" s="189"/>
      <c r="BR216" s="189"/>
      <c r="BS216" s="189"/>
      <c r="BT216" s="189"/>
      <c r="BU216" s="189"/>
      <c r="BV216" s="189"/>
      <c r="BW216" s="189"/>
      <c r="BX216" s="189"/>
      <c r="BY216" s="189"/>
      <c r="BZ216" s="189"/>
      <c r="CA216" s="189"/>
      <c r="CB216" s="189"/>
      <c r="CC216" s="189"/>
      <c r="CD216" s="189"/>
      <c r="CE216" s="190"/>
      <c r="CF216" s="190"/>
      <c r="CG216" s="190"/>
      <c r="CH216" s="189"/>
      <c r="CI216" s="189"/>
      <c r="CJ216" s="189"/>
      <c r="CK216" s="189"/>
      <c r="CL216" s="189"/>
      <c r="CM216" s="189"/>
      <c r="CN216" s="189"/>
      <c r="CO216" s="189"/>
      <c r="CP216" s="189"/>
      <c r="CQ216" s="189"/>
      <c r="CR216" s="189"/>
      <c r="CS216" s="189"/>
      <c r="CT216" s="522"/>
      <c r="CU216" s="522"/>
      <c r="CV216" s="522"/>
    </row>
    <row r="217" spans="1:100" s="27" customFormat="1" ht="98.25" customHeight="1" x14ac:dyDescent="0.25">
      <c r="A217" s="19"/>
      <c r="B217" s="19"/>
      <c r="C217" s="921" t="s">
        <v>264</v>
      </c>
      <c r="D217" s="946" t="s">
        <v>265</v>
      </c>
      <c r="E217" s="947" t="s">
        <v>266</v>
      </c>
      <c r="F217" s="916" t="s">
        <v>267</v>
      </c>
      <c r="G217" s="928"/>
      <c r="H217" s="929">
        <v>118</v>
      </c>
      <c r="I217" s="928" t="s">
        <v>268</v>
      </c>
      <c r="J217" s="30">
        <v>16</v>
      </c>
      <c r="K217" s="104">
        <v>6</v>
      </c>
      <c r="L217" s="104">
        <v>8</v>
      </c>
      <c r="M217" s="30" t="s">
        <v>247</v>
      </c>
      <c r="N217" s="36" t="s">
        <v>269</v>
      </c>
      <c r="O217" s="928" t="s">
        <v>270</v>
      </c>
      <c r="P217" s="929" t="s">
        <v>34</v>
      </c>
      <c r="Q217" s="701">
        <f>158620000+72215489+5427554-10728309.58</f>
        <v>225534733.41999999</v>
      </c>
      <c r="R217" s="701">
        <v>225204000</v>
      </c>
      <c r="S217" s="701">
        <v>225204000</v>
      </c>
      <c r="T217" s="25">
        <v>0</v>
      </c>
      <c r="U217" s="25"/>
      <c r="V217" s="25"/>
      <c r="W217" s="25">
        <v>0</v>
      </c>
      <c r="X217" s="25"/>
      <c r="Y217" s="25"/>
      <c r="Z217" s="25">
        <v>0</v>
      </c>
      <c r="AA217" s="25"/>
      <c r="AB217" s="25"/>
      <c r="AC217" s="25">
        <v>0</v>
      </c>
      <c r="AD217" s="25"/>
      <c r="AE217" s="25"/>
      <c r="AF217" s="25">
        <v>0</v>
      </c>
      <c r="AG217" s="25"/>
      <c r="AH217" s="25"/>
      <c r="AI217" s="25">
        <v>0</v>
      </c>
      <c r="AJ217" s="25"/>
      <c r="AK217" s="25"/>
      <c r="AL217" s="25"/>
      <c r="AM217" s="25"/>
      <c r="AN217" s="25"/>
      <c r="AO217" s="25"/>
      <c r="AP217" s="25"/>
      <c r="AQ217" s="25"/>
      <c r="AR217" s="25"/>
      <c r="AS217" s="25"/>
      <c r="AT217" s="25"/>
      <c r="AU217" s="25">
        <v>0</v>
      </c>
      <c r="AV217" s="25"/>
      <c r="AW217" s="25"/>
      <c r="AX217" s="25"/>
      <c r="AY217" s="25"/>
      <c r="AZ217" s="25"/>
      <c r="BA217" s="25">
        <v>0</v>
      </c>
      <c r="BB217" s="25"/>
      <c r="BC217" s="25"/>
      <c r="BD217" s="25">
        <v>0</v>
      </c>
      <c r="BE217" s="25"/>
      <c r="BF217" s="25"/>
      <c r="BG217" s="25"/>
      <c r="BH217" s="25"/>
      <c r="BI217" s="25"/>
      <c r="BJ217" s="25"/>
      <c r="BK217" s="25"/>
      <c r="BL217" s="25"/>
      <c r="BM217" s="25"/>
      <c r="BN217" s="25"/>
      <c r="BO217" s="25"/>
      <c r="BP217" s="25"/>
      <c r="BQ217" s="25"/>
      <c r="BR217" s="25"/>
      <c r="BS217" s="25"/>
      <c r="BT217" s="25"/>
      <c r="BU217" s="25"/>
      <c r="BV217" s="25"/>
      <c r="BW217" s="25"/>
      <c r="BX217" s="25"/>
      <c r="BY217" s="25">
        <v>0</v>
      </c>
      <c r="BZ217" s="25"/>
      <c r="CA217" s="25"/>
      <c r="CB217" s="25">
        <v>0</v>
      </c>
      <c r="CC217" s="25"/>
      <c r="CD217" s="25"/>
      <c r="CE217" s="110">
        <v>0</v>
      </c>
      <c r="CF217" s="110"/>
      <c r="CG217" s="110"/>
      <c r="CH217" s="37"/>
      <c r="CI217" s="37"/>
      <c r="CJ217" s="37"/>
      <c r="CK217" s="25">
        <v>0</v>
      </c>
      <c r="CL217" s="26"/>
      <c r="CM217" s="26"/>
      <c r="CN217" s="26">
        <v>29000000</v>
      </c>
      <c r="CO217" s="26">
        <v>24040000</v>
      </c>
      <c r="CP217" s="26">
        <v>24040000</v>
      </c>
      <c r="CQ217" s="26"/>
      <c r="CR217" s="26"/>
      <c r="CS217" s="26"/>
      <c r="CT217" s="25">
        <f>Q217+T217+W217+Z217+AC217+AF217+AI217+AL217+AO217+AR217+AU217+AX217+BA217+BD217+BG217+BJ217+BM217+BP217+BS217+BV217+BY217+CB217+CE217+CH217+CK217+CQ217+CN217</f>
        <v>254534733.41999999</v>
      </c>
      <c r="CU217" s="25">
        <f>R217+U217+X217+AA217+AD217+AG217+AJ217+AM217+AP217+AS217+AV217+AY217+BB217+BE217+BH217+BK217+BN217+BQ217+BT217+BW217+BZ217+CC217+CF217+CI217+CL217+CR217+CO217</f>
        <v>249244000</v>
      </c>
      <c r="CV217" s="25">
        <f>S217+V217+Y217+AB217+AE217+AH217+AK217+AN217+AQ217+AT217+AW217+AZ217+BC217+BF217+BI217+BL217+BO217+BR217+BU217+BX217+CA217+CD217+CG217+CJ217+CM217+CS217+CP217</f>
        <v>249244000</v>
      </c>
    </row>
    <row r="218" spans="1:100" ht="15" x14ac:dyDescent="0.25">
      <c r="A218" s="19"/>
      <c r="B218" s="152"/>
      <c r="C218" s="213"/>
      <c r="D218" s="310"/>
      <c r="E218" s="966"/>
      <c r="F218" s="966"/>
      <c r="G218" s="154"/>
      <c r="H218" s="155"/>
      <c r="I218" s="154"/>
      <c r="J218" s="311"/>
      <c r="K218" s="311"/>
      <c r="L218" s="311"/>
      <c r="M218" s="311"/>
      <c r="N218" s="157"/>
      <c r="O218" s="154"/>
      <c r="P218" s="155"/>
      <c r="Q218" s="158">
        <f>SUM(Q217)</f>
        <v>225534733.41999999</v>
      </c>
      <c r="R218" s="158">
        <f t="shared" ref="R218:CC218" si="114">SUM(R217)</f>
        <v>225204000</v>
      </c>
      <c r="S218" s="158">
        <f t="shared" si="114"/>
        <v>225204000</v>
      </c>
      <c r="T218" s="158">
        <f t="shared" si="114"/>
        <v>0</v>
      </c>
      <c r="U218" s="158">
        <f t="shared" si="114"/>
        <v>0</v>
      </c>
      <c r="V218" s="158">
        <f t="shared" si="114"/>
        <v>0</v>
      </c>
      <c r="W218" s="158">
        <f t="shared" si="114"/>
        <v>0</v>
      </c>
      <c r="X218" s="158">
        <f t="shared" si="114"/>
        <v>0</v>
      </c>
      <c r="Y218" s="158">
        <f t="shared" si="114"/>
        <v>0</v>
      </c>
      <c r="Z218" s="158">
        <f t="shared" si="114"/>
        <v>0</v>
      </c>
      <c r="AA218" s="158">
        <f t="shared" si="114"/>
        <v>0</v>
      </c>
      <c r="AB218" s="158">
        <f t="shared" si="114"/>
        <v>0</v>
      </c>
      <c r="AC218" s="158">
        <f t="shared" si="114"/>
        <v>0</v>
      </c>
      <c r="AD218" s="158">
        <f t="shared" si="114"/>
        <v>0</v>
      </c>
      <c r="AE218" s="158">
        <f t="shared" si="114"/>
        <v>0</v>
      </c>
      <c r="AF218" s="158">
        <f t="shared" si="114"/>
        <v>0</v>
      </c>
      <c r="AG218" s="158">
        <f t="shared" si="114"/>
        <v>0</v>
      </c>
      <c r="AH218" s="158">
        <f t="shared" si="114"/>
        <v>0</v>
      </c>
      <c r="AI218" s="158">
        <f t="shared" si="114"/>
        <v>0</v>
      </c>
      <c r="AJ218" s="158">
        <f t="shared" si="114"/>
        <v>0</v>
      </c>
      <c r="AK218" s="158">
        <f t="shared" si="114"/>
        <v>0</v>
      </c>
      <c r="AL218" s="158">
        <f t="shared" si="114"/>
        <v>0</v>
      </c>
      <c r="AM218" s="158">
        <f t="shared" si="114"/>
        <v>0</v>
      </c>
      <c r="AN218" s="158">
        <f t="shared" si="114"/>
        <v>0</v>
      </c>
      <c r="AO218" s="158">
        <f t="shared" si="114"/>
        <v>0</v>
      </c>
      <c r="AP218" s="158">
        <f t="shared" si="114"/>
        <v>0</v>
      </c>
      <c r="AQ218" s="158">
        <f t="shared" si="114"/>
        <v>0</v>
      </c>
      <c r="AR218" s="158">
        <f t="shared" si="114"/>
        <v>0</v>
      </c>
      <c r="AS218" s="158">
        <f t="shared" si="114"/>
        <v>0</v>
      </c>
      <c r="AT218" s="158">
        <f t="shared" si="114"/>
        <v>0</v>
      </c>
      <c r="AU218" s="158">
        <f t="shared" si="114"/>
        <v>0</v>
      </c>
      <c r="AV218" s="158">
        <f t="shared" si="114"/>
        <v>0</v>
      </c>
      <c r="AW218" s="158">
        <f t="shared" si="114"/>
        <v>0</v>
      </c>
      <c r="AX218" s="158">
        <f t="shared" si="114"/>
        <v>0</v>
      </c>
      <c r="AY218" s="158">
        <f t="shared" si="114"/>
        <v>0</v>
      </c>
      <c r="AZ218" s="158">
        <f t="shared" si="114"/>
        <v>0</v>
      </c>
      <c r="BA218" s="158">
        <f t="shared" si="114"/>
        <v>0</v>
      </c>
      <c r="BB218" s="158">
        <f t="shared" si="114"/>
        <v>0</v>
      </c>
      <c r="BC218" s="158">
        <f t="shared" si="114"/>
        <v>0</v>
      </c>
      <c r="BD218" s="158">
        <f t="shared" si="114"/>
        <v>0</v>
      </c>
      <c r="BE218" s="158">
        <f t="shared" si="114"/>
        <v>0</v>
      </c>
      <c r="BF218" s="158">
        <f t="shared" si="114"/>
        <v>0</v>
      </c>
      <c r="BG218" s="158">
        <f t="shared" si="114"/>
        <v>0</v>
      </c>
      <c r="BH218" s="158">
        <f t="shared" si="114"/>
        <v>0</v>
      </c>
      <c r="BI218" s="158">
        <f t="shared" si="114"/>
        <v>0</v>
      </c>
      <c r="BJ218" s="158">
        <f t="shared" si="114"/>
        <v>0</v>
      </c>
      <c r="BK218" s="158">
        <f t="shared" si="114"/>
        <v>0</v>
      </c>
      <c r="BL218" s="158">
        <f t="shared" si="114"/>
        <v>0</v>
      </c>
      <c r="BM218" s="158">
        <f t="shared" si="114"/>
        <v>0</v>
      </c>
      <c r="BN218" s="158">
        <f t="shared" si="114"/>
        <v>0</v>
      </c>
      <c r="BO218" s="158">
        <f t="shared" si="114"/>
        <v>0</v>
      </c>
      <c r="BP218" s="158">
        <f t="shared" si="114"/>
        <v>0</v>
      </c>
      <c r="BQ218" s="158">
        <f t="shared" si="114"/>
        <v>0</v>
      </c>
      <c r="BR218" s="158">
        <f t="shared" si="114"/>
        <v>0</v>
      </c>
      <c r="BS218" s="158">
        <f t="shared" si="114"/>
        <v>0</v>
      </c>
      <c r="BT218" s="158">
        <f t="shared" si="114"/>
        <v>0</v>
      </c>
      <c r="BU218" s="158">
        <f t="shared" si="114"/>
        <v>0</v>
      </c>
      <c r="BV218" s="158">
        <f t="shared" si="114"/>
        <v>0</v>
      </c>
      <c r="BW218" s="158">
        <f t="shared" si="114"/>
        <v>0</v>
      </c>
      <c r="BX218" s="158">
        <f t="shared" si="114"/>
        <v>0</v>
      </c>
      <c r="BY218" s="158">
        <f t="shared" si="114"/>
        <v>0</v>
      </c>
      <c r="BZ218" s="158">
        <f t="shared" si="114"/>
        <v>0</v>
      </c>
      <c r="CA218" s="158">
        <f t="shared" si="114"/>
        <v>0</v>
      </c>
      <c r="CB218" s="158">
        <f t="shared" si="114"/>
        <v>0</v>
      </c>
      <c r="CC218" s="158">
        <f t="shared" si="114"/>
        <v>0</v>
      </c>
      <c r="CD218" s="158">
        <f t="shared" ref="CD218:CS218" si="115">SUM(CD217)</f>
        <v>0</v>
      </c>
      <c r="CE218" s="158">
        <f t="shared" si="115"/>
        <v>0</v>
      </c>
      <c r="CF218" s="158">
        <f t="shared" si="115"/>
        <v>0</v>
      </c>
      <c r="CG218" s="158">
        <f t="shared" si="115"/>
        <v>0</v>
      </c>
      <c r="CH218" s="158">
        <f t="shared" si="115"/>
        <v>0</v>
      </c>
      <c r="CI218" s="158">
        <f t="shared" si="115"/>
        <v>0</v>
      </c>
      <c r="CJ218" s="158">
        <f t="shared" si="115"/>
        <v>0</v>
      </c>
      <c r="CK218" s="158">
        <f t="shared" si="115"/>
        <v>0</v>
      </c>
      <c r="CL218" s="158">
        <f t="shared" si="115"/>
        <v>0</v>
      </c>
      <c r="CM218" s="158">
        <f t="shared" si="115"/>
        <v>0</v>
      </c>
      <c r="CN218" s="158">
        <f t="shared" si="115"/>
        <v>29000000</v>
      </c>
      <c r="CO218" s="158">
        <f t="shared" si="115"/>
        <v>24040000</v>
      </c>
      <c r="CP218" s="158">
        <f t="shared" si="115"/>
        <v>24040000</v>
      </c>
      <c r="CQ218" s="158">
        <f t="shared" si="115"/>
        <v>0</v>
      </c>
      <c r="CR218" s="158">
        <f t="shared" si="115"/>
        <v>0</v>
      </c>
      <c r="CS218" s="158">
        <f t="shared" si="115"/>
        <v>0</v>
      </c>
      <c r="CT218" s="158">
        <f>SUM(CT217)</f>
        <v>254534733.41999999</v>
      </c>
      <c r="CU218" s="158">
        <f>SUM(CU217)</f>
        <v>249244000</v>
      </c>
      <c r="CV218" s="158">
        <f>SUM(CV217)</f>
        <v>249244000</v>
      </c>
    </row>
    <row r="219" spans="1:100" ht="15" x14ac:dyDescent="0.25">
      <c r="A219" s="19"/>
      <c r="B219" s="216"/>
      <c r="C219" s="162"/>
      <c r="D219" s="321"/>
      <c r="E219" s="322"/>
      <c r="F219" s="322"/>
      <c r="G219" s="161"/>
      <c r="H219" s="162"/>
      <c r="I219" s="161"/>
      <c r="J219" s="323"/>
      <c r="K219" s="323"/>
      <c r="L219" s="323"/>
      <c r="M219" s="323"/>
      <c r="N219" s="164"/>
      <c r="O219" s="161"/>
      <c r="P219" s="162"/>
      <c r="Q219" s="165">
        <f>Q218+Q214+Q210</f>
        <v>2761249840.2599998</v>
      </c>
      <c r="R219" s="165">
        <f t="shared" ref="R219:CC219" si="116">R218+R214+R210</f>
        <v>1155104161.8</v>
      </c>
      <c r="S219" s="165">
        <f t="shared" si="116"/>
        <v>1155104161.8</v>
      </c>
      <c r="T219" s="165">
        <f t="shared" si="116"/>
        <v>0</v>
      </c>
      <c r="U219" s="165">
        <f t="shared" si="116"/>
        <v>0</v>
      </c>
      <c r="V219" s="165">
        <f t="shared" si="116"/>
        <v>0</v>
      </c>
      <c r="W219" s="165">
        <f t="shared" si="116"/>
        <v>0</v>
      </c>
      <c r="X219" s="165">
        <f t="shared" si="116"/>
        <v>0</v>
      </c>
      <c r="Y219" s="165">
        <f t="shared" si="116"/>
        <v>0</v>
      </c>
      <c r="Z219" s="165">
        <f t="shared" si="116"/>
        <v>0</v>
      </c>
      <c r="AA219" s="165">
        <f t="shared" si="116"/>
        <v>0</v>
      </c>
      <c r="AB219" s="165">
        <f t="shared" si="116"/>
        <v>0</v>
      </c>
      <c r="AC219" s="165">
        <f t="shared" si="116"/>
        <v>0</v>
      </c>
      <c r="AD219" s="165">
        <f t="shared" si="116"/>
        <v>0</v>
      </c>
      <c r="AE219" s="165">
        <f t="shared" si="116"/>
        <v>0</v>
      </c>
      <c r="AF219" s="165">
        <f t="shared" si="116"/>
        <v>0</v>
      </c>
      <c r="AG219" s="165">
        <f t="shared" si="116"/>
        <v>0</v>
      </c>
      <c r="AH219" s="165">
        <f t="shared" si="116"/>
        <v>0</v>
      </c>
      <c r="AI219" s="165">
        <f t="shared" si="116"/>
        <v>0</v>
      </c>
      <c r="AJ219" s="165">
        <f t="shared" si="116"/>
        <v>0</v>
      </c>
      <c r="AK219" s="165">
        <f t="shared" si="116"/>
        <v>0</v>
      </c>
      <c r="AL219" s="165">
        <f t="shared" si="116"/>
        <v>0</v>
      </c>
      <c r="AM219" s="165">
        <f t="shared" si="116"/>
        <v>0</v>
      </c>
      <c r="AN219" s="165">
        <f t="shared" si="116"/>
        <v>0</v>
      </c>
      <c r="AO219" s="165">
        <f t="shared" si="116"/>
        <v>0</v>
      </c>
      <c r="AP219" s="165">
        <f t="shared" si="116"/>
        <v>0</v>
      </c>
      <c r="AQ219" s="165">
        <f t="shared" si="116"/>
        <v>0</v>
      </c>
      <c r="AR219" s="165">
        <f t="shared" si="116"/>
        <v>0</v>
      </c>
      <c r="AS219" s="165">
        <f t="shared" si="116"/>
        <v>0</v>
      </c>
      <c r="AT219" s="165">
        <f t="shared" si="116"/>
        <v>0</v>
      </c>
      <c r="AU219" s="165">
        <f t="shared" si="116"/>
        <v>0</v>
      </c>
      <c r="AV219" s="165">
        <f t="shared" si="116"/>
        <v>0</v>
      </c>
      <c r="AW219" s="165">
        <f t="shared" si="116"/>
        <v>0</v>
      </c>
      <c r="AX219" s="165">
        <f t="shared" si="116"/>
        <v>0</v>
      </c>
      <c r="AY219" s="165">
        <f t="shared" si="116"/>
        <v>0</v>
      </c>
      <c r="AZ219" s="165">
        <f t="shared" si="116"/>
        <v>0</v>
      </c>
      <c r="BA219" s="165">
        <f t="shared" si="116"/>
        <v>0</v>
      </c>
      <c r="BB219" s="165">
        <f t="shared" si="116"/>
        <v>0</v>
      </c>
      <c r="BC219" s="165">
        <f t="shared" si="116"/>
        <v>0</v>
      </c>
      <c r="BD219" s="165">
        <f t="shared" si="116"/>
        <v>0</v>
      </c>
      <c r="BE219" s="165">
        <f t="shared" si="116"/>
        <v>0</v>
      </c>
      <c r="BF219" s="165">
        <f t="shared" si="116"/>
        <v>0</v>
      </c>
      <c r="BG219" s="165">
        <f t="shared" si="116"/>
        <v>0</v>
      </c>
      <c r="BH219" s="165">
        <f t="shared" si="116"/>
        <v>0</v>
      </c>
      <c r="BI219" s="165">
        <f t="shared" si="116"/>
        <v>0</v>
      </c>
      <c r="BJ219" s="165">
        <f t="shared" si="116"/>
        <v>0</v>
      </c>
      <c r="BK219" s="165">
        <f t="shared" si="116"/>
        <v>0</v>
      </c>
      <c r="BL219" s="165">
        <f t="shared" si="116"/>
        <v>0</v>
      </c>
      <c r="BM219" s="165">
        <f t="shared" si="116"/>
        <v>0</v>
      </c>
      <c r="BN219" s="165">
        <f t="shared" si="116"/>
        <v>0</v>
      </c>
      <c r="BO219" s="165">
        <f t="shared" si="116"/>
        <v>0</v>
      </c>
      <c r="BP219" s="165">
        <f t="shared" si="116"/>
        <v>0</v>
      </c>
      <c r="BQ219" s="165">
        <f t="shared" si="116"/>
        <v>0</v>
      </c>
      <c r="BR219" s="165">
        <f t="shared" si="116"/>
        <v>0</v>
      </c>
      <c r="BS219" s="165">
        <f t="shared" si="116"/>
        <v>0</v>
      </c>
      <c r="BT219" s="165">
        <f t="shared" si="116"/>
        <v>0</v>
      </c>
      <c r="BU219" s="165">
        <f t="shared" si="116"/>
        <v>0</v>
      </c>
      <c r="BV219" s="165">
        <f t="shared" si="116"/>
        <v>0</v>
      </c>
      <c r="BW219" s="165">
        <f t="shared" si="116"/>
        <v>0</v>
      </c>
      <c r="BX219" s="165">
        <f t="shared" si="116"/>
        <v>0</v>
      </c>
      <c r="BY219" s="165">
        <f t="shared" si="116"/>
        <v>0</v>
      </c>
      <c r="BZ219" s="165">
        <f t="shared" si="116"/>
        <v>0</v>
      </c>
      <c r="CA219" s="165">
        <f t="shared" si="116"/>
        <v>0</v>
      </c>
      <c r="CB219" s="165">
        <f t="shared" si="116"/>
        <v>0</v>
      </c>
      <c r="CC219" s="165">
        <f t="shared" si="116"/>
        <v>0</v>
      </c>
      <c r="CD219" s="165">
        <f t="shared" ref="CD219:CS219" si="117">CD218+CD214+CD210</f>
        <v>0</v>
      </c>
      <c r="CE219" s="165">
        <f t="shared" si="117"/>
        <v>1377043025</v>
      </c>
      <c r="CF219" s="165">
        <f t="shared" si="117"/>
        <v>1347886292</v>
      </c>
      <c r="CG219" s="165">
        <f t="shared" si="117"/>
        <v>1347886292</v>
      </c>
      <c r="CH219" s="165">
        <f t="shared" si="117"/>
        <v>0</v>
      </c>
      <c r="CI219" s="165">
        <f t="shared" si="117"/>
        <v>0</v>
      </c>
      <c r="CJ219" s="165">
        <f t="shared" si="117"/>
        <v>0</v>
      </c>
      <c r="CK219" s="165">
        <f t="shared" si="117"/>
        <v>0</v>
      </c>
      <c r="CL219" s="165">
        <f t="shared" si="117"/>
        <v>0</v>
      </c>
      <c r="CM219" s="165">
        <f t="shared" si="117"/>
        <v>0</v>
      </c>
      <c r="CN219" s="165">
        <f t="shared" si="117"/>
        <v>29000000</v>
      </c>
      <c r="CO219" s="165">
        <f t="shared" si="117"/>
        <v>24040000</v>
      </c>
      <c r="CP219" s="165">
        <f t="shared" si="117"/>
        <v>24040000</v>
      </c>
      <c r="CQ219" s="165">
        <f t="shared" si="117"/>
        <v>0</v>
      </c>
      <c r="CR219" s="165">
        <f t="shared" si="117"/>
        <v>0</v>
      </c>
      <c r="CS219" s="165">
        <f t="shared" si="117"/>
        <v>0</v>
      </c>
      <c r="CT219" s="165">
        <f>CT218+CT214+CT210</f>
        <v>4167292865.2600002</v>
      </c>
      <c r="CU219" s="165">
        <f>CU218+CU214+CU210</f>
        <v>2527030453.8000002</v>
      </c>
      <c r="CV219" s="165">
        <f>CV218+CV214+CV210</f>
        <v>2527030453.8000002</v>
      </c>
    </row>
    <row r="220" spans="1:100" s="27" customFormat="1" ht="15" x14ac:dyDescent="0.25">
      <c r="A220" s="19"/>
      <c r="B220" s="177"/>
      <c r="C220" s="931"/>
      <c r="D220" s="312"/>
      <c r="E220" s="313"/>
      <c r="F220" s="313"/>
      <c r="G220" s="177"/>
      <c r="H220" s="949"/>
      <c r="I220" s="177"/>
      <c r="J220" s="314"/>
      <c r="K220" s="314"/>
      <c r="L220" s="314"/>
      <c r="M220" s="314"/>
      <c r="N220" s="179"/>
      <c r="O220" s="177"/>
      <c r="P220" s="949"/>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c r="BO220" s="180"/>
      <c r="BP220" s="180"/>
      <c r="BQ220" s="180"/>
      <c r="BR220" s="180"/>
      <c r="BS220" s="180"/>
      <c r="BT220" s="180"/>
      <c r="BU220" s="180"/>
      <c r="BV220" s="180"/>
      <c r="BW220" s="180"/>
      <c r="BX220" s="180"/>
      <c r="BY220" s="180"/>
      <c r="BZ220" s="180"/>
      <c r="CA220" s="180"/>
      <c r="CB220" s="180"/>
      <c r="CC220" s="180"/>
      <c r="CD220" s="180"/>
      <c r="CE220" s="182"/>
      <c r="CF220" s="182"/>
      <c r="CG220" s="182"/>
      <c r="CH220" s="183"/>
      <c r="CI220" s="183"/>
      <c r="CJ220" s="183"/>
      <c r="CK220" s="180"/>
      <c r="CL220" s="180"/>
      <c r="CM220" s="180"/>
      <c r="CN220" s="180"/>
      <c r="CO220" s="180"/>
      <c r="CP220" s="180"/>
      <c r="CQ220" s="180"/>
      <c r="CR220" s="180"/>
      <c r="CS220" s="180"/>
      <c r="CT220" s="25"/>
      <c r="CU220" s="76"/>
      <c r="CV220" s="76"/>
    </row>
    <row r="221" spans="1:100" ht="15" x14ac:dyDescent="0.25">
      <c r="A221" s="19"/>
      <c r="B221" s="239">
        <v>10</v>
      </c>
      <c r="C221" s="147" t="s">
        <v>271</v>
      </c>
      <c r="D221" s="146"/>
      <c r="E221" s="146"/>
      <c r="F221" s="146"/>
      <c r="G221" s="146"/>
      <c r="H221" s="147"/>
      <c r="I221" s="146"/>
      <c r="J221" s="146"/>
      <c r="K221" s="146"/>
      <c r="L221" s="146"/>
      <c r="M221" s="146"/>
      <c r="N221" s="677"/>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8"/>
      <c r="CF221" s="148"/>
      <c r="CG221" s="148"/>
      <c r="CH221" s="146"/>
      <c r="CI221" s="146"/>
      <c r="CJ221" s="146"/>
      <c r="CK221" s="146"/>
      <c r="CL221" s="146"/>
      <c r="CM221" s="146"/>
      <c r="CN221" s="146"/>
      <c r="CO221" s="146"/>
      <c r="CP221" s="146"/>
      <c r="CQ221" s="146"/>
      <c r="CR221" s="146"/>
      <c r="CS221" s="146"/>
      <c r="CT221" s="526"/>
      <c r="CU221" s="526"/>
      <c r="CV221" s="526"/>
    </row>
    <row r="222" spans="1:100" ht="15" x14ac:dyDescent="0.25">
      <c r="A222" s="19"/>
      <c r="B222" s="324"/>
      <c r="C222" s="325"/>
      <c r="D222" s="326"/>
      <c r="E222" s="326"/>
      <c r="F222" s="326"/>
      <c r="G222" s="327">
        <v>32</v>
      </c>
      <c r="H222" s="224" t="s">
        <v>272</v>
      </c>
      <c r="I222" s="224"/>
      <c r="J222" s="224"/>
      <c r="K222" s="224"/>
      <c r="L222" s="224"/>
      <c r="M222" s="224"/>
      <c r="N222" s="683"/>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224"/>
      <c r="BL222" s="224"/>
      <c r="BM222" s="224"/>
      <c r="BN222" s="224"/>
      <c r="BO222" s="224"/>
      <c r="BP222" s="224"/>
      <c r="BQ222" s="224"/>
      <c r="BR222" s="224"/>
      <c r="BS222" s="224"/>
      <c r="BT222" s="224"/>
      <c r="BU222" s="224"/>
      <c r="BV222" s="224"/>
      <c r="BW222" s="224"/>
      <c r="BX222" s="224"/>
      <c r="BY222" s="224"/>
      <c r="BZ222" s="224"/>
      <c r="CA222" s="224"/>
      <c r="CB222" s="224"/>
      <c r="CC222" s="224"/>
      <c r="CD222" s="224"/>
      <c r="CE222" s="225"/>
      <c r="CF222" s="225"/>
      <c r="CG222" s="225"/>
      <c r="CH222" s="224"/>
      <c r="CI222" s="224"/>
      <c r="CJ222" s="224"/>
      <c r="CK222" s="224"/>
      <c r="CL222" s="224"/>
      <c r="CM222" s="224"/>
      <c r="CN222" s="224"/>
      <c r="CO222" s="224"/>
      <c r="CP222" s="224"/>
      <c r="CQ222" s="224"/>
      <c r="CR222" s="224"/>
      <c r="CS222" s="224"/>
      <c r="CT222" s="736"/>
      <c r="CU222" s="736"/>
      <c r="CV222" s="736"/>
    </row>
    <row r="223" spans="1:100" ht="92.25" customHeight="1" x14ac:dyDescent="0.25">
      <c r="A223" s="19"/>
      <c r="B223" s="18"/>
      <c r="C223" s="916" t="s">
        <v>273</v>
      </c>
      <c r="D223" s="942" t="s">
        <v>274</v>
      </c>
      <c r="E223" s="943" t="s">
        <v>275</v>
      </c>
      <c r="F223" s="941" t="s">
        <v>276</v>
      </c>
      <c r="G223" s="928"/>
      <c r="H223" s="929">
        <v>119</v>
      </c>
      <c r="I223" s="928" t="s">
        <v>277</v>
      </c>
      <c r="J223" s="30">
        <v>10</v>
      </c>
      <c r="K223" s="30">
        <v>9</v>
      </c>
      <c r="L223" s="30">
        <v>11</v>
      </c>
      <c r="M223" s="30" t="s">
        <v>247</v>
      </c>
      <c r="N223" s="36" t="s">
        <v>278</v>
      </c>
      <c r="O223" s="928" t="s">
        <v>279</v>
      </c>
      <c r="P223" s="929" t="s">
        <v>34</v>
      </c>
      <c r="Q223" s="319">
        <v>0</v>
      </c>
      <c r="R223" s="319"/>
      <c r="S223" s="319"/>
      <c r="T223" s="319">
        <v>0</v>
      </c>
      <c r="U223" s="319"/>
      <c r="V223" s="319"/>
      <c r="W223" s="319">
        <v>0</v>
      </c>
      <c r="X223" s="319"/>
      <c r="Y223" s="319"/>
      <c r="Z223" s="319">
        <v>0</v>
      </c>
      <c r="AA223" s="319"/>
      <c r="AB223" s="319"/>
      <c r="AC223" s="319">
        <v>0</v>
      </c>
      <c r="AD223" s="319"/>
      <c r="AE223" s="319"/>
      <c r="AF223" s="319">
        <v>0</v>
      </c>
      <c r="AG223" s="319"/>
      <c r="AH223" s="319"/>
      <c r="AI223" s="319">
        <v>0</v>
      </c>
      <c r="AJ223" s="319"/>
      <c r="AK223" s="319"/>
      <c r="AL223" s="319"/>
      <c r="AM223" s="319"/>
      <c r="AN223" s="319"/>
      <c r="AO223" s="319"/>
      <c r="AP223" s="319"/>
      <c r="AQ223" s="319"/>
      <c r="AR223" s="319"/>
      <c r="AS223" s="319"/>
      <c r="AT223" s="319"/>
      <c r="AU223" s="319">
        <v>0</v>
      </c>
      <c r="AV223" s="319"/>
      <c r="AW223" s="319"/>
      <c r="AX223" s="319"/>
      <c r="AY223" s="319"/>
      <c r="AZ223" s="319"/>
      <c r="BA223" s="319">
        <v>0</v>
      </c>
      <c r="BB223" s="319"/>
      <c r="BC223" s="319"/>
      <c r="BD223" s="319">
        <v>0</v>
      </c>
      <c r="BE223" s="319"/>
      <c r="BF223" s="319"/>
      <c r="BG223" s="319">
        <v>0</v>
      </c>
      <c r="BH223" s="319"/>
      <c r="BI223" s="319"/>
      <c r="BJ223" s="319">
        <v>0</v>
      </c>
      <c r="BK223" s="319"/>
      <c r="BL223" s="319"/>
      <c r="BM223" s="319"/>
      <c r="BN223" s="319"/>
      <c r="BO223" s="319"/>
      <c r="BP223" s="319">
        <v>0</v>
      </c>
      <c r="BQ223" s="319"/>
      <c r="BR223" s="319"/>
      <c r="BS223" s="319">
        <v>0</v>
      </c>
      <c r="BT223" s="319"/>
      <c r="BU223" s="319"/>
      <c r="BV223" s="319">
        <v>0</v>
      </c>
      <c r="BW223" s="319"/>
      <c r="BX223" s="319"/>
      <c r="BY223" s="319">
        <v>0</v>
      </c>
      <c r="BZ223" s="319"/>
      <c r="CA223" s="319"/>
      <c r="CB223" s="319">
        <v>0</v>
      </c>
      <c r="CC223" s="319"/>
      <c r="CD223" s="319"/>
      <c r="CE223" s="114">
        <v>193900000</v>
      </c>
      <c r="CF223" s="114">
        <v>156055000</v>
      </c>
      <c r="CG223" s="114">
        <v>156055000</v>
      </c>
      <c r="CH223" s="328"/>
      <c r="CI223" s="328"/>
      <c r="CJ223" s="328"/>
      <c r="CK223" s="25">
        <f>236949833+154613084-19000000-30272190</f>
        <v>342290727</v>
      </c>
      <c r="CL223" s="26">
        <v>185833966</v>
      </c>
      <c r="CM223" s="26">
        <v>185833966</v>
      </c>
      <c r="CN223" s="58">
        <v>0</v>
      </c>
      <c r="CO223" s="58"/>
      <c r="CP223" s="58"/>
      <c r="CQ223" s="58"/>
      <c r="CR223" s="58"/>
      <c r="CS223" s="58"/>
      <c r="CT223" s="25">
        <f>Q223+T223+W223+Z223+AC223+AF223+AI223+AL223+AO223+AR223+AU223+AX223+BA223+BD223+BG223+BJ223+BM223+BP223+BS223+BV223+BY223+CB223+CE223+CH223+CK223+CQ223+CN223</f>
        <v>536190727</v>
      </c>
      <c r="CU223" s="25">
        <f>R223+U223+X223+AA223+AD223+AG223+AJ223+AM223+AP223+AS223+AV223+AY223+BB223+BE223+BH223+BK223+BN223+BQ223+BT223+BW223+BZ223+CC223+CF223+CI223+CL223+CR223+CO223</f>
        <v>341888966</v>
      </c>
      <c r="CV223" s="25">
        <f>S223+V223+Y223+AB223+AE223+AH223+AK223+AN223+AQ223+AT223+AW223+AZ223+BC223+BF223+BI223+BL223+BO223+BR223+BU223+BX223+CA223+CD223+CG223+CJ223+CM223+CS223+CP223</f>
        <v>341888966</v>
      </c>
    </row>
    <row r="224" spans="1:100" s="46" customFormat="1" ht="20.25" x14ac:dyDescent="0.25">
      <c r="A224" s="19"/>
      <c r="B224" s="18"/>
      <c r="C224" s="581"/>
      <c r="D224" s="310"/>
      <c r="E224" s="966"/>
      <c r="F224" s="966"/>
      <c r="G224" s="154"/>
      <c r="H224" s="155"/>
      <c r="I224" s="154"/>
      <c r="J224" s="311"/>
      <c r="K224" s="311"/>
      <c r="L224" s="311"/>
      <c r="M224" s="311"/>
      <c r="N224" s="157"/>
      <c r="O224" s="154"/>
      <c r="P224" s="155"/>
      <c r="Q224" s="158">
        <f t="shared" ref="Q224:CK224" si="118">SUM(Q223)</f>
        <v>0</v>
      </c>
      <c r="R224" s="158">
        <f t="shared" si="118"/>
        <v>0</v>
      </c>
      <c r="S224" s="158">
        <f t="shared" si="118"/>
        <v>0</v>
      </c>
      <c r="T224" s="158">
        <f t="shared" si="118"/>
        <v>0</v>
      </c>
      <c r="U224" s="158">
        <f t="shared" si="118"/>
        <v>0</v>
      </c>
      <c r="V224" s="158">
        <f t="shared" si="118"/>
        <v>0</v>
      </c>
      <c r="W224" s="158">
        <f t="shared" si="118"/>
        <v>0</v>
      </c>
      <c r="X224" s="158">
        <f t="shared" si="118"/>
        <v>0</v>
      </c>
      <c r="Y224" s="158">
        <f t="shared" si="118"/>
        <v>0</v>
      </c>
      <c r="Z224" s="158">
        <f t="shared" si="118"/>
        <v>0</v>
      </c>
      <c r="AA224" s="158">
        <f t="shared" si="118"/>
        <v>0</v>
      </c>
      <c r="AB224" s="158">
        <f t="shared" si="118"/>
        <v>0</v>
      </c>
      <c r="AC224" s="158">
        <f t="shared" si="118"/>
        <v>0</v>
      </c>
      <c r="AD224" s="158">
        <f t="shared" si="118"/>
        <v>0</v>
      </c>
      <c r="AE224" s="158">
        <f t="shared" si="118"/>
        <v>0</v>
      </c>
      <c r="AF224" s="158">
        <f t="shared" si="118"/>
        <v>0</v>
      </c>
      <c r="AG224" s="158">
        <f t="shared" si="118"/>
        <v>0</v>
      </c>
      <c r="AH224" s="158">
        <f t="shared" si="118"/>
        <v>0</v>
      </c>
      <c r="AI224" s="158">
        <f t="shared" si="118"/>
        <v>0</v>
      </c>
      <c r="AJ224" s="158">
        <f t="shared" si="118"/>
        <v>0</v>
      </c>
      <c r="AK224" s="158">
        <f t="shared" si="118"/>
        <v>0</v>
      </c>
      <c r="AL224" s="158">
        <f t="shared" si="118"/>
        <v>0</v>
      </c>
      <c r="AM224" s="158">
        <f t="shared" si="118"/>
        <v>0</v>
      </c>
      <c r="AN224" s="158">
        <f t="shared" si="118"/>
        <v>0</v>
      </c>
      <c r="AO224" s="158">
        <f t="shared" si="118"/>
        <v>0</v>
      </c>
      <c r="AP224" s="158">
        <f t="shared" si="118"/>
        <v>0</v>
      </c>
      <c r="AQ224" s="158">
        <f t="shared" si="118"/>
        <v>0</v>
      </c>
      <c r="AR224" s="158">
        <f t="shared" si="118"/>
        <v>0</v>
      </c>
      <c r="AS224" s="158">
        <f t="shared" si="118"/>
        <v>0</v>
      </c>
      <c r="AT224" s="158">
        <f t="shared" si="118"/>
        <v>0</v>
      </c>
      <c r="AU224" s="158">
        <f t="shared" si="118"/>
        <v>0</v>
      </c>
      <c r="AV224" s="158">
        <f t="shared" si="118"/>
        <v>0</v>
      </c>
      <c r="AW224" s="158">
        <f t="shared" si="118"/>
        <v>0</v>
      </c>
      <c r="AX224" s="158">
        <f t="shared" si="118"/>
        <v>0</v>
      </c>
      <c r="AY224" s="158">
        <f t="shared" si="118"/>
        <v>0</v>
      </c>
      <c r="AZ224" s="158">
        <f t="shared" si="118"/>
        <v>0</v>
      </c>
      <c r="BA224" s="158">
        <f t="shared" si="118"/>
        <v>0</v>
      </c>
      <c r="BB224" s="158">
        <f t="shared" si="118"/>
        <v>0</v>
      </c>
      <c r="BC224" s="158">
        <f t="shared" si="118"/>
        <v>0</v>
      </c>
      <c r="BD224" s="158">
        <f t="shared" si="118"/>
        <v>0</v>
      </c>
      <c r="BE224" s="158">
        <f t="shared" si="118"/>
        <v>0</v>
      </c>
      <c r="BF224" s="158">
        <f t="shared" si="118"/>
        <v>0</v>
      </c>
      <c r="BG224" s="158">
        <f t="shared" si="118"/>
        <v>0</v>
      </c>
      <c r="BH224" s="158">
        <f t="shared" si="118"/>
        <v>0</v>
      </c>
      <c r="BI224" s="158">
        <f t="shared" si="118"/>
        <v>0</v>
      </c>
      <c r="BJ224" s="158">
        <f t="shared" si="118"/>
        <v>0</v>
      </c>
      <c r="BK224" s="158">
        <f t="shared" si="118"/>
        <v>0</v>
      </c>
      <c r="BL224" s="158">
        <f t="shared" si="118"/>
        <v>0</v>
      </c>
      <c r="BM224" s="158">
        <f t="shared" si="118"/>
        <v>0</v>
      </c>
      <c r="BN224" s="158">
        <f t="shared" si="118"/>
        <v>0</v>
      </c>
      <c r="BO224" s="158">
        <f t="shared" si="118"/>
        <v>0</v>
      </c>
      <c r="BP224" s="158">
        <f t="shared" si="118"/>
        <v>0</v>
      </c>
      <c r="BQ224" s="158">
        <f t="shared" si="118"/>
        <v>0</v>
      </c>
      <c r="BR224" s="158">
        <f t="shared" si="118"/>
        <v>0</v>
      </c>
      <c r="BS224" s="158">
        <f t="shared" si="118"/>
        <v>0</v>
      </c>
      <c r="BT224" s="158">
        <f t="shared" si="118"/>
        <v>0</v>
      </c>
      <c r="BU224" s="158">
        <f t="shared" si="118"/>
        <v>0</v>
      </c>
      <c r="BV224" s="158">
        <f t="shared" si="118"/>
        <v>0</v>
      </c>
      <c r="BW224" s="158">
        <f t="shared" si="118"/>
        <v>0</v>
      </c>
      <c r="BX224" s="158">
        <f t="shared" si="118"/>
        <v>0</v>
      </c>
      <c r="BY224" s="158">
        <f t="shared" si="118"/>
        <v>0</v>
      </c>
      <c r="BZ224" s="158">
        <f t="shared" si="118"/>
        <v>0</v>
      </c>
      <c r="CA224" s="158">
        <f t="shared" si="118"/>
        <v>0</v>
      </c>
      <c r="CB224" s="158">
        <f t="shared" si="118"/>
        <v>0</v>
      </c>
      <c r="CC224" s="158">
        <f t="shared" si="118"/>
        <v>0</v>
      </c>
      <c r="CD224" s="158">
        <f t="shared" si="118"/>
        <v>0</v>
      </c>
      <c r="CE224" s="158">
        <f t="shared" si="118"/>
        <v>193900000</v>
      </c>
      <c r="CF224" s="158">
        <f t="shared" si="118"/>
        <v>156055000</v>
      </c>
      <c r="CG224" s="158">
        <f t="shared" si="118"/>
        <v>156055000</v>
      </c>
      <c r="CH224" s="158">
        <f t="shared" si="118"/>
        <v>0</v>
      </c>
      <c r="CI224" s="158">
        <f t="shared" si="118"/>
        <v>0</v>
      </c>
      <c r="CJ224" s="158">
        <f t="shared" si="118"/>
        <v>0</v>
      </c>
      <c r="CK224" s="158">
        <f t="shared" si="118"/>
        <v>342290727</v>
      </c>
      <c r="CL224" s="158">
        <f t="shared" ref="CL224:CS224" si="119">SUM(CL223)</f>
        <v>185833966</v>
      </c>
      <c r="CM224" s="158">
        <f t="shared" si="119"/>
        <v>185833966</v>
      </c>
      <c r="CN224" s="158">
        <f t="shared" si="119"/>
        <v>0</v>
      </c>
      <c r="CO224" s="158">
        <f t="shared" si="119"/>
        <v>0</v>
      </c>
      <c r="CP224" s="158">
        <f t="shared" si="119"/>
        <v>0</v>
      </c>
      <c r="CQ224" s="158">
        <f t="shared" si="119"/>
        <v>0</v>
      </c>
      <c r="CR224" s="158">
        <f t="shared" si="119"/>
        <v>0</v>
      </c>
      <c r="CS224" s="158">
        <f t="shared" si="119"/>
        <v>0</v>
      </c>
      <c r="CT224" s="158">
        <f>SUM(CT223)</f>
        <v>536190727</v>
      </c>
      <c r="CU224" s="158">
        <f>SUM(CU223)</f>
        <v>341888966</v>
      </c>
      <c r="CV224" s="158">
        <f>SUM(CV223)</f>
        <v>341888966</v>
      </c>
    </row>
    <row r="225" spans="1:100" s="46" customFormat="1" ht="20.25" x14ac:dyDescent="0.25">
      <c r="A225" s="19"/>
      <c r="B225" s="18"/>
      <c r="C225" s="931"/>
      <c r="D225" s="312"/>
      <c r="E225" s="313"/>
      <c r="F225" s="313"/>
      <c r="G225" s="177"/>
      <c r="H225" s="949"/>
      <c r="I225" s="177"/>
      <c r="J225" s="314"/>
      <c r="K225" s="314"/>
      <c r="L225" s="329"/>
      <c r="M225" s="329"/>
      <c r="N225" s="230"/>
      <c r="O225" s="221"/>
      <c r="P225" s="949"/>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c r="BZ225" s="180"/>
      <c r="CA225" s="180"/>
      <c r="CB225" s="180"/>
      <c r="CC225" s="180"/>
      <c r="CD225" s="180"/>
      <c r="CE225" s="182"/>
      <c r="CF225" s="182"/>
      <c r="CG225" s="182"/>
      <c r="CH225" s="183"/>
      <c r="CI225" s="183"/>
      <c r="CJ225" s="183"/>
      <c r="CK225" s="180"/>
      <c r="CL225" s="180"/>
      <c r="CM225" s="180"/>
      <c r="CN225" s="180"/>
      <c r="CO225" s="180"/>
      <c r="CP225" s="180"/>
      <c r="CQ225" s="180"/>
      <c r="CR225" s="180"/>
      <c r="CS225" s="180"/>
      <c r="CT225" s="25"/>
      <c r="CU225" s="743"/>
      <c r="CV225" s="743"/>
    </row>
    <row r="226" spans="1:100" s="46" customFormat="1" ht="20.25" x14ac:dyDescent="0.25">
      <c r="A226" s="19"/>
      <c r="B226" s="18"/>
      <c r="C226" s="945"/>
      <c r="D226" s="315"/>
      <c r="E226" s="316"/>
      <c r="F226" s="316"/>
      <c r="G226" s="188">
        <v>33</v>
      </c>
      <c r="H226" s="189" t="s">
        <v>280</v>
      </c>
      <c r="I226" s="189"/>
      <c r="J226" s="189"/>
      <c r="K226" s="189"/>
      <c r="L226" s="189"/>
      <c r="M226" s="189"/>
      <c r="N226" s="684"/>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90"/>
      <c r="CF226" s="190"/>
      <c r="CG226" s="190"/>
      <c r="CH226" s="189"/>
      <c r="CI226" s="189"/>
      <c r="CJ226" s="189"/>
      <c r="CK226" s="189"/>
      <c r="CL226" s="189"/>
      <c r="CM226" s="189"/>
      <c r="CN226" s="189"/>
      <c r="CO226" s="189"/>
      <c r="CP226" s="189"/>
      <c r="CQ226" s="189"/>
      <c r="CR226" s="189"/>
      <c r="CS226" s="189"/>
      <c r="CT226" s="522"/>
      <c r="CU226" s="522"/>
      <c r="CV226" s="522"/>
    </row>
    <row r="227" spans="1:100" ht="56.25" customHeight="1" x14ac:dyDescent="0.25">
      <c r="A227" s="19"/>
      <c r="B227" s="18"/>
      <c r="C227" s="1021" t="s">
        <v>281</v>
      </c>
      <c r="D227" s="1151" t="s">
        <v>282</v>
      </c>
      <c r="E227" s="1153" t="s">
        <v>283</v>
      </c>
      <c r="F227" s="1094" t="s">
        <v>284</v>
      </c>
      <c r="G227" s="22"/>
      <c r="H227" s="929">
        <v>120</v>
      </c>
      <c r="I227" s="153" t="s">
        <v>285</v>
      </c>
      <c r="J227" s="330">
        <v>0</v>
      </c>
      <c r="K227" s="64">
        <v>3</v>
      </c>
      <c r="L227" s="64">
        <v>3</v>
      </c>
      <c r="M227" s="1025" t="s">
        <v>247</v>
      </c>
      <c r="N227" s="1017" t="s">
        <v>286</v>
      </c>
      <c r="O227" s="1098" t="s">
        <v>287</v>
      </c>
      <c r="P227" s="929" t="s">
        <v>34</v>
      </c>
      <c r="Q227" s="25">
        <v>0</v>
      </c>
      <c r="R227" s="25"/>
      <c r="S227" s="25"/>
      <c r="T227" s="25">
        <v>0</v>
      </c>
      <c r="U227" s="25"/>
      <c r="V227" s="25"/>
      <c r="W227" s="25">
        <v>0</v>
      </c>
      <c r="X227" s="25"/>
      <c r="Y227" s="25"/>
      <c r="Z227" s="25">
        <v>0</v>
      </c>
      <c r="AA227" s="25"/>
      <c r="AB227" s="25"/>
      <c r="AC227" s="25">
        <v>0</v>
      </c>
      <c r="AD227" s="25"/>
      <c r="AE227" s="25"/>
      <c r="AF227" s="25">
        <v>0</v>
      </c>
      <c r="AG227" s="25"/>
      <c r="AH227" s="25"/>
      <c r="AI227" s="25">
        <v>0</v>
      </c>
      <c r="AJ227" s="25"/>
      <c r="AK227" s="25"/>
      <c r="AL227" s="25"/>
      <c r="AM227" s="25"/>
      <c r="AN227" s="25"/>
      <c r="AO227" s="25"/>
      <c r="AP227" s="25"/>
      <c r="AQ227" s="25"/>
      <c r="AR227" s="25"/>
      <c r="AS227" s="25"/>
      <c r="AT227" s="25"/>
      <c r="AU227" s="25">
        <v>0</v>
      </c>
      <c r="AV227" s="25"/>
      <c r="AW227" s="25"/>
      <c r="AX227" s="25"/>
      <c r="AY227" s="25"/>
      <c r="AZ227" s="25"/>
      <c r="BA227" s="25">
        <v>0</v>
      </c>
      <c r="BB227" s="25"/>
      <c r="BC227" s="25"/>
      <c r="BD227" s="25">
        <v>0</v>
      </c>
      <c r="BE227" s="25"/>
      <c r="BF227" s="25"/>
      <c r="BG227" s="25"/>
      <c r="BH227" s="25"/>
      <c r="BI227" s="25"/>
      <c r="BJ227" s="25"/>
      <c r="BK227" s="25"/>
      <c r="BL227" s="25"/>
      <c r="BM227" s="25"/>
      <c r="BN227" s="25"/>
      <c r="BO227" s="25"/>
      <c r="BP227" s="25"/>
      <c r="BQ227" s="25"/>
      <c r="BR227" s="25"/>
      <c r="BS227" s="25"/>
      <c r="BT227" s="25"/>
      <c r="BU227" s="25"/>
      <c r="BV227" s="25"/>
      <c r="BW227" s="25"/>
      <c r="BX227" s="25"/>
      <c r="BY227" s="25">
        <v>0</v>
      </c>
      <c r="BZ227" s="25"/>
      <c r="CA227" s="25"/>
      <c r="CB227" s="25">
        <v>0</v>
      </c>
      <c r="CC227" s="25"/>
      <c r="CD227" s="25"/>
      <c r="CE227" s="110">
        <f>50000000-21000000-6000000</f>
        <v>23000000</v>
      </c>
      <c r="CF227" s="110"/>
      <c r="CG227" s="110"/>
      <c r="CH227" s="13"/>
      <c r="CI227" s="13"/>
      <c r="CJ227" s="13"/>
      <c r="CK227" s="319">
        <v>0</v>
      </c>
      <c r="CL227" s="288"/>
      <c r="CM227" s="288"/>
      <c r="CN227" s="288">
        <v>0</v>
      </c>
      <c r="CO227" s="288"/>
      <c r="CP227" s="288"/>
      <c r="CQ227" s="288"/>
      <c r="CR227" s="288"/>
      <c r="CS227" s="288"/>
      <c r="CT227" s="25">
        <f t="shared" ref="CT227:CV228" si="120">Q227+T227+W227+Z227+AC227+AF227+AI227+AL227+AO227+AR227+AU227+AX227+BA227+BD227+BG227+BJ227+BM227+BP227+BS227+BV227+BY227+CB227+CE227+CH227+CK227+CQ227+CN227</f>
        <v>23000000</v>
      </c>
      <c r="CU227" s="25">
        <f t="shared" si="120"/>
        <v>0</v>
      </c>
      <c r="CV227" s="25">
        <f t="shared" si="120"/>
        <v>0</v>
      </c>
    </row>
    <row r="228" spans="1:100" ht="42.75" x14ac:dyDescent="0.25">
      <c r="A228" s="19"/>
      <c r="B228" s="18"/>
      <c r="C228" s="1022"/>
      <c r="D228" s="1152"/>
      <c r="E228" s="1154"/>
      <c r="F228" s="1095"/>
      <c r="G228" s="29"/>
      <c r="H228" s="929">
        <v>121</v>
      </c>
      <c r="I228" s="153" t="s">
        <v>288</v>
      </c>
      <c r="J228" s="330">
        <v>9</v>
      </c>
      <c r="K228" s="646">
        <v>4</v>
      </c>
      <c r="L228" s="646">
        <v>4</v>
      </c>
      <c r="M228" s="1108"/>
      <c r="N228" s="1019"/>
      <c r="O228" s="1100"/>
      <c r="P228" s="929" t="s">
        <v>34</v>
      </c>
      <c r="Q228" s="25">
        <v>0</v>
      </c>
      <c r="R228" s="25"/>
      <c r="S228" s="25"/>
      <c r="T228" s="25">
        <v>0</v>
      </c>
      <c r="U228" s="25"/>
      <c r="V228" s="25"/>
      <c r="W228" s="25">
        <v>0</v>
      </c>
      <c r="X228" s="25"/>
      <c r="Y228" s="25"/>
      <c r="Z228" s="25">
        <v>0</v>
      </c>
      <c r="AA228" s="25"/>
      <c r="AB228" s="25"/>
      <c r="AC228" s="25">
        <v>0</v>
      </c>
      <c r="AD228" s="25"/>
      <c r="AE228" s="25"/>
      <c r="AF228" s="25">
        <v>0</v>
      </c>
      <c r="AG228" s="25"/>
      <c r="AH228" s="25"/>
      <c r="AI228" s="25">
        <v>0</v>
      </c>
      <c r="AJ228" s="25"/>
      <c r="AK228" s="25"/>
      <c r="AL228" s="25"/>
      <c r="AM228" s="25"/>
      <c r="AN228" s="25"/>
      <c r="AO228" s="25"/>
      <c r="AP228" s="25"/>
      <c r="AQ228" s="25"/>
      <c r="AR228" s="25"/>
      <c r="AS228" s="25"/>
      <c r="AT228" s="25"/>
      <c r="AU228" s="25">
        <v>0</v>
      </c>
      <c r="AV228" s="25"/>
      <c r="AW228" s="25"/>
      <c r="AX228" s="25"/>
      <c r="AY228" s="25"/>
      <c r="AZ228" s="25"/>
      <c r="BA228" s="25">
        <v>0</v>
      </c>
      <c r="BB228" s="25"/>
      <c r="BC228" s="25"/>
      <c r="BD228" s="25">
        <v>0</v>
      </c>
      <c r="BE228" s="25"/>
      <c r="BF228" s="25"/>
      <c r="BG228" s="25"/>
      <c r="BH228" s="25"/>
      <c r="BI228" s="25"/>
      <c r="BJ228" s="25"/>
      <c r="BK228" s="25"/>
      <c r="BL228" s="25"/>
      <c r="BM228" s="25"/>
      <c r="BN228" s="25"/>
      <c r="BO228" s="25"/>
      <c r="BP228" s="25"/>
      <c r="BQ228" s="25"/>
      <c r="BR228" s="25"/>
      <c r="BS228" s="25"/>
      <c r="BT228" s="25"/>
      <c r="BU228" s="25"/>
      <c r="BV228" s="25"/>
      <c r="BW228" s="25"/>
      <c r="BX228" s="25"/>
      <c r="BY228" s="25">
        <v>0</v>
      </c>
      <c r="BZ228" s="25"/>
      <c r="CA228" s="25"/>
      <c r="CB228" s="25">
        <v>0</v>
      </c>
      <c r="CC228" s="25"/>
      <c r="CD228" s="25"/>
      <c r="CE228" s="110">
        <f>50000000+50000000+27000000</f>
        <v>127000000</v>
      </c>
      <c r="CF228" s="110">
        <v>126436000</v>
      </c>
      <c r="CG228" s="110">
        <v>126436000</v>
      </c>
      <c r="CH228" s="13"/>
      <c r="CI228" s="13"/>
      <c r="CJ228" s="13"/>
      <c r="CK228" s="25">
        <v>0</v>
      </c>
      <c r="CL228" s="26"/>
      <c r="CM228" s="26"/>
      <c r="CN228" s="288">
        <v>0</v>
      </c>
      <c r="CO228" s="288"/>
      <c r="CP228" s="288"/>
      <c r="CQ228" s="288"/>
      <c r="CR228" s="288"/>
      <c r="CS228" s="288"/>
      <c r="CT228" s="25">
        <f t="shared" si="120"/>
        <v>127000000</v>
      </c>
      <c r="CU228" s="25">
        <f t="shared" si="120"/>
        <v>126436000</v>
      </c>
      <c r="CV228" s="25">
        <f t="shared" si="120"/>
        <v>126436000</v>
      </c>
    </row>
    <row r="229" spans="1:100" ht="15" x14ac:dyDescent="0.25">
      <c r="A229" s="19"/>
      <c r="B229" s="331"/>
      <c r="C229" s="581"/>
      <c r="D229" s="310"/>
      <c r="E229" s="966"/>
      <c r="F229" s="966"/>
      <c r="G229" s="154"/>
      <c r="H229" s="155"/>
      <c r="I229" s="154"/>
      <c r="J229" s="311"/>
      <c r="K229" s="155"/>
      <c r="L229" s="155"/>
      <c r="M229" s="155"/>
      <c r="N229" s="157"/>
      <c r="O229" s="154"/>
      <c r="P229" s="155"/>
      <c r="Q229" s="158">
        <f>SUM(Q227:Q228)</f>
        <v>0</v>
      </c>
      <c r="R229" s="158">
        <f t="shared" ref="R229:CC229" si="121">SUM(R227:R228)</f>
        <v>0</v>
      </c>
      <c r="S229" s="158">
        <f t="shared" si="121"/>
        <v>0</v>
      </c>
      <c r="T229" s="158">
        <f t="shared" si="121"/>
        <v>0</v>
      </c>
      <c r="U229" s="158">
        <f t="shared" si="121"/>
        <v>0</v>
      </c>
      <c r="V229" s="158">
        <f t="shared" si="121"/>
        <v>0</v>
      </c>
      <c r="W229" s="158">
        <f t="shared" si="121"/>
        <v>0</v>
      </c>
      <c r="X229" s="158">
        <f t="shared" si="121"/>
        <v>0</v>
      </c>
      <c r="Y229" s="158">
        <f t="shared" si="121"/>
        <v>0</v>
      </c>
      <c r="Z229" s="158">
        <f t="shared" si="121"/>
        <v>0</v>
      </c>
      <c r="AA229" s="158">
        <f t="shared" si="121"/>
        <v>0</v>
      </c>
      <c r="AB229" s="158">
        <f t="shared" si="121"/>
        <v>0</v>
      </c>
      <c r="AC229" s="158">
        <f t="shared" si="121"/>
        <v>0</v>
      </c>
      <c r="AD229" s="158">
        <f t="shared" si="121"/>
        <v>0</v>
      </c>
      <c r="AE229" s="158">
        <f t="shared" si="121"/>
        <v>0</v>
      </c>
      <c r="AF229" s="158">
        <f t="shared" si="121"/>
        <v>0</v>
      </c>
      <c r="AG229" s="158">
        <f t="shared" si="121"/>
        <v>0</v>
      </c>
      <c r="AH229" s="158">
        <f t="shared" si="121"/>
        <v>0</v>
      </c>
      <c r="AI229" s="158">
        <f t="shared" si="121"/>
        <v>0</v>
      </c>
      <c r="AJ229" s="158">
        <f t="shared" si="121"/>
        <v>0</v>
      </c>
      <c r="AK229" s="158">
        <f t="shared" si="121"/>
        <v>0</v>
      </c>
      <c r="AL229" s="158">
        <f t="shared" si="121"/>
        <v>0</v>
      </c>
      <c r="AM229" s="158">
        <f t="shared" si="121"/>
        <v>0</v>
      </c>
      <c r="AN229" s="158">
        <f t="shared" si="121"/>
        <v>0</v>
      </c>
      <c r="AO229" s="158">
        <f t="shared" si="121"/>
        <v>0</v>
      </c>
      <c r="AP229" s="158">
        <f t="shared" si="121"/>
        <v>0</v>
      </c>
      <c r="AQ229" s="158">
        <f t="shared" si="121"/>
        <v>0</v>
      </c>
      <c r="AR229" s="158">
        <f t="shared" si="121"/>
        <v>0</v>
      </c>
      <c r="AS229" s="158">
        <f t="shared" si="121"/>
        <v>0</v>
      </c>
      <c r="AT229" s="158">
        <f t="shared" si="121"/>
        <v>0</v>
      </c>
      <c r="AU229" s="158">
        <f t="shared" si="121"/>
        <v>0</v>
      </c>
      <c r="AV229" s="158">
        <f t="shared" si="121"/>
        <v>0</v>
      </c>
      <c r="AW229" s="158">
        <f t="shared" si="121"/>
        <v>0</v>
      </c>
      <c r="AX229" s="158">
        <f t="shared" si="121"/>
        <v>0</v>
      </c>
      <c r="AY229" s="158">
        <f t="shared" si="121"/>
        <v>0</v>
      </c>
      <c r="AZ229" s="158">
        <f t="shared" si="121"/>
        <v>0</v>
      </c>
      <c r="BA229" s="158">
        <f t="shared" si="121"/>
        <v>0</v>
      </c>
      <c r="BB229" s="158">
        <f t="shared" si="121"/>
        <v>0</v>
      </c>
      <c r="BC229" s="158">
        <f t="shared" si="121"/>
        <v>0</v>
      </c>
      <c r="BD229" s="158">
        <f t="shared" si="121"/>
        <v>0</v>
      </c>
      <c r="BE229" s="158">
        <f t="shared" si="121"/>
        <v>0</v>
      </c>
      <c r="BF229" s="158">
        <f t="shared" si="121"/>
        <v>0</v>
      </c>
      <c r="BG229" s="158">
        <f t="shared" si="121"/>
        <v>0</v>
      </c>
      <c r="BH229" s="158">
        <f t="shared" si="121"/>
        <v>0</v>
      </c>
      <c r="BI229" s="158">
        <f t="shared" si="121"/>
        <v>0</v>
      </c>
      <c r="BJ229" s="158">
        <f t="shared" si="121"/>
        <v>0</v>
      </c>
      <c r="BK229" s="158">
        <f t="shared" si="121"/>
        <v>0</v>
      </c>
      <c r="BL229" s="158">
        <f t="shared" si="121"/>
        <v>0</v>
      </c>
      <c r="BM229" s="158">
        <f t="shared" si="121"/>
        <v>0</v>
      </c>
      <c r="BN229" s="158">
        <f t="shared" si="121"/>
        <v>0</v>
      </c>
      <c r="BO229" s="158">
        <f t="shared" si="121"/>
        <v>0</v>
      </c>
      <c r="BP229" s="158">
        <f t="shared" si="121"/>
        <v>0</v>
      </c>
      <c r="BQ229" s="158">
        <f t="shared" si="121"/>
        <v>0</v>
      </c>
      <c r="BR229" s="158">
        <f t="shared" si="121"/>
        <v>0</v>
      </c>
      <c r="BS229" s="158">
        <f t="shared" si="121"/>
        <v>0</v>
      </c>
      <c r="BT229" s="158">
        <f t="shared" si="121"/>
        <v>0</v>
      </c>
      <c r="BU229" s="158">
        <f t="shared" si="121"/>
        <v>0</v>
      </c>
      <c r="BV229" s="158">
        <f t="shared" si="121"/>
        <v>0</v>
      </c>
      <c r="BW229" s="158">
        <f t="shared" si="121"/>
        <v>0</v>
      </c>
      <c r="BX229" s="158">
        <f t="shared" si="121"/>
        <v>0</v>
      </c>
      <c r="BY229" s="158">
        <f t="shared" si="121"/>
        <v>0</v>
      </c>
      <c r="BZ229" s="158">
        <f t="shared" si="121"/>
        <v>0</v>
      </c>
      <c r="CA229" s="158">
        <f t="shared" si="121"/>
        <v>0</v>
      </c>
      <c r="CB229" s="158">
        <f t="shared" si="121"/>
        <v>0</v>
      </c>
      <c r="CC229" s="158">
        <f t="shared" si="121"/>
        <v>0</v>
      </c>
      <c r="CD229" s="158">
        <f t="shared" ref="CD229:CS229" si="122">SUM(CD227:CD228)</f>
        <v>0</v>
      </c>
      <c r="CE229" s="158">
        <f t="shared" si="122"/>
        <v>150000000</v>
      </c>
      <c r="CF229" s="158">
        <f t="shared" si="122"/>
        <v>126436000</v>
      </c>
      <c r="CG229" s="158">
        <f t="shared" si="122"/>
        <v>126436000</v>
      </c>
      <c r="CH229" s="158">
        <f t="shared" si="122"/>
        <v>0</v>
      </c>
      <c r="CI229" s="158">
        <f t="shared" si="122"/>
        <v>0</v>
      </c>
      <c r="CJ229" s="158">
        <f t="shared" si="122"/>
        <v>0</v>
      </c>
      <c r="CK229" s="158">
        <f t="shared" si="122"/>
        <v>0</v>
      </c>
      <c r="CL229" s="158">
        <f t="shared" si="122"/>
        <v>0</v>
      </c>
      <c r="CM229" s="158">
        <f t="shared" si="122"/>
        <v>0</v>
      </c>
      <c r="CN229" s="158">
        <f t="shared" si="122"/>
        <v>0</v>
      </c>
      <c r="CO229" s="158">
        <f t="shared" si="122"/>
        <v>0</v>
      </c>
      <c r="CP229" s="158">
        <f t="shared" si="122"/>
        <v>0</v>
      </c>
      <c r="CQ229" s="158">
        <f t="shared" si="122"/>
        <v>0</v>
      </c>
      <c r="CR229" s="158">
        <f t="shared" si="122"/>
        <v>0</v>
      </c>
      <c r="CS229" s="158">
        <f t="shared" si="122"/>
        <v>0</v>
      </c>
      <c r="CT229" s="158">
        <f>SUM(CT227:CT228)</f>
        <v>150000000</v>
      </c>
      <c r="CU229" s="158">
        <f>SUM(CU227:CU228)</f>
        <v>126436000</v>
      </c>
      <c r="CV229" s="158">
        <f>SUM(CV227:CV228)</f>
        <v>126436000</v>
      </c>
    </row>
    <row r="230" spans="1:100" s="27" customFormat="1" ht="15" x14ac:dyDescent="0.25">
      <c r="A230" s="152"/>
      <c r="B230" s="216"/>
      <c r="C230" s="162"/>
      <c r="D230" s="321"/>
      <c r="E230" s="322"/>
      <c r="F230" s="322"/>
      <c r="G230" s="161"/>
      <c r="H230" s="162"/>
      <c r="I230" s="161"/>
      <c r="J230" s="323"/>
      <c r="K230" s="162"/>
      <c r="L230" s="162"/>
      <c r="M230" s="162"/>
      <c r="N230" s="164"/>
      <c r="O230" s="161"/>
      <c r="P230" s="162"/>
      <c r="Q230" s="165">
        <f>Q229+Q224</f>
        <v>0</v>
      </c>
      <c r="R230" s="165">
        <f t="shared" ref="R230:CC230" si="123">R229+R224</f>
        <v>0</v>
      </c>
      <c r="S230" s="165">
        <f t="shared" si="123"/>
        <v>0</v>
      </c>
      <c r="T230" s="165">
        <f t="shared" si="123"/>
        <v>0</v>
      </c>
      <c r="U230" s="165">
        <f t="shared" si="123"/>
        <v>0</v>
      </c>
      <c r="V230" s="165">
        <f t="shared" si="123"/>
        <v>0</v>
      </c>
      <c r="W230" s="165">
        <f t="shared" si="123"/>
        <v>0</v>
      </c>
      <c r="X230" s="165">
        <f t="shared" si="123"/>
        <v>0</v>
      </c>
      <c r="Y230" s="165">
        <f t="shared" si="123"/>
        <v>0</v>
      </c>
      <c r="Z230" s="165">
        <f t="shared" si="123"/>
        <v>0</v>
      </c>
      <c r="AA230" s="165">
        <f t="shared" si="123"/>
        <v>0</v>
      </c>
      <c r="AB230" s="165">
        <f t="shared" si="123"/>
        <v>0</v>
      </c>
      <c r="AC230" s="165">
        <f t="shared" si="123"/>
        <v>0</v>
      </c>
      <c r="AD230" s="165">
        <f t="shared" si="123"/>
        <v>0</v>
      </c>
      <c r="AE230" s="165">
        <f t="shared" si="123"/>
        <v>0</v>
      </c>
      <c r="AF230" s="165">
        <f t="shared" si="123"/>
        <v>0</v>
      </c>
      <c r="AG230" s="165">
        <f t="shared" si="123"/>
        <v>0</v>
      </c>
      <c r="AH230" s="165">
        <f t="shared" si="123"/>
        <v>0</v>
      </c>
      <c r="AI230" s="165">
        <f t="shared" si="123"/>
        <v>0</v>
      </c>
      <c r="AJ230" s="165">
        <f t="shared" si="123"/>
        <v>0</v>
      </c>
      <c r="AK230" s="165">
        <f t="shared" si="123"/>
        <v>0</v>
      </c>
      <c r="AL230" s="165">
        <f t="shared" si="123"/>
        <v>0</v>
      </c>
      <c r="AM230" s="165">
        <f t="shared" si="123"/>
        <v>0</v>
      </c>
      <c r="AN230" s="165">
        <f t="shared" si="123"/>
        <v>0</v>
      </c>
      <c r="AO230" s="165">
        <f t="shared" si="123"/>
        <v>0</v>
      </c>
      <c r="AP230" s="165">
        <f t="shared" si="123"/>
        <v>0</v>
      </c>
      <c r="AQ230" s="165">
        <f t="shared" si="123"/>
        <v>0</v>
      </c>
      <c r="AR230" s="165">
        <f t="shared" si="123"/>
        <v>0</v>
      </c>
      <c r="AS230" s="165">
        <f t="shared" si="123"/>
        <v>0</v>
      </c>
      <c r="AT230" s="165">
        <f t="shared" si="123"/>
        <v>0</v>
      </c>
      <c r="AU230" s="165">
        <f t="shared" si="123"/>
        <v>0</v>
      </c>
      <c r="AV230" s="165">
        <f t="shared" si="123"/>
        <v>0</v>
      </c>
      <c r="AW230" s="165">
        <f t="shared" si="123"/>
        <v>0</v>
      </c>
      <c r="AX230" s="165">
        <f t="shared" si="123"/>
        <v>0</v>
      </c>
      <c r="AY230" s="165">
        <f t="shared" si="123"/>
        <v>0</v>
      </c>
      <c r="AZ230" s="165">
        <f t="shared" si="123"/>
        <v>0</v>
      </c>
      <c r="BA230" s="165">
        <f t="shared" si="123"/>
        <v>0</v>
      </c>
      <c r="BB230" s="165">
        <f t="shared" si="123"/>
        <v>0</v>
      </c>
      <c r="BC230" s="165">
        <f t="shared" si="123"/>
        <v>0</v>
      </c>
      <c r="BD230" s="165">
        <f t="shared" si="123"/>
        <v>0</v>
      </c>
      <c r="BE230" s="165">
        <f t="shared" si="123"/>
        <v>0</v>
      </c>
      <c r="BF230" s="165">
        <f t="shared" si="123"/>
        <v>0</v>
      </c>
      <c r="BG230" s="165">
        <f t="shared" si="123"/>
        <v>0</v>
      </c>
      <c r="BH230" s="165">
        <f t="shared" si="123"/>
        <v>0</v>
      </c>
      <c r="BI230" s="165">
        <f t="shared" si="123"/>
        <v>0</v>
      </c>
      <c r="BJ230" s="165">
        <f t="shared" si="123"/>
        <v>0</v>
      </c>
      <c r="BK230" s="165">
        <f t="shared" si="123"/>
        <v>0</v>
      </c>
      <c r="BL230" s="165">
        <f t="shared" si="123"/>
        <v>0</v>
      </c>
      <c r="BM230" s="165">
        <f t="shared" si="123"/>
        <v>0</v>
      </c>
      <c r="BN230" s="165">
        <f t="shared" si="123"/>
        <v>0</v>
      </c>
      <c r="BO230" s="165">
        <f t="shared" si="123"/>
        <v>0</v>
      </c>
      <c r="BP230" s="165">
        <f t="shared" si="123"/>
        <v>0</v>
      </c>
      <c r="BQ230" s="165">
        <f t="shared" si="123"/>
        <v>0</v>
      </c>
      <c r="BR230" s="165">
        <f t="shared" si="123"/>
        <v>0</v>
      </c>
      <c r="BS230" s="165">
        <f t="shared" si="123"/>
        <v>0</v>
      </c>
      <c r="BT230" s="165">
        <f t="shared" si="123"/>
        <v>0</v>
      </c>
      <c r="BU230" s="165">
        <f t="shared" si="123"/>
        <v>0</v>
      </c>
      <c r="BV230" s="165">
        <f t="shared" si="123"/>
        <v>0</v>
      </c>
      <c r="BW230" s="165">
        <f t="shared" si="123"/>
        <v>0</v>
      </c>
      <c r="BX230" s="165">
        <f t="shared" si="123"/>
        <v>0</v>
      </c>
      <c r="BY230" s="165">
        <f t="shared" si="123"/>
        <v>0</v>
      </c>
      <c r="BZ230" s="165">
        <f t="shared" si="123"/>
        <v>0</v>
      </c>
      <c r="CA230" s="165">
        <f t="shared" si="123"/>
        <v>0</v>
      </c>
      <c r="CB230" s="165">
        <f t="shared" si="123"/>
        <v>0</v>
      </c>
      <c r="CC230" s="165">
        <f t="shared" si="123"/>
        <v>0</v>
      </c>
      <c r="CD230" s="165">
        <f t="shared" ref="CD230:CS230" si="124">CD229+CD224</f>
        <v>0</v>
      </c>
      <c r="CE230" s="165">
        <f t="shared" si="124"/>
        <v>343900000</v>
      </c>
      <c r="CF230" s="165">
        <f t="shared" si="124"/>
        <v>282491000</v>
      </c>
      <c r="CG230" s="165">
        <f t="shared" si="124"/>
        <v>282491000</v>
      </c>
      <c r="CH230" s="165">
        <f t="shared" si="124"/>
        <v>0</v>
      </c>
      <c r="CI230" s="165">
        <f t="shared" si="124"/>
        <v>0</v>
      </c>
      <c r="CJ230" s="165">
        <f t="shared" si="124"/>
        <v>0</v>
      </c>
      <c r="CK230" s="165">
        <f t="shared" si="124"/>
        <v>342290727</v>
      </c>
      <c r="CL230" s="165">
        <f t="shared" si="124"/>
        <v>185833966</v>
      </c>
      <c r="CM230" s="165">
        <f t="shared" si="124"/>
        <v>185833966</v>
      </c>
      <c r="CN230" s="165">
        <f t="shared" si="124"/>
        <v>0</v>
      </c>
      <c r="CO230" s="165">
        <f t="shared" si="124"/>
        <v>0</v>
      </c>
      <c r="CP230" s="165">
        <f t="shared" si="124"/>
        <v>0</v>
      </c>
      <c r="CQ230" s="165">
        <f t="shared" si="124"/>
        <v>0</v>
      </c>
      <c r="CR230" s="165">
        <f t="shared" si="124"/>
        <v>0</v>
      </c>
      <c r="CS230" s="165">
        <f t="shared" si="124"/>
        <v>0</v>
      </c>
      <c r="CT230" s="165">
        <f>CT229+CT224</f>
        <v>686190727</v>
      </c>
      <c r="CU230" s="165">
        <f>CU229+CU224</f>
        <v>468324966</v>
      </c>
      <c r="CV230" s="165">
        <f>CV229+CV224</f>
        <v>468324966</v>
      </c>
    </row>
    <row r="231" spans="1:100" ht="15" x14ac:dyDescent="0.25">
      <c r="A231" s="166"/>
      <c r="B231" s="166"/>
      <c r="C231" s="167"/>
      <c r="D231" s="332"/>
      <c r="E231" s="333"/>
      <c r="F231" s="333"/>
      <c r="G231" s="166"/>
      <c r="H231" s="167"/>
      <c r="I231" s="166"/>
      <c r="J231" s="334"/>
      <c r="K231" s="167"/>
      <c r="L231" s="167"/>
      <c r="M231" s="167"/>
      <c r="N231" s="169"/>
      <c r="O231" s="166"/>
      <c r="P231" s="167"/>
      <c r="Q231" s="170">
        <f>Q230+Q219</f>
        <v>2761249840.2599998</v>
      </c>
      <c r="R231" s="170">
        <f t="shared" ref="R231:CC231" si="125">R230+R219</f>
        <v>1155104161.8</v>
      </c>
      <c r="S231" s="170">
        <f t="shared" si="125"/>
        <v>1155104161.8</v>
      </c>
      <c r="T231" s="170">
        <f t="shared" si="125"/>
        <v>0</v>
      </c>
      <c r="U231" s="170">
        <f t="shared" si="125"/>
        <v>0</v>
      </c>
      <c r="V231" s="170">
        <f t="shared" si="125"/>
        <v>0</v>
      </c>
      <c r="W231" s="170">
        <f t="shared" si="125"/>
        <v>0</v>
      </c>
      <c r="X231" s="170">
        <f t="shared" si="125"/>
        <v>0</v>
      </c>
      <c r="Y231" s="170">
        <f t="shared" si="125"/>
        <v>0</v>
      </c>
      <c r="Z231" s="170">
        <f t="shared" si="125"/>
        <v>0</v>
      </c>
      <c r="AA231" s="170">
        <f t="shared" si="125"/>
        <v>0</v>
      </c>
      <c r="AB231" s="170">
        <f t="shared" si="125"/>
        <v>0</v>
      </c>
      <c r="AC231" s="170">
        <f t="shared" si="125"/>
        <v>0</v>
      </c>
      <c r="AD231" s="170">
        <f t="shared" si="125"/>
        <v>0</v>
      </c>
      <c r="AE231" s="170">
        <f t="shared" si="125"/>
        <v>0</v>
      </c>
      <c r="AF231" s="170">
        <f t="shared" si="125"/>
        <v>0</v>
      </c>
      <c r="AG231" s="170">
        <f t="shared" si="125"/>
        <v>0</v>
      </c>
      <c r="AH231" s="170">
        <f t="shared" si="125"/>
        <v>0</v>
      </c>
      <c r="AI231" s="170">
        <f t="shared" si="125"/>
        <v>0</v>
      </c>
      <c r="AJ231" s="170">
        <f t="shared" si="125"/>
        <v>0</v>
      </c>
      <c r="AK231" s="170">
        <f t="shared" si="125"/>
        <v>0</v>
      </c>
      <c r="AL231" s="170">
        <f t="shared" si="125"/>
        <v>0</v>
      </c>
      <c r="AM231" s="170">
        <f t="shared" si="125"/>
        <v>0</v>
      </c>
      <c r="AN231" s="170">
        <f t="shared" si="125"/>
        <v>0</v>
      </c>
      <c r="AO231" s="170">
        <f t="shared" si="125"/>
        <v>0</v>
      </c>
      <c r="AP231" s="170">
        <f t="shared" si="125"/>
        <v>0</v>
      </c>
      <c r="AQ231" s="170">
        <f t="shared" si="125"/>
        <v>0</v>
      </c>
      <c r="AR231" s="170">
        <f t="shared" si="125"/>
        <v>0</v>
      </c>
      <c r="AS231" s="170">
        <f t="shared" si="125"/>
        <v>0</v>
      </c>
      <c r="AT231" s="170">
        <f t="shared" si="125"/>
        <v>0</v>
      </c>
      <c r="AU231" s="170">
        <f t="shared" si="125"/>
        <v>0</v>
      </c>
      <c r="AV231" s="170">
        <f t="shared" si="125"/>
        <v>0</v>
      </c>
      <c r="AW231" s="170">
        <f t="shared" si="125"/>
        <v>0</v>
      </c>
      <c r="AX231" s="170">
        <f t="shared" si="125"/>
        <v>0</v>
      </c>
      <c r="AY231" s="170">
        <f t="shared" si="125"/>
        <v>0</v>
      </c>
      <c r="AZ231" s="170">
        <f t="shared" si="125"/>
        <v>0</v>
      </c>
      <c r="BA231" s="170">
        <f t="shared" si="125"/>
        <v>0</v>
      </c>
      <c r="BB231" s="170">
        <f t="shared" si="125"/>
        <v>0</v>
      </c>
      <c r="BC231" s="170">
        <f t="shared" si="125"/>
        <v>0</v>
      </c>
      <c r="BD231" s="170">
        <f t="shared" si="125"/>
        <v>0</v>
      </c>
      <c r="BE231" s="170">
        <f t="shared" si="125"/>
        <v>0</v>
      </c>
      <c r="BF231" s="170">
        <f t="shared" si="125"/>
        <v>0</v>
      </c>
      <c r="BG231" s="170">
        <f t="shared" si="125"/>
        <v>0</v>
      </c>
      <c r="BH231" s="170">
        <f t="shared" si="125"/>
        <v>0</v>
      </c>
      <c r="BI231" s="170">
        <f t="shared" si="125"/>
        <v>0</v>
      </c>
      <c r="BJ231" s="170">
        <f t="shared" si="125"/>
        <v>0</v>
      </c>
      <c r="BK231" s="170">
        <f t="shared" si="125"/>
        <v>0</v>
      </c>
      <c r="BL231" s="170">
        <f t="shared" si="125"/>
        <v>0</v>
      </c>
      <c r="BM231" s="170">
        <f t="shared" si="125"/>
        <v>0</v>
      </c>
      <c r="BN231" s="170">
        <f t="shared" si="125"/>
        <v>0</v>
      </c>
      <c r="BO231" s="170">
        <f t="shared" si="125"/>
        <v>0</v>
      </c>
      <c r="BP231" s="170">
        <f t="shared" si="125"/>
        <v>0</v>
      </c>
      <c r="BQ231" s="170">
        <f t="shared" si="125"/>
        <v>0</v>
      </c>
      <c r="BR231" s="170">
        <f t="shared" si="125"/>
        <v>0</v>
      </c>
      <c r="BS231" s="170">
        <f t="shared" si="125"/>
        <v>0</v>
      </c>
      <c r="BT231" s="170">
        <f t="shared" si="125"/>
        <v>0</v>
      </c>
      <c r="BU231" s="170">
        <f t="shared" si="125"/>
        <v>0</v>
      </c>
      <c r="BV231" s="170">
        <f t="shared" si="125"/>
        <v>0</v>
      </c>
      <c r="BW231" s="170">
        <f t="shared" si="125"/>
        <v>0</v>
      </c>
      <c r="BX231" s="170">
        <f t="shared" si="125"/>
        <v>0</v>
      </c>
      <c r="BY231" s="170">
        <f t="shared" si="125"/>
        <v>0</v>
      </c>
      <c r="BZ231" s="170">
        <f t="shared" si="125"/>
        <v>0</v>
      </c>
      <c r="CA231" s="170">
        <f t="shared" si="125"/>
        <v>0</v>
      </c>
      <c r="CB231" s="170">
        <f t="shared" si="125"/>
        <v>0</v>
      </c>
      <c r="CC231" s="170">
        <f t="shared" si="125"/>
        <v>0</v>
      </c>
      <c r="CD231" s="170">
        <f t="shared" ref="CD231:CS231" si="126">CD230+CD219</f>
        <v>0</v>
      </c>
      <c r="CE231" s="170">
        <f t="shared" si="126"/>
        <v>1720943025</v>
      </c>
      <c r="CF231" s="170">
        <f t="shared" si="126"/>
        <v>1630377292</v>
      </c>
      <c r="CG231" s="170">
        <f t="shared" si="126"/>
        <v>1630377292</v>
      </c>
      <c r="CH231" s="170">
        <f t="shared" si="126"/>
        <v>0</v>
      </c>
      <c r="CI231" s="170">
        <f t="shared" si="126"/>
        <v>0</v>
      </c>
      <c r="CJ231" s="170">
        <f t="shared" si="126"/>
        <v>0</v>
      </c>
      <c r="CK231" s="170">
        <f t="shared" si="126"/>
        <v>342290727</v>
      </c>
      <c r="CL231" s="170">
        <f t="shared" si="126"/>
        <v>185833966</v>
      </c>
      <c r="CM231" s="170">
        <f t="shared" si="126"/>
        <v>185833966</v>
      </c>
      <c r="CN231" s="170">
        <f t="shared" si="126"/>
        <v>29000000</v>
      </c>
      <c r="CO231" s="170">
        <f t="shared" si="126"/>
        <v>24040000</v>
      </c>
      <c r="CP231" s="170">
        <f t="shared" si="126"/>
        <v>24040000</v>
      </c>
      <c r="CQ231" s="170">
        <f t="shared" si="126"/>
        <v>0</v>
      </c>
      <c r="CR231" s="170">
        <f t="shared" si="126"/>
        <v>0</v>
      </c>
      <c r="CS231" s="170">
        <f t="shared" si="126"/>
        <v>0</v>
      </c>
      <c r="CT231" s="170">
        <f>CT230+CT219</f>
        <v>4853483592.2600002</v>
      </c>
      <c r="CU231" s="170">
        <f>CU230+CU219</f>
        <v>2995355419.8000002</v>
      </c>
      <c r="CV231" s="170">
        <f>CV230+CV219</f>
        <v>2995355419.8000002</v>
      </c>
    </row>
    <row r="232" spans="1:100" ht="15" x14ac:dyDescent="0.25">
      <c r="A232" s="171"/>
      <c r="B232" s="171"/>
      <c r="C232" s="172"/>
      <c r="D232" s="335"/>
      <c r="E232" s="336"/>
      <c r="F232" s="336"/>
      <c r="G232" s="171"/>
      <c r="H232" s="172"/>
      <c r="I232" s="171"/>
      <c r="J232" s="337"/>
      <c r="K232" s="172"/>
      <c r="L232" s="172"/>
      <c r="M232" s="172"/>
      <c r="N232" s="174"/>
      <c r="O232" s="171"/>
      <c r="P232" s="172"/>
      <c r="Q232" s="175">
        <f>Q231</f>
        <v>2761249840.2599998</v>
      </c>
      <c r="R232" s="175">
        <f t="shared" ref="R232:CC232" si="127">R231</f>
        <v>1155104161.8</v>
      </c>
      <c r="S232" s="175">
        <f t="shared" si="127"/>
        <v>1155104161.8</v>
      </c>
      <c r="T232" s="175">
        <f t="shared" si="127"/>
        <v>0</v>
      </c>
      <c r="U232" s="175">
        <f t="shared" si="127"/>
        <v>0</v>
      </c>
      <c r="V232" s="175">
        <f t="shared" si="127"/>
        <v>0</v>
      </c>
      <c r="W232" s="175">
        <f t="shared" si="127"/>
        <v>0</v>
      </c>
      <c r="X232" s="175">
        <f t="shared" si="127"/>
        <v>0</v>
      </c>
      <c r="Y232" s="175">
        <f t="shared" si="127"/>
        <v>0</v>
      </c>
      <c r="Z232" s="175">
        <f t="shared" si="127"/>
        <v>0</v>
      </c>
      <c r="AA232" s="175">
        <f t="shared" si="127"/>
        <v>0</v>
      </c>
      <c r="AB232" s="175">
        <f t="shared" si="127"/>
        <v>0</v>
      </c>
      <c r="AC232" s="175">
        <f t="shared" si="127"/>
        <v>0</v>
      </c>
      <c r="AD232" s="175">
        <f t="shared" si="127"/>
        <v>0</v>
      </c>
      <c r="AE232" s="175">
        <f t="shared" si="127"/>
        <v>0</v>
      </c>
      <c r="AF232" s="175">
        <f t="shared" si="127"/>
        <v>0</v>
      </c>
      <c r="AG232" s="175">
        <f t="shared" si="127"/>
        <v>0</v>
      </c>
      <c r="AH232" s="175">
        <f t="shared" si="127"/>
        <v>0</v>
      </c>
      <c r="AI232" s="175">
        <f t="shared" si="127"/>
        <v>0</v>
      </c>
      <c r="AJ232" s="175">
        <f t="shared" si="127"/>
        <v>0</v>
      </c>
      <c r="AK232" s="175">
        <f t="shared" si="127"/>
        <v>0</v>
      </c>
      <c r="AL232" s="175">
        <f t="shared" si="127"/>
        <v>0</v>
      </c>
      <c r="AM232" s="175">
        <f t="shared" si="127"/>
        <v>0</v>
      </c>
      <c r="AN232" s="175">
        <f t="shared" si="127"/>
        <v>0</v>
      </c>
      <c r="AO232" s="175">
        <f t="shared" si="127"/>
        <v>0</v>
      </c>
      <c r="AP232" s="175">
        <f t="shared" si="127"/>
        <v>0</v>
      </c>
      <c r="AQ232" s="175">
        <f t="shared" si="127"/>
        <v>0</v>
      </c>
      <c r="AR232" s="175">
        <f t="shared" si="127"/>
        <v>0</v>
      </c>
      <c r="AS232" s="175">
        <f t="shared" si="127"/>
        <v>0</v>
      </c>
      <c r="AT232" s="175">
        <f t="shared" si="127"/>
        <v>0</v>
      </c>
      <c r="AU232" s="175">
        <f t="shared" si="127"/>
        <v>0</v>
      </c>
      <c r="AV232" s="175">
        <f t="shared" si="127"/>
        <v>0</v>
      </c>
      <c r="AW232" s="175">
        <f t="shared" si="127"/>
        <v>0</v>
      </c>
      <c r="AX232" s="175">
        <f t="shared" si="127"/>
        <v>0</v>
      </c>
      <c r="AY232" s="175">
        <f t="shared" si="127"/>
        <v>0</v>
      </c>
      <c r="AZ232" s="175">
        <f t="shared" si="127"/>
        <v>0</v>
      </c>
      <c r="BA232" s="175">
        <f t="shared" si="127"/>
        <v>0</v>
      </c>
      <c r="BB232" s="175">
        <f t="shared" si="127"/>
        <v>0</v>
      </c>
      <c r="BC232" s="175">
        <f t="shared" si="127"/>
        <v>0</v>
      </c>
      <c r="BD232" s="175">
        <f t="shared" si="127"/>
        <v>0</v>
      </c>
      <c r="BE232" s="175">
        <f t="shared" si="127"/>
        <v>0</v>
      </c>
      <c r="BF232" s="175">
        <f t="shared" si="127"/>
        <v>0</v>
      </c>
      <c r="BG232" s="175">
        <f t="shared" si="127"/>
        <v>0</v>
      </c>
      <c r="BH232" s="175">
        <f t="shared" si="127"/>
        <v>0</v>
      </c>
      <c r="BI232" s="175">
        <f t="shared" si="127"/>
        <v>0</v>
      </c>
      <c r="BJ232" s="175">
        <f t="shared" si="127"/>
        <v>0</v>
      </c>
      <c r="BK232" s="175">
        <f t="shared" si="127"/>
        <v>0</v>
      </c>
      <c r="BL232" s="175">
        <f t="shared" si="127"/>
        <v>0</v>
      </c>
      <c r="BM232" s="175">
        <f t="shared" si="127"/>
        <v>0</v>
      </c>
      <c r="BN232" s="175">
        <f t="shared" si="127"/>
        <v>0</v>
      </c>
      <c r="BO232" s="175">
        <f t="shared" si="127"/>
        <v>0</v>
      </c>
      <c r="BP232" s="175">
        <f t="shared" si="127"/>
        <v>0</v>
      </c>
      <c r="BQ232" s="175">
        <f t="shared" si="127"/>
        <v>0</v>
      </c>
      <c r="BR232" s="175">
        <f t="shared" si="127"/>
        <v>0</v>
      </c>
      <c r="BS232" s="175">
        <f t="shared" si="127"/>
        <v>0</v>
      </c>
      <c r="BT232" s="175">
        <f t="shared" si="127"/>
        <v>0</v>
      </c>
      <c r="BU232" s="175">
        <f t="shared" si="127"/>
        <v>0</v>
      </c>
      <c r="BV232" s="175">
        <f t="shared" si="127"/>
        <v>0</v>
      </c>
      <c r="BW232" s="175">
        <f t="shared" si="127"/>
        <v>0</v>
      </c>
      <c r="BX232" s="175">
        <f t="shared" si="127"/>
        <v>0</v>
      </c>
      <c r="BY232" s="175">
        <f t="shared" si="127"/>
        <v>0</v>
      </c>
      <c r="BZ232" s="175">
        <f t="shared" si="127"/>
        <v>0</v>
      </c>
      <c r="CA232" s="175">
        <f t="shared" si="127"/>
        <v>0</v>
      </c>
      <c r="CB232" s="175">
        <f t="shared" si="127"/>
        <v>0</v>
      </c>
      <c r="CC232" s="175">
        <f t="shared" si="127"/>
        <v>0</v>
      </c>
      <c r="CD232" s="175">
        <f t="shared" ref="CD232:CS232" si="128">CD231</f>
        <v>0</v>
      </c>
      <c r="CE232" s="175">
        <f t="shared" si="128"/>
        <v>1720943025</v>
      </c>
      <c r="CF232" s="175">
        <f t="shared" si="128"/>
        <v>1630377292</v>
      </c>
      <c r="CG232" s="175">
        <f t="shared" si="128"/>
        <v>1630377292</v>
      </c>
      <c r="CH232" s="175">
        <f t="shared" si="128"/>
        <v>0</v>
      </c>
      <c r="CI232" s="175">
        <f t="shared" si="128"/>
        <v>0</v>
      </c>
      <c r="CJ232" s="175">
        <f t="shared" si="128"/>
        <v>0</v>
      </c>
      <c r="CK232" s="175">
        <f t="shared" si="128"/>
        <v>342290727</v>
      </c>
      <c r="CL232" s="175">
        <f t="shared" si="128"/>
        <v>185833966</v>
      </c>
      <c r="CM232" s="175">
        <f t="shared" si="128"/>
        <v>185833966</v>
      </c>
      <c r="CN232" s="175">
        <f t="shared" si="128"/>
        <v>29000000</v>
      </c>
      <c r="CO232" s="175">
        <f t="shared" si="128"/>
        <v>24040000</v>
      </c>
      <c r="CP232" s="175">
        <f t="shared" si="128"/>
        <v>24040000</v>
      </c>
      <c r="CQ232" s="175">
        <f t="shared" si="128"/>
        <v>0</v>
      </c>
      <c r="CR232" s="175">
        <f t="shared" si="128"/>
        <v>0</v>
      </c>
      <c r="CS232" s="175">
        <f t="shared" si="128"/>
        <v>0</v>
      </c>
      <c r="CT232" s="856">
        <f>CT231</f>
        <v>4853483592.2600002</v>
      </c>
      <c r="CU232" s="856">
        <f>CU231</f>
        <v>2995355419.8000002</v>
      </c>
      <c r="CV232" s="856">
        <f>CV231</f>
        <v>2995355419.8000002</v>
      </c>
    </row>
    <row r="233" spans="1:100" s="27" customFormat="1" ht="15" x14ac:dyDescent="0.25">
      <c r="A233" s="176"/>
      <c r="B233" s="177"/>
      <c r="C233" s="949"/>
      <c r="D233" s="338"/>
      <c r="E233" s="150"/>
      <c r="F233" s="150"/>
      <c r="G233" s="177"/>
      <c r="H233" s="949"/>
      <c r="I233" s="177"/>
      <c r="J233" s="314"/>
      <c r="K233" s="949"/>
      <c r="L233" s="949"/>
      <c r="M233" s="949"/>
      <c r="N233" s="179"/>
      <c r="O233" s="177"/>
      <c r="P233" s="949"/>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1"/>
      <c r="BH233" s="181"/>
      <c r="BI233" s="181"/>
      <c r="BJ233" s="181"/>
      <c r="BK233" s="181"/>
      <c r="BL233" s="181"/>
      <c r="BM233" s="181"/>
      <c r="BN233" s="181"/>
      <c r="BO233" s="181"/>
      <c r="BP233" s="181"/>
      <c r="BQ233" s="181"/>
      <c r="BR233" s="181"/>
      <c r="BS233" s="181"/>
      <c r="BT233" s="181"/>
      <c r="BU233" s="181"/>
      <c r="BV233" s="181"/>
      <c r="BW233" s="181"/>
      <c r="BX233" s="181"/>
      <c r="BY233" s="180"/>
      <c r="BZ233" s="180"/>
      <c r="CA233" s="180"/>
      <c r="CB233" s="180"/>
      <c r="CC233" s="180"/>
      <c r="CD233" s="180"/>
      <c r="CE233" s="182"/>
      <c r="CF233" s="182"/>
      <c r="CG233" s="182"/>
      <c r="CH233" s="183"/>
      <c r="CI233" s="183"/>
      <c r="CJ233" s="183"/>
      <c r="CK233" s="180"/>
      <c r="CL233" s="180"/>
      <c r="CM233" s="180"/>
      <c r="CN233" s="180"/>
      <c r="CO233" s="180"/>
      <c r="CP233" s="180"/>
      <c r="CQ233" s="180"/>
      <c r="CR233" s="180"/>
      <c r="CS233" s="180"/>
      <c r="CT233" s="970"/>
      <c r="CU233" s="744"/>
      <c r="CV233" s="744"/>
    </row>
    <row r="234" spans="1:100" ht="20.25" x14ac:dyDescent="0.25">
      <c r="A234" s="134" t="s">
        <v>289</v>
      </c>
      <c r="B234" s="135"/>
      <c r="C234" s="136"/>
      <c r="D234" s="135"/>
      <c r="E234" s="135"/>
      <c r="F234" s="135"/>
      <c r="G234" s="135"/>
      <c r="H234" s="136"/>
      <c r="I234" s="135"/>
      <c r="J234" s="135"/>
      <c r="K234" s="135"/>
      <c r="L234" s="135"/>
      <c r="M234" s="135"/>
      <c r="N234" s="675"/>
      <c r="O234" s="135"/>
      <c r="P234" s="136"/>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c r="BI234" s="135"/>
      <c r="BJ234" s="135"/>
      <c r="BK234" s="135"/>
      <c r="BL234" s="135"/>
      <c r="BM234" s="135"/>
      <c r="BN234" s="135"/>
      <c r="BO234" s="135"/>
      <c r="BP234" s="135"/>
      <c r="BQ234" s="135"/>
      <c r="BR234" s="135"/>
      <c r="BS234" s="135"/>
      <c r="BT234" s="135"/>
      <c r="BU234" s="135"/>
      <c r="BV234" s="135"/>
      <c r="BW234" s="135"/>
      <c r="BX234" s="135"/>
      <c r="BY234" s="135"/>
      <c r="BZ234" s="135"/>
      <c r="CA234" s="135"/>
      <c r="CB234" s="135"/>
      <c r="CC234" s="135"/>
      <c r="CD234" s="135"/>
      <c r="CE234" s="137"/>
      <c r="CF234" s="137"/>
      <c r="CG234" s="137"/>
      <c r="CH234" s="138"/>
      <c r="CI234" s="138"/>
      <c r="CJ234" s="138"/>
      <c r="CK234" s="135"/>
      <c r="CL234" s="135"/>
      <c r="CM234" s="135"/>
      <c r="CN234" s="135"/>
      <c r="CO234" s="135"/>
      <c r="CP234" s="135"/>
      <c r="CQ234" s="135"/>
      <c r="CR234" s="135"/>
      <c r="CS234" s="135"/>
      <c r="CT234" s="566" t="s">
        <v>0</v>
      </c>
      <c r="CU234" s="566" t="s">
        <v>0</v>
      </c>
      <c r="CV234" s="566" t="s">
        <v>0</v>
      </c>
    </row>
    <row r="235" spans="1:100" ht="15" x14ac:dyDescent="0.25">
      <c r="A235" s="139">
        <v>2</v>
      </c>
      <c r="B235" s="140" t="s">
        <v>113</v>
      </c>
      <c r="C235" s="141"/>
      <c r="D235" s="140"/>
      <c r="E235" s="140"/>
      <c r="F235" s="140"/>
      <c r="G235" s="140"/>
      <c r="H235" s="141"/>
      <c r="I235" s="140"/>
      <c r="J235" s="140"/>
      <c r="K235" s="140"/>
      <c r="L235" s="140"/>
      <c r="M235" s="140"/>
      <c r="N235" s="676"/>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2"/>
      <c r="CF235" s="142"/>
      <c r="CG235" s="142"/>
      <c r="CH235" s="140"/>
      <c r="CI235" s="140"/>
      <c r="CJ235" s="140"/>
      <c r="CK235" s="140"/>
      <c r="CL235" s="140"/>
      <c r="CM235" s="140"/>
      <c r="CN235" s="140"/>
      <c r="CO235" s="140"/>
      <c r="CP235" s="140"/>
      <c r="CQ235" s="140"/>
      <c r="CR235" s="140"/>
      <c r="CS235" s="140"/>
      <c r="CT235" s="540"/>
      <c r="CU235" s="540"/>
      <c r="CV235" s="540"/>
    </row>
    <row r="236" spans="1:100" ht="15" x14ac:dyDescent="0.25">
      <c r="A236" s="185"/>
      <c r="B236" s="239">
        <v>2</v>
      </c>
      <c r="C236" s="147" t="s">
        <v>290</v>
      </c>
      <c r="D236" s="146"/>
      <c r="E236" s="146"/>
      <c r="F236" s="146"/>
      <c r="G236" s="146"/>
      <c r="H236" s="147"/>
      <c r="I236" s="146"/>
      <c r="J236" s="146"/>
      <c r="K236" s="146"/>
      <c r="L236" s="146"/>
      <c r="M236" s="146"/>
      <c r="N236" s="677"/>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c r="BV236" s="146"/>
      <c r="BW236" s="146"/>
      <c r="BX236" s="146"/>
      <c r="BY236" s="146"/>
      <c r="BZ236" s="146"/>
      <c r="CA236" s="146"/>
      <c r="CB236" s="146"/>
      <c r="CC236" s="146"/>
      <c r="CD236" s="146"/>
      <c r="CE236" s="148"/>
      <c r="CF236" s="148"/>
      <c r="CG236" s="148"/>
      <c r="CH236" s="146"/>
      <c r="CI236" s="146"/>
      <c r="CJ236" s="146"/>
      <c r="CK236" s="146"/>
      <c r="CL236" s="146"/>
      <c r="CM236" s="146"/>
      <c r="CN236" s="146"/>
      <c r="CO236" s="146"/>
      <c r="CP236" s="146"/>
      <c r="CQ236" s="146"/>
      <c r="CR236" s="146"/>
      <c r="CS236" s="146"/>
      <c r="CT236" s="526"/>
      <c r="CU236" s="526"/>
      <c r="CV236" s="526"/>
    </row>
    <row r="237" spans="1:100" ht="15" x14ac:dyDescent="0.25">
      <c r="A237" s="19"/>
      <c r="B237" s="185"/>
      <c r="C237" s="949"/>
      <c r="D237" s="177"/>
      <c r="E237" s="949"/>
      <c r="F237" s="927"/>
      <c r="G237" s="339">
        <v>8</v>
      </c>
      <c r="H237" s="1064" t="s">
        <v>291</v>
      </c>
      <c r="I237" s="1064"/>
      <c r="J237" s="1064"/>
      <c r="K237" s="1064"/>
      <c r="L237" s="1064"/>
      <c r="M237" s="1064"/>
      <c r="N237" s="1064"/>
      <c r="O237" s="1064"/>
      <c r="P237" s="1064"/>
      <c r="Q237" s="1064"/>
      <c r="R237" s="922"/>
      <c r="S237" s="922"/>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c r="BY237" s="189"/>
      <c r="BZ237" s="189"/>
      <c r="CA237" s="189"/>
      <c r="CB237" s="189"/>
      <c r="CC237" s="189"/>
      <c r="CD237" s="189"/>
      <c r="CE237" s="190"/>
      <c r="CF237" s="190"/>
      <c r="CG237" s="190"/>
      <c r="CH237" s="189"/>
      <c r="CI237" s="189"/>
      <c r="CJ237" s="189"/>
      <c r="CK237" s="189"/>
      <c r="CL237" s="189"/>
      <c r="CM237" s="189"/>
      <c r="CN237" s="189"/>
      <c r="CO237" s="189"/>
      <c r="CP237" s="189"/>
      <c r="CQ237" s="189"/>
      <c r="CR237" s="189"/>
      <c r="CS237" s="189"/>
      <c r="CT237" s="522"/>
      <c r="CU237" s="522"/>
      <c r="CV237" s="522"/>
    </row>
    <row r="238" spans="1:100" s="27" customFormat="1" ht="84" customHeight="1" x14ac:dyDescent="0.25">
      <c r="A238" s="19"/>
      <c r="B238" s="19"/>
      <c r="C238" s="927">
        <v>5</v>
      </c>
      <c r="D238" s="928" t="s">
        <v>292</v>
      </c>
      <c r="E238" s="929">
        <v>12.9</v>
      </c>
      <c r="F238" s="929">
        <v>8.9</v>
      </c>
      <c r="G238" s="22"/>
      <c r="H238" s="929">
        <v>38</v>
      </c>
      <c r="I238" s="928" t="s">
        <v>293</v>
      </c>
      <c r="J238" s="10">
        <v>3</v>
      </c>
      <c r="K238" s="10">
        <v>4</v>
      </c>
      <c r="L238" s="10">
        <v>4</v>
      </c>
      <c r="M238" s="1012" t="s">
        <v>294</v>
      </c>
      <c r="N238" s="1017" t="s">
        <v>295</v>
      </c>
      <c r="O238" s="1012" t="s">
        <v>296</v>
      </c>
      <c r="P238" s="56" t="s">
        <v>38</v>
      </c>
      <c r="Q238" s="25">
        <v>0</v>
      </c>
      <c r="R238" s="25"/>
      <c r="S238" s="25"/>
      <c r="T238" s="25">
        <v>0</v>
      </c>
      <c r="U238" s="25"/>
      <c r="V238" s="25"/>
      <c r="W238" s="25">
        <v>0</v>
      </c>
      <c r="X238" s="25"/>
      <c r="Y238" s="25"/>
      <c r="Z238" s="25">
        <v>0</v>
      </c>
      <c r="AA238" s="25"/>
      <c r="AB238" s="25"/>
      <c r="AC238" s="25">
        <v>0</v>
      </c>
      <c r="AD238" s="25"/>
      <c r="AE238" s="25"/>
      <c r="AF238" s="25">
        <v>0</v>
      </c>
      <c r="AG238" s="25"/>
      <c r="AH238" s="25"/>
      <c r="AI238" s="25">
        <v>0</v>
      </c>
      <c r="AJ238" s="25"/>
      <c r="AK238" s="25"/>
      <c r="AL238" s="25"/>
      <c r="AM238" s="25"/>
      <c r="AN238" s="25"/>
      <c r="AO238" s="25"/>
      <c r="AP238" s="25"/>
      <c r="AQ238" s="25"/>
      <c r="AR238" s="25"/>
      <c r="AS238" s="25"/>
      <c r="AT238" s="25"/>
      <c r="AU238" s="25">
        <v>0</v>
      </c>
      <c r="AV238" s="25"/>
      <c r="AW238" s="25"/>
      <c r="AX238" s="25"/>
      <c r="AY238" s="25"/>
      <c r="AZ238" s="25"/>
      <c r="BA238" s="25">
        <v>0</v>
      </c>
      <c r="BB238" s="25"/>
      <c r="BC238" s="25"/>
      <c r="BD238" s="25">
        <v>0</v>
      </c>
      <c r="BE238" s="25"/>
      <c r="BF238" s="25"/>
      <c r="BG238" s="25"/>
      <c r="BH238" s="25"/>
      <c r="BI238" s="25"/>
      <c r="BJ238" s="25"/>
      <c r="BK238" s="25"/>
      <c r="BL238" s="25"/>
      <c r="BM238" s="25"/>
      <c r="BN238" s="25"/>
      <c r="BO238" s="25"/>
      <c r="BP238" s="25"/>
      <c r="BQ238" s="25"/>
      <c r="BR238" s="25"/>
      <c r="BS238" s="25"/>
      <c r="BT238" s="25"/>
      <c r="BU238" s="25"/>
      <c r="BV238" s="25"/>
      <c r="BW238" s="25"/>
      <c r="BX238" s="25"/>
      <c r="BY238" s="25">
        <v>0</v>
      </c>
      <c r="BZ238" s="25"/>
      <c r="CA238" s="25"/>
      <c r="CB238" s="25">
        <v>0</v>
      </c>
      <c r="CC238" s="25"/>
      <c r="CD238" s="25"/>
      <c r="CE238" s="110">
        <f>7500000+20000000+9000000</f>
        <v>36500000</v>
      </c>
      <c r="CF238" s="110">
        <v>19467208</v>
      </c>
      <c r="CG238" s="110">
        <v>19436458</v>
      </c>
      <c r="CH238" s="13"/>
      <c r="CI238" s="13"/>
      <c r="CJ238" s="13"/>
      <c r="CK238" s="25">
        <v>0</v>
      </c>
      <c r="CL238" s="26"/>
      <c r="CM238" s="26"/>
      <c r="CN238" s="26">
        <v>0</v>
      </c>
      <c r="CO238" s="26"/>
      <c r="CP238" s="26"/>
      <c r="CQ238" s="26"/>
      <c r="CR238" s="26"/>
      <c r="CS238" s="26"/>
      <c r="CT238" s="25">
        <f t="shared" ref="CT238:CV242" si="129">Q238+T238+W238+Z238+AC238+AF238+AI238+AL238+AO238+AR238+AU238+AX238+BA238+BD238+BG238+BJ238+BM238+BP238+BS238+BV238+BY238+CB238+CE238+CH238+CK238+CQ238+CN238</f>
        <v>36500000</v>
      </c>
      <c r="CU238" s="25">
        <f t="shared" si="129"/>
        <v>19467208</v>
      </c>
      <c r="CV238" s="25">
        <f t="shared" si="129"/>
        <v>19436458</v>
      </c>
    </row>
    <row r="239" spans="1:100" s="27" customFormat="1" ht="96.75" customHeight="1" x14ac:dyDescent="0.25">
      <c r="A239" s="19"/>
      <c r="B239" s="19"/>
      <c r="C239" s="927">
        <v>6</v>
      </c>
      <c r="D239" s="928" t="s">
        <v>297</v>
      </c>
      <c r="E239" s="916" t="s">
        <v>298</v>
      </c>
      <c r="F239" s="916" t="s">
        <v>299</v>
      </c>
      <c r="G239" s="28"/>
      <c r="H239" s="929">
        <v>39</v>
      </c>
      <c r="I239" s="22" t="s">
        <v>300</v>
      </c>
      <c r="J239" s="10">
        <v>0</v>
      </c>
      <c r="K239" s="10">
        <v>3</v>
      </c>
      <c r="L239" s="10">
        <v>3</v>
      </c>
      <c r="M239" s="1013"/>
      <c r="N239" s="1019"/>
      <c r="O239" s="1013"/>
      <c r="P239" s="56" t="s">
        <v>38</v>
      </c>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110">
        <f>7500000+20000000+10160000</f>
        <v>37660000</v>
      </c>
      <c r="CF239" s="110">
        <v>29564000</v>
      </c>
      <c r="CG239" s="110">
        <v>29564000</v>
      </c>
      <c r="CH239" s="13"/>
      <c r="CI239" s="13"/>
      <c r="CJ239" s="13"/>
      <c r="CK239" s="25"/>
      <c r="CL239" s="26"/>
      <c r="CM239" s="26"/>
      <c r="CN239" s="26"/>
      <c r="CO239" s="26"/>
      <c r="CP239" s="26"/>
      <c r="CQ239" s="26"/>
      <c r="CR239" s="26"/>
      <c r="CS239" s="26"/>
      <c r="CT239" s="25">
        <f t="shared" si="129"/>
        <v>37660000</v>
      </c>
      <c r="CU239" s="25">
        <f t="shared" si="129"/>
        <v>29564000</v>
      </c>
      <c r="CV239" s="25">
        <f t="shared" si="129"/>
        <v>29564000</v>
      </c>
    </row>
    <row r="240" spans="1:100" s="27" customFormat="1" ht="80.25" customHeight="1" x14ac:dyDescent="0.25">
      <c r="A240" s="19"/>
      <c r="B240" s="19"/>
      <c r="C240" s="1032">
        <v>5</v>
      </c>
      <c r="D240" s="1149" t="s">
        <v>292</v>
      </c>
      <c r="E240" s="1021">
        <v>12.9</v>
      </c>
      <c r="F240" s="1032">
        <v>8.9</v>
      </c>
      <c r="G240" s="28"/>
      <c r="H240" s="929">
        <v>40</v>
      </c>
      <c r="I240" s="928" t="s">
        <v>301</v>
      </c>
      <c r="J240" s="10">
        <v>0</v>
      </c>
      <c r="K240" s="10">
        <v>0.35</v>
      </c>
      <c r="L240" s="10">
        <v>0.04</v>
      </c>
      <c r="M240" s="1137" t="s">
        <v>294</v>
      </c>
      <c r="N240" s="1017" t="s">
        <v>302</v>
      </c>
      <c r="O240" s="1012" t="s">
        <v>303</v>
      </c>
      <c r="P240" s="56" t="s">
        <v>34</v>
      </c>
      <c r="Q240" s="25">
        <v>0</v>
      </c>
      <c r="R240" s="25"/>
      <c r="S240" s="25"/>
      <c r="T240" s="25">
        <v>0</v>
      </c>
      <c r="U240" s="25"/>
      <c r="V240" s="25"/>
      <c r="W240" s="25">
        <v>0</v>
      </c>
      <c r="X240" s="25"/>
      <c r="Y240" s="25"/>
      <c r="Z240" s="25">
        <v>0</v>
      </c>
      <c r="AA240" s="25"/>
      <c r="AB240" s="25"/>
      <c r="AC240" s="25">
        <v>0</v>
      </c>
      <c r="AD240" s="25"/>
      <c r="AE240" s="25"/>
      <c r="AF240" s="25">
        <v>0</v>
      </c>
      <c r="AG240" s="25"/>
      <c r="AH240" s="25"/>
      <c r="AI240" s="25">
        <v>0</v>
      </c>
      <c r="AJ240" s="25"/>
      <c r="AK240" s="25"/>
      <c r="AL240" s="25"/>
      <c r="AM240" s="25"/>
      <c r="AN240" s="25"/>
      <c r="AO240" s="25"/>
      <c r="AP240" s="25"/>
      <c r="AQ240" s="25"/>
      <c r="AR240" s="25"/>
      <c r="AS240" s="25"/>
      <c r="AT240" s="25"/>
      <c r="AU240" s="25">
        <v>0</v>
      </c>
      <c r="AV240" s="25"/>
      <c r="AW240" s="25"/>
      <c r="AX240" s="25"/>
      <c r="AY240" s="25"/>
      <c r="AZ240" s="25"/>
      <c r="BA240" s="25">
        <v>0</v>
      </c>
      <c r="BB240" s="25"/>
      <c r="BC240" s="25"/>
      <c r="BD240" s="25">
        <v>0</v>
      </c>
      <c r="BE240" s="25"/>
      <c r="BF240" s="25"/>
      <c r="BG240" s="25"/>
      <c r="BH240" s="25"/>
      <c r="BI240" s="25"/>
      <c r="BJ240" s="25"/>
      <c r="BK240" s="25"/>
      <c r="BL240" s="25"/>
      <c r="BM240" s="25"/>
      <c r="BN240" s="25"/>
      <c r="BO240" s="25"/>
      <c r="BP240" s="25"/>
      <c r="BQ240" s="25"/>
      <c r="BR240" s="25"/>
      <c r="BS240" s="25"/>
      <c r="BT240" s="25"/>
      <c r="BU240" s="25"/>
      <c r="BV240" s="25"/>
      <c r="BW240" s="25"/>
      <c r="BX240" s="25"/>
      <c r="BY240" s="25">
        <v>0</v>
      </c>
      <c r="BZ240" s="25"/>
      <c r="CA240" s="25"/>
      <c r="CB240" s="25">
        <v>0</v>
      </c>
      <c r="CC240" s="25"/>
      <c r="CD240" s="25"/>
      <c r="CE240" s="110">
        <f>22000000+22500000-6500000</f>
        <v>38000000</v>
      </c>
      <c r="CF240" s="110">
        <v>5000000</v>
      </c>
      <c r="CG240" s="110">
        <v>5000000</v>
      </c>
      <c r="CH240" s="13"/>
      <c r="CI240" s="13"/>
      <c r="CJ240" s="13"/>
      <c r="CK240" s="25">
        <v>0</v>
      </c>
      <c r="CL240" s="26"/>
      <c r="CM240" s="26"/>
      <c r="CN240" s="26">
        <v>0</v>
      </c>
      <c r="CO240" s="26"/>
      <c r="CP240" s="26"/>
      <c r="CQ240" s="26"/>
      <c r="CR240" s="26"/>
      <c r="CS240" s="26"/>
      <c r="CT240" s="25">
        <f t="shared" si="129"/>
        <v>38000000</v>
      </c>
      <c r="CU240" s="25">
        <f t="shared" si="129"/>
        <v>5000000</v>
      </c>
      <c r="CV240" s="25">
        <f t="shared" si="129"/>
        <v>5000000</v>
      </c>
    </row>
    <row r="241" spans="1:100" s="27" customFormat="1" ht="42.75" x14ac:dyDescent="0.25">
      <c r="A241" s="19"/>
      <c r="B241" s="19"/>
      <c r="C241" s="1038"/>
      <c r="D241" s="1149"/>
      <c r="E241" s="1023"/>
      <c r="F241" s="1038"/>
      <c r="G241" s="28"/>
      <c r="H241" s="929">
        <v>41</v>
      </c>
      <c r="I241" s="928" t="s">
        <v>304</v>
      </c>
      <c r="J241" s="10">
        <v>0</v>
      </c>
      <c r="K241" s="10">
        <v>1</v>
      </c>
      <c r="L241" s="10">
        <v>0.85</v>
      </c>
      <c r="M241" s="1138"/>
      <c r="N241" s="1018"/>
      <c r="O241" s="1020"/>
      <c r="P241" s="56" t="s">
        <v>38</v>
      </c>
      <c r="Q241" s="25">
        <v>0</v>
      </c>
      <c r="R241" s="25"/>
      <c r="S241" s="25"/>
      <c r="T241" s="25">
        <v>0</v>
      </c>
      <c r="U241" s="25"/>
      <c r="V241" s="25"/>
      <c r="W241" s="25">
        <v>0</v>
      </c>
      <c r="X241" s="25"/>
      <c r="Y241" s="25"/>
      <c r="Z241" s="25">
        <v>0</v>
      </c>
      <c r="AA241" s="25"/>
      <c r="AB241" s="25"/>
      <c r="AC241" s="25">
        <v>0</v>
      </c>
      <c r="AD241" s="25"/>
      <c r="AE241" s="25"/>
      <c r="AF241" s="25">
        <v>0</v>
      </c>
      <c r="AG241" s="25"/>
      <c r="AH241" s="25"/>
      <c r="AI241" s="25">
        <v>0</v>
      </c>
      <c r="AJ241" s="25"/>
      <c r="AK241" s="25"/>
      <c r="AL241" s="25"/>
      <c r="AM241" s="25"/>
      <c r="AN241" s="25"/>
      <c r="AO241" s="25"/>
      <c r="AP241" s="25"/>
      <c r="AQ241" s="25"/>
      <c r="AR241" s="25"/>
      <c r="AS241" s="25"/>
      <c r="AT241" s="25"/>
      <c r="AU241" s="25">
        <v>0</v>
      </c>
      <c r="AV241" s="25"/>
      <c r="AW241" s="25"/>
      <c r="AX241" s="25"/>
      <c r="AY241" s="25"/>
      <c r="AZ241" s="25"/>
      <c r="BA241" s="25">
        <v>0</v>
      </c>
      <c r="BB241" s="25"/>
      <c r="BC241" s="25"/>
      <c r="BD241" s="25">
        <v>0</v>
      </c>
      <c r="BE241" s="25"/>
      <c r="BF241" s="25"/>
      <c r="BG241" s="25"/>
      <c r="BH241" s="25"/>
      <c r="BI241" s="25"/>
      <c r="BJ241" s="25"/>
      <c r="BK241" s="25"/>
      <c r="BL241" s="25"/>
      <c r="BM241" s="25"/>
      <c r="BN241" s="25"/>
      <c r="BO241" s="25"/>
      <c r="BP241" s="25"/>
      <c r="BQ241" s="25"/>
      <c r="BR241" s="25"/>
      <c r="BS241" s="25"/>
      <c r="BT241" s="25"/>
      <c r="BU241" s="25"/>
      <c r="BV241" s="25"/>
      <c r="BW241" s="25"/>
      <c r="BX241" s="25"/>
      <c r="BY241" s="25">
        <v>0</v>
      </c>
      <c r="BZ241" s="25"/>
      <c r="CA241" s="25"/>
      <c r="CB241" s="25">
        <v>0</v>
      </c>
      <c r="CC241" s="25"/>
      <c r="CD241" s="25"/>
      <c r="CE241" s="110">
        <f>27500000-22500000+10000000-3120000</f>
        <v>11880000</v>
      </c>
      <c r="CF241" s="110">
        <f>27500000-22500000+10000000-3120000</f>
        <v>11880000</v>
      </c>
      <c r="CG241" s="110">
        <f>27500000-22500000+10000000-3120000</f>
        <v>11880000</v>
      </c>
      <c r="CH241" s="13"/>
      <c r="CI241" s="13"/>
      <c r="CJ241" s="13"/>
      <c r="CK241" s="25">
        <v>0</v>
      </c>
      <c r="CL241" s="26"/>
      <c r="CM241" s="26"/>
      <c r="CN241" s="26">
        <v>0</v>
      </c>
      <c r="CO241" s="26"/>
      <c r="CP241" s="26"/>
      <c r="CQ241" s="26"/>
      <c r="CR241" s="26"/>
      <c r="CS241" s="26"/>
      <c r="CT241" s="25">
        <f t="shared" si="129"/>
        <v>11880000</v>
      </c>
      <c r="CU241" s="25">
        <f t="shared" si="129"/>
        <v>11880000</v>
      </c>
      <c r="CV241" s="25">
        <f t="shared" si="129"/>
        <v>11880000</v>
      </c>
    </row>
    <row r="242" spans="1:100" s="27" customFormat="1" ht="105.75" customHeight="1" x14ac:dyDescent="0.25">
      <c r="A242" s="19"/>
      <c r="B242" s="19"/>
      <c r="C242" s="70">
        <v>6</v>
      </c>
      <c r="D242" s="71" t="s">
        <v>297</v>
      </c>
      <c r="E242" s="72" t="s">
        <v>298</v>
      </c>
      <c r="F242" s="72" t="s">
        <v>299</v>
      </c>
      <c r="G242" s="29"/>
      <c r="H242" s="929">
        <v>42</v>
      </c>
      <c r="I242" s="928" t="s">
        <v>305</v>
      </c>
      <c r="J242" s="10">
        <v>1</v>
      </c>
      <c r="K242" s="10">
        <v>1</v>
      </c>
      <c r="L242" s="10">
        <v>0.5</v>
      </c>
      <c r="M242" s="1139"/>
      <c r="N242" s="1019"/>
      <c r="O242" s="1013"/>
      <c r="P242" s="56" t="s">
        <v>38</v>
      </c>
      <c r="Q242" s="25">
        <v>0</v>
      </c>
      <c r="R242" s="25"/>
      <c r="S242" s="25"/>
      <c r="T242" s="25">
        <v>0</v>
      </c>
      <c r="U242" s="25"/>
      <c r="V242" s="25"/>
      <c r="W242" s="25">
        <v>0</v>
      </c>
      <c r="X242" s="25"/>
      <c r="Y242" s="25"/>
      <c r="Z242" s="25">
        <v>0</v>
      </c>
      <c r="AA242" s="25"/>
      <c r="AB242" s="25"/>
      <c r="AC242" s="25">
        <v>0</v>
      </c>
      <c r="AD242" s="25"/>
      <c r="AE242" s="25"/>
      <c r="AF242" s="25">
        <v>0</v>
      </c>
      <c r="AG242" s="25"/>
      <c r="AH242" s="25"/>
      <c r="AI242" s="25">
        <v>0</v>
      </c>
      <c r="AJ242" s="25"/>
      <c r="AK242" s="25"/>
      <c r="AL242" s="25"/>
      <c r="AM242" s="25"/>
      <c r="AN242" s="25"/>
      <c r="AO242" s="25"/>
      <c r="AP242" s="25"/>
      <c r="AQ242" s="25"/>
      <c r="AR242" s="25"/>
      <c r="AS242" s="25"/>
      <c r="AT242" s="25"/>
      <c r="AU242" s="25">
        <v>0</v>
      </c>
      <c r="AV242" s="25"/>
      <c r="AW242" s="25"/>
      <c r="AX242" s="25"/>
      <c r="AY242" s="25"/>
      <c r="AZ242" s="25"/>
      <c r="BA242" s="25">
        <v>0</v>
      </c>
      <c r="BB242" s="25"/>
      <c r="BC242" s="25"/>
      <c r="BD242" s="25">
        <v>0</v>
      </c>
      <c r="BE242" s="25"/>
      <c r="BF242" s="25"/>
      <c r="BG242" s="25"/>
      <c r="BH242" s="25"/>
      <c r="BI242" s="25"/>
      <c r="BJ242" s="25"/>
      <c r="BK242" s="25"/>
      <c r="BL242" s="25"/>
      <c r="BM242" s="25"/>
      <c r="BN242" s="25"/>
      <c r="BO242" s="25"/>
      <c r="BP242" s="25"/>
      <c r="BQ242" s="25"/>
      <c r="BR242" s="25"/>
      <c r="BS242" s="25"/>
      <c r="BT242" s="25"/>
      <c r="BU242" s="25"/>
      <c r="BV242" s="25"/>
      <c r="BW242" s="25"/>
      <c r="BX242" s="25"/>
      <c r="BY242" s="25">
        <v>0</v>
      </c>
      <c r="BZ242" s="25"/>
      <c r="CA242" s="25"/>
      <c r="CB242" s="25">
        <v>0</v>
      </c>
      <c r="CC242" s="25"/>
      <c r="CD242" s="25"/>
      <c r="CE242" s="110">
        <f>7500000+20000000+48300000+9620000</f>
        <v>85420000</v>
      </c>
      <c r="CF242" s="110">
        <v>18422362</v>
      </c>
      <c r="CG242" s="110">
        <v>18422362</v>
      </c>
      <c r="CH242" s="13"/>
      <c r="CI242" s="13"/>
      <c r="CJ242" s="13"/>
      <c r="CK242" s="25">
        <v>0</v>
      </c>
      <c r="CL242" s="25"/>
      <c r="CM242" s="25"/>
      <c r="CN242" s="25">
        <v>0</v>
      </c>
      <c r="CO242" s="25"/>
      <c r="CP242" s="25"/>
      <c r="CQ242" s="25"/>
      <c r="CR242" s="25"/>
      <c r="CS242" s="25"/>
      <c r="CT242" s="25">
        <f t="shared" si="129"/>
        <v>85420000</v>
      </c>
      <c r="CU242" s="25">
        <f t="shared" si="129"/>
        <v>18422362</v>
      </c>
      <c r="CV242" s="25">
        <f t="shared" si="129"/>
        <v>18422362</v>
      </c>
    </row>
    <row r="243" spans="1:100" ht="15" x14ac:dyDescent="0.25">
      <c r="A243" s="19"/>
      <c r="B243" s="19"/>
      <c r="C243" s="927"/>
      <c r="D243" s="928"/>
      <c r="E243" s="929"/>
      <c r="F243" s="929"/>
      <c r="G243" s="154"/>
      <c r="H243" s="155"/>
      <c r="I243" s="154"/>
      <c r="J243" s="249"/>
      <c r="K243" s="249"/>
      <c r="L243" s="249"/>
      <c r="M243" s="249"/>
      <c r="N243" s="157"/>
      <c r="O243" s="154"/>
      <c r="P243" s="155"/>
      <c r="Q243" s="158">
        <f>SUM(Q238:Q242)</f>
        <v>0</v>
      </c>
      <c r="R243" s="158">
        <f t="shared" ref="R243:CC243" si="130">SUM(R238:R242)</f>
        <v>0</v>
      </c>
      <c r="S243" s="158">
        <f t="shared" si="130"/>
        <v>0</v>
      </c>
      <c r="T243" s="158">
        <f t="shared" si="130"/>
        <v>0</v>
      </c>
      <c r="U243" s="158">
        <f t="shared" si="130"/>
        <v>0</v>
      </c>
      <c r="V243" s="158">
        <f t="shared" si="130"/>
        <v>0</v>
      </c>
      <c r="W243" s="158">
        <f t="shared" si="130"/>
        <v>0</v>
      </c>
      <c r="X243" s="158">
        <f t="shared" si="130"/>
        <v>0</v>
      </c>
      <c r="Y243" s="158">
        <f t="shared" si="130"/>
        <v>0</v>
      </c>
      <c r="Z243" s="158">
        <f t="shared" si="130"/>
        <v>0</v>
      </c>
      <c r="AA243" s="158">
        <f t="shared" si="130"/>
        <v>0</v>
      </c>
      <c r="AB243" s="158">
        <f t="shared" si="130"/>
        <v>0</v>
      </c>
      <c r="AC243" s="158">
        <f t="shared" si="130"/>
        <v>0</v>
      </c>
      <c r="AD243" s="158">
        <f t="shared" si="130"/>
        <v>0</v>
      </c>
      <c r="AE243" s="158">
        <f t="shared" si="130"/>
        <v>0</v>
      </c>
      <c r="AF243" s="158">
        <f t="shared" si="130"/>
        <v>0</v>
      </c>
      <c r="AG243" s="158">
        <f t="shared" si="130"/>
        <v>0</v>
      </c>
      <c r="AH243" s="158">
        <f t="shared" si="130"/>
        <v>0</v>
      </c>
      <c r="AI243" s="158">
        <f t="shared" si="130"/>
        <v>0</v>
      </c>
      <c r="AJ243" s="158">
        <f t="shared" si="130"/>
        <v>0</v>
      </c>
      <c r="AK243" s="158">
        <f t="shared" si="130"/>
        <v>0</v>
      </c>
      <c r="AL243" s="158">
        <f t="shared" si="130"/>
        <v>0</v>
      </c>
      <c r="AM243" s="158">
        <f t="shared" si="130"/>
        <v>0</v>
      </c>
      <c r="AN243" s="158">
        <f t="shared" si="130"/>
        <v>0</v>
      </c>
      <c r="AO243" s="158">
        <f t="shared" si="130"/>
        <v>0</v>
      </c>
      <c r="AP243" s="158">
        <f t="shared" si="130"/>
        <v>0</v>
      </c>
      <c r="AQ243" s="158">
        <f t="shared" si="130"/>
        <v>0</v>
      </c>
      <c r="AR243" s="158">
        <f t="shared" si="130"/>
        <v>0</v>
      </c>
      <c r="AS243" s="158">
        <f t="shared" si="130"/>
        <v>0</v>
      </c>
      <c r="AT243" s="158">
        <f t="shared" si="130"/>
        <v>0</v>
      </c>
      <c r="AU243" s="158">
        <f t="shared" si="130"/>
        <v>0</v>
      </c>
      <c r="AV243" s="158">
        <f t="shared" si="130"/>
        <v>0</v>
      </c>
      <c r="AW243" s="158">
        <f t="shared" si="130"/>
        <v>0</v>
      </c>
      <c r="AX243" s="158">
        <f t="shared" si="130"/>
        <v>0</v>
      </c>
      <c r="AY243" s="158">
        <f t="shared" si="130"/>
        <v>0</v>
      </c>
      <c r="AZ243" s="158">
        <f t="shared" si="130"/>
        <v>0</v>
      </c>
      <c r="BA243" s="158">
        <f t="shared" si="130"/>
        <v>0</v>
      </c>
      <c r="BB243" s="158">
        <f t="shared" si="130"/>
        <v>0</v>
      </c>
      <c r="BC243" s="158">
        <f t="shared" si="130"/>
        <v>0</v>
      </c>
      <c r="BD243" s="158">
        <f t="shared" si="130"/>
        <v>0</v>
      </c>
      <c r="BE243" s="158">
        <f t="shared" si="130"/>
        <v>0</v>
      </c>
      <c r="BF243" s="158">
        <f t="shared" si="130"/>
        <v>0</v>
      </c>
      <c r="BG243" s="158">
        <f t="shared" si="130"/>
        <v>0</v>
      </c>
      <c r="BH243" s="158">
        <f t="shared" si="130"/>
        <v>0</v>
      </c>
      <c r="BI243" s="158">
        <f t="shared" si="130"/>
        <v>0</v>
      </c>
      <c r="BJ243" s="158">
        <f t="shared" si="130"/>
        <v>0</v>
      </c>
      <c r="BK243" s="158">
        <f t="shared" si="130"/>
        <v>0</v>
      </c>
      <c r="BL243" s="158">
        <f t="shared" si="130"/>
        <v>0</v>
      </c>
      <c r="BM243" s="158">
        <f t="shared" si="130"/>
        <v>0</v>
      </c>
      <c r="BN243" s="158">
        <f t="shared" si="130"/>
        <v>0</v>
      </c>
      <c r="BO243" s="158">
        <f t="shared" si="130"/>
        <v>0</v>
      </c>
      <c r="BP243" s="158">
        <f t="shared" si="130"/>
        <v>0</v>
      </c>
      <c r="BQ243" s="158">
        <f t="shared" si="130"/>
        <v>0</v>
      </c>
      <c r="BR243" s="158">
        <f t="shared" si="130"/>
        <v>0</v>
      </c>
      <c r="BS243" s="158">
        <f t="shared" si="130"/>
        <v>0</v>
      </c>
      <c r="BT243" s="158">
        <f t="shared" si="130"/>
        <v>0</v>
      </c>
      <c r="BU243" s="158">
        <f t="shared" si="130"/>
        <v>0</v>
      </c>
      <c r="BV243" s="158">
        <f t="shared" si="130"/>
        <v>0</v>
      </c>
      <c r="BW243" s="158">
        <f t="shared" si="130"/>
        <v>0</v>
      </c>
      <c r="BX243" s="158">
        <f t="shared" si="130"/>
        <v>0</v>
      </c>
      <c r="BY243" s="158">
        <f t="shared" si="130"/>
        <v>0</v>
      </c>
      <c r="BZ243" s="158">
        <f t="shared" si="130"/>
        <v>0</v>
      </c>
      <c r="CA243" s="158">
        <f t="shared" si="130"/>
        <v>0</v>
      </c>
      <c r="CB243" s="158">
        <f t="shared" si="130"/>
        <v>0</v>
      </c>
      <c r="CC243" s="158">
        <f t="shared" si="130"/>
        <v>0</v>
      </c>
      <c r="CD243" s="158">
        <f t="shared" ref="CD243:CS243" si="131">SUM(CD238:CD242)</f>
        <v>0</v>
      </c>
      <c r="CE243" s="158">
        <f t="shared" si="131"/>
        <v>209460000</v>
      </c>
      <c r="CF243" s="158">
        <f t="shared" si="131"/>
        <v>84333570</v>
      </c>
      <c r="CG243" s="158">
        <f t="shared" si="131"/>
        <v>84302820</v>
      </c>
      <c r="CH243" s="158">
        <f t="shared" si="131"/>
        <v>0</v>
      </c>
      <c r="CI243" s="158">
        <f t="shared" si="131"/>
        <v>0</v>
      </c>
      <c r="CJ243" s="158">
        <f t="shared" si="131"/>
        <v>0</v>
      </c>
      <c r="CK243" s="158">
        <f t="shared" si="131"/>
        <v>0</v>
      </c>
      <c r="CL243" s="158">
        <f t="shared" si="131"/>
        <v>0</v>
      </c>
      <c r="CM243" s="158">
        <f t="shared" si="131"/>
        <v>0</v>
      </c>
      <c r="CN243" s="158">
        <f t="shared" si="131"/>
        <v>0</v>
      </c>
      <c r="CO243" s="158">
        <f t="shared" si="131"/>
        <v>0</v>
      </c>
      <c r="CP243" s="158">
        <f t="shared" si="131"/>
        <v>0</v>
      </c>
      <c r="CQ243" s="158">
        <f t="shared" si="131"/>
        <v>0</v>
      </c>
      <c r="CR243" s="158">
        <f t="shared" si="131"/>
        <v>0</v>
      </c>
      <c r="CS243" s="158">
        <f t="shared" si="131"/>
        <v>0</v>
      </c>
      <c r="CT243" s="158">
        <f>SUM(CT238:CT242)</f>
        <v>209460000</v>
      </c>
      <c r="CU243" s="158">
        <f>SUM(CU238:CU242)</f>
        <v>84333570</v>
      </c>
      <c r="CV243" s="158">
        <f>SUM(CV238:CV242)</f>
        <v>84302820</v>
      </c>
    </row>
    <row r="244" spans="1:100" s="27" customFormat="1" ht="15" x14ac:dyDescent="0.25">
      <c r="A244" s="19"/>
      <c r="B244" s="19"/>
      <c r="C244" s="927"/>
      <c r="D244" s="928"/>
      <c r="E244" s="929"/>
      <c r="F244" s="929"/>
      <c r="G244" s="928"/>
      <c r="H244" s="929"/>
      <c r="I244" s="928"/>
      <c r="J244" s="10"/>
      <c r="K244" s="10"/>
      <c r="L244" s="923"/>
      <c r="M244" s="923"/>
      <c r="N244" s="950"/>
      <c r="O244" s="917"/>
      <c r="P244" s="929"/>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80"/>
      <c r="CD244" s="80"/>
      <c r="CE244" s="115"/>
      <c r="CF244" s="115"/>
      <c r="CG244" s="115"/>
      <c r="CH244" s="82"/>
      <c r="CI244" s="82"/>
      <c r="CJ244" s="82"/>
      <c r="CK244" s="25"/>
      <c r="CL244" s="26"/>
      <c r="CM244" s="26"/>
      <c r="CN244" s="26"/>
      <c r="CO244" s="26"/>
      <c r="CP244" s="26"/>
      <c r="CQ244" s="26"/>
      <c r="CR244" s="26"/>
      <c r="CS244" s="26"/>
      <c r="CT244" s="25"/>
      <c r="CU244" s="76"/>
      <c r="CV244" s="76"/>
    </row>
    <row r="245" spans="1:100" ht="15" x14ac:dyDescent="0.25">
      <c r="A245" s="19"/>
      <c r="B245" s="19"/>
      <c r="C245" s="927"/>
      <c r="D245" s="928"/>
      <c r="E245" s="929"/>
      <c r="F245" s="929"/>
      <c r="G245" s="254">
        <v>9</v>
      </c>
      <c r="H245" s="271" t="s">
        <v>306</v>
      </c>
      <c r="I245" s="189"/>
      <c r="J245" s="189"/>
      <c r="K245" s="189"/>
      <c r="L245" s="189"/>
      <c r="M245" s="189"/>
      <c r="N245" s="684"/>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c r="BY245" s="189"/>
      <c r="BZ245" s="189"/>
      <c r="CA245" s="189"/>
      <c r="CB245" s="189"/>
      <c r="CC245" s="189"/>
      <c r="CD245" s="189"/>
      <c r="CE245" s="190"/>
      <c r="CF245" s="190"/>
      <c r="CG245" s="190"/>
      <c r="CH245" s="189"/>
      <c r="CI245" s="189"/>
      <c r="CJ245" s="189"/>
      <c r="CK245" s="189"/>
      <c r="CL245" s="189"/>
      <c r="CM245" s="189"/>
      <c r="CN245" s="189"/>
      <c r="CO245" s="189"/>
      <c r="CP245" s="189"/>
      <c r="CQ245" s="189"/>
      <c r="CR245" s="189"/>
      <c r="CS245" s="189"/>
      <c r="CT245" s="522"/>
      <c r="CU245" s="522"/>
      <c r="CV245" s="522"/>
    </row>
    <row r="246" spans="1:100" ht="76.5" customHeight="1" x14ac:dyDescent="0.25">
      <c r="A246" s="19"/>
      <c r="B246" s="19"/>
      <c r="C246" s="926">
        <v>5</v>
      </c>
      <c r="D246" s="928" t="s">
        <v>292</v>
      </c>
      <c r="E246" s="914">
        <v>12.9</v>
      </c>
      <c r="F246" s="914">
        <v>8.9</v>
      </c>
      <c r="G246" s="1021">
        <v>0</v>
      </c>
      <c r="H246" s="4">
        <v>43</v>
      </c>
      <c r="I246" s="928" t="s">
        <v>307</v>
      </c>
      <c r="J246" s="10" t="s">
        <v>30</v>
      </c>
      <c r="K246" s="10">
        <v>3</v>
      </c>
      <c r="L246" s="10">
        <v>3</v>
      </c>
      <c r="M246" s="1094" t="s">
        <v>294</v>
      </c>
      <c r="N246" s="1017" t="s">
        <v>308</v>
      </c>
      <c r="O246" s="1098" t="s">
        <v>309</v>
      </c>
      <c r="P246" s="4" t="s">
        <v>34</v>
      </c>
      <c r="Q246" s="319">
        <v>0</v>
      </c>
      <c r="R246" s="319"/>
      <c r="S246" s="319"/>
      <c r="T246" s="319">
        <v>0</v>
      </c>
      <c r="U246" s="319"/>
      <c r="V246" s="319"/>
      <c r="W246" s="319">
        <v>0</v>
      </c>
      <c r="X246" s="319"/>
      <c r="Y246" s="319"/>
      <c r="Z246" s="319">
        <v>0</v>
      </c>
      <c r="AA246" s="319"/>
      <c r="AB246" s="319"/>
      <c r="AC246" s="319">
        <v>0</v>
      </c>
      <c r="AD246" s="319"/>
      <c r="AE246" s="319"/>
      <c r="AF246" s="319">
        <v>0</v>
      </c>
      <c r="AG246" s="319"/>
      <c r="AH246" s="319"/>
      <c r="AI246" s="319">
        <v>0</v>
      </c>
      <c r="AJ246" s="319"/>
      <c r="AK246" s="319"/>
      <c r="AL246" s="319"/>
      <c r="AM246" s="319"/>
      <c r="AN246" s="319"/>
      <c r="AO246" s="319"/>
      <c r="AP246" s="319"/>
      <c r="AQ246" s="319"/>
      <c r="AR246" s="319"/>
      <c r="AS246" s="319"/>
      <c r="AT246" s="319"/>
      <c r="AU246" s="319">
        <v>0</v>
      </c>
      <c r="AV246" s="319"/>
      <c r="AW246" s="319"/>
      <c r="AX246" s="319"/>
      <c r="AY246" s="319"/>
      <c r="AZ246" s="319"/>
      <c r="BA246" s="319">
        <v>0</v>
      </c>
      <c r="BB246" s="319"/>
      <c r="BC246" s="319"/>
      <c r="BD246" s="319">
        <v>0</v>
      </c>
      <c r="BE246" s="319"/>
      <c r="BF246" s="319"/>
      <c r="BG246" s="250"/>
      <c r="BH246" s="250"/>
      <c r="BI246" s="250"/>
      <c r="BJ246" s="250"/>
      <c r="BK246" s="250"/>
      <c r="BL246" s="250"/>
      <c r="BM246" s="250"/>
      <c r="BN246" s="250"/>
      <c r="BO246" s="250"/>
      <c r="BP246" s="250"/>
      <c r="BQ246" s="250"/>
      <c r="BR246" s="250"/>
      <c r="BS246" s="250"/>
      <c r="BT246" s="250"/>
      <c r="BU246" s="250"/>
      <c r="BV246" s="250"/>
      <c r="BW246" s="250"/>
      <c r="BX246" s="250"/>
      <c r="BY246" s="319">
        <v>0</v>
      </c>
      <c r="BZ246" s="319"/>
      <c r="CA246" s="319"/>
      <c r="CB246" s="319">
        <v>0</v>
      </c>
      <c r="CC246" s="319"/>
      <c r="CD246" s="319"/>
      <c r="CE246" s="110">
        <f>40000000-10000000+47140000</f>
        <v>77140000</v>
      </c>
      <c r="CF246" s="110">
        <v>60000000</v>
      </c>
      <c r="CG246" s="110">
        <v>58283000</v>
      </c>
      <c r="CH246" s="13"/>
      <c r="CI246" s="13"/>
      <c r="CJ246" s="13"/>
      <c r="CK246" s="319">
        <v>0</v>
      </c>
      <c r="CL246" s="288"/>
      <c r="CM246" s="288"/>
      <c r="CN246" s="288">
        <v>0</v>
      </c>
      <c r="CO246" s="288"/>
      <c r="CP246" s="288"/>
      <c r="CQ246" s="288"/>
      <c r="CR246" s="288"/>
      <c r="CS246" s="288"/>
      <c r="CT246" s="25">
        <f t="shared" ref="CT246:CV249" si="132">Q246+T246+W246+Z246+AC246+AF246+AI246+AL246+AO246+AR246+AU246+AX246+BA246+BD246+BG246+BJ246+BM246+BP246+BS246+BV246+BY246+CB246+CE246+CH246+CK246+CQ246+CN246</f>
        <v>77140000</v>
      </c>
      <c r="CU246" s="25">
        <f t="shared" si="132"/>
        <v>60000000</v>
      </c>
      <c r="CV246" s="25">
        <f t="shared" si="132"/>
        <v>58283000</v>
      </c>
    </row>
    <row r="247" spans="1:100" ht="116.25" customHeight="1" x14ac:dyDescent="0.25">
      <c r="A247" s="19"/>
      <c r="B247" s="19"/>
      <c r="C247" s="926">
        <v>6</v>
      </c>
      <c r="D247" s="928" t="s">
        <v>310</v>
      </c>
      <c r="E247" s="915" t="s">
        <v>298</v>
      </c>
      <c r="F247" s="915" t="s">
        <v>299</v>
      </c>
      <c r="G247" s="1023"/>
      <c r="H247" s="4">
        <v>44</v>
      </c>
      <c r="I247" s="928" t="s">
        <v>311</v>
      </c>
      <c r="J247" s="10">
        <v>0</v>
      </c>
      <c r="K247" s="10">
        <v>1</v>
      </c>
      <c r="L247" s="10">
        <v>1</v>
      </c>
      <c r="M247" s="1102"/>
      <c r="N247" s="1018"/>
      <c r="O247" s="1099"/>
      <c r="P247" s="4" t="s">
        <v>38</v>
      </c>
      <c r="Q247" s="319">
        <v>0</v>
      </c>
      <c r="R247" s="319"/>
      <c r="S247" s="319"/>
      <c r="T247" s="319">
        <v>0</v>
      </c>
      <c r="U247" s="319"/>
      <c r="V247" s="319"/>
      <c r="W247" s="319">
        <v>0</v>
      </c>
      <c r="X247" s="319"/>
      <c r="Y247" s="319"/>
      <c r="Z247" s="319">
        <v>0</v>
      </c>
      <c r="AA247" s="319"/>
      <c r="AB247" s="319"/>
      <c r="AC247" s="319">
        <v>0</v>
      </c>
      <c r="AD247" s="319"/>
      <c r="AE247" s="319"/>
      <c r="AF247" s="319">
        <v>0</v>
      </c>
      <c r="AG247" s="319"/>
      <c r="AH247" s="319"/>
      <c r="AI247" s="319">
        <v>0</v>
      </c>
      <c r="AJ247" s="319"/>
      <c r="AK247" s="319"/>
      <c r="AL247" s="319"/>
      <c r="AM247" s="319"/>
      <c r="AN247" s="319"/>
      <c r="AO247" s="319"/>
      <c r="AP247" s="319"/>
      <c r="AQ247" s="319"/>
      <c r="AR247" s="319"/>
      <c r="AS247" s="319"/>
      <c r="AT247" s="319"/>
      <c r="AU247" s="319">
        <v>0</v>
      </c>
      <c r="AV247" s="319"/>
      <c r="AW247" s="319"/>
      <c r="AX247" s="319"/>
      <c r="AY247" s="319"/>
      <c r="AZ247" s="319"/>
      <c r="BA247" s="319">
        <v>0</v>
      </c>
      <c r="BB247" s="319"/>
      <c r="BC247" s="319"/>
      <c r="BD247" s="319">
        <v>0</v>
      </c>
      <c r="BE247" s="319"/>
      <c r="BF247" s="319"/>
      <c r="BG247" s="250"/>
      <c r="BH247" s="250"/>
      <c r="BI247" s="250"/>
      <c r="BJ247" s="250"/>
      <c r="BK247" s="250"/>
      <c r="BL247" s="250"/>
      <c r="BM247" s="250"/>
      <c r="BN247" s="250"/>
      <c r="BO247" s="250"/>
      <c r="BP247" s="250"/>
      <c r="BQ247" s="250"/>
      <c r="BR247" s="250"/>
      <c r="BS247" s="250"/>
      <c r="BT247" s="250"/>
      <c r="BU247" s="250"/>
      <c r="BV247" s="250"/>
      <c r="BW247" s="250"/>
      <c r="BX247" s="250"/>
      <c r="BY247" s="319">
        <v>0</v>
      </c>
      <c r="BZ247" s="319"/>
      <c r="CA247" s="319"/>
      <c r="CB247" s="319">
        <v>0</v>
      </c>
      <c r="CC247" s="319"/>
      <c r="CD247" s="319"/>
      <c r="CE247" s="110">
        <f>40000000-7000000+20140000</f>
        <v>53140000</v>
      </c>
      <c r="CF247" s="110">
        <v>43243000</v>
      </c>
      <c r="CG247" s="110">
        <v>43243000</v>
      </c>
      <c r="CH247" s="13"/>
      <c r="CI247" s="13"/>
      <c r="CJ247" s="13"/>
      <c r="CK247" s="319">
        <v>0</v>
      </c>
      <c r="CL247" s="288"/>
      <c r="CM247" s="288"/>
      <c r="CN247" s="288">
        <v>0</v>
      </c>
      <c r="CO247" s="288"/>
      <c r="CP247" s="288"/>
      <c r="CQ247" s="288"/>
      <c r="CR247" s="288"/>
      <c r="CS247" s="288"/>
      <c r="CT247" s="25">
        <f t="shared" si="132"/>
        <v>53140000</v>
      </c>
      <c r="CU247" s="25">
        <f t="shared" si="132"/>
        <v>43243000</v>
      </c>
      <c r="CV247" s="25">
        <f t="shared" si="132"/>
        <v>43243000</v>
      </c>
    </row>
    <row r="248" spans="1:100" ht="57" x14ac:dyDescent="0.25">
      <c r="A248" s="19"/>
      <c r="B248" s="19"/>
      <c r="C248" s="1038">
        <v>7</v>
      </c>
      <c r="D248" s="1149" t="s">
        <v>312</v>
      </c>
      <c r="E248" s="1023" t="s">
        <v>313</v>
      </c>
      <c r="F248" s="1023">
        <v>27</v>
      </c>
      <c r="G248" s="1023"/>
      <c r="H248" s="4">
        <v>45</v>
      </c>
      <c r="I248" s="928" t="s">
        <v>314</v>
      </c>
      <c r="J248" s="10" t="s">
        <v>30</v>
      </c>
      <c r="K248" s="10">
        <v>3</v>
      </c>
      <c r="L248" s="10">
        <v>3</v>
      </c>
      <c r="M248" s="1102"/>
      <c r="N248" s="1018"/>
      <c r="O248" s="1099"/>
      <c r="P248" s="4" t="s">
        <v>34</v>
      </c>
      <c r="Q248" s="319"/>
      <c r="R248" s="319"/>
      <c r="S248" s="319"/>
      <c r="T248" s="319"/>
      <c r="U248" s="319"/>
      <c r="V248" s="319"/>
      <c r="W248" s="319"/>
      <c r="X248" s="319"/>
      <c r="Y248" s="319"/>
      <c r="Z248" s="319"/>
      <c r="AA248" s="319"/>
      <c r="AB248" s="319"/>
      <c r="AC248" s="319"/>
      <c r="AD248" s="319"/>
      <c r="AE248" s="319"/>
      <c r="AF248" s="319"/>
      <c r="AG248" s="319"/>
      <c r="AH248" s="319"/>
      <c r="AI248" s="319"/>
      <c r="AJ248" s="319"/>
      <c r="AK248" s="319"/>
      <c r="AL248" s="319"/>
      <c r="AM248" s="319"/>
      <c r="AN248" s="319"/>
      <c r="AO248" s="319"/>
      <c r="AP248" s="319"/>
      <c r="AQ248" s="319"/>
      <c r="AR248" s="319"/>
      <c r="AS248" s="319"/>
      <c r="AT248" s="319"/>
      <c r="AU248" s="319"/>
      <c r="AV248" s="319"/>
      <c r="AW248" s="319"/>
      <c r="AX248" s="319"/>
      <c r="AY248" s="319"/>
      <c r="AZ248" s="319"/>
      <c r="BA248" s="319"/>
      <c r="BB248" s="319"/>
      <c r="BC248" s="319"/>
      <c r="BD248" s="319"/>
      <c r="BE248" s="319"/>
      <c r="BF248" s="319"/>
      <c r="BG248" s="250"/>
      <c r="BH248" s="250"/>
      <c r="BI248" s="250"/>
      <c r="BJ248" s="250"/>
      <c r="BK248" s="250"/>
      <c r="BL248" s="250"/>
      <c r="BM248" s="250"/>
      <c r="BN248" s="250"/>
      <c r="BO248" s="250"/>
      <c r="BP248" s="250"/>
      <c r="BQ248" s="250"/>
      <c r="BR248" s="250"/>
      <c r="BS248" s="250"/>
      <c r="BT248" s="250"/>
      <c r="BU248" s="250"/>
      <c r="BV248" s="250"/>
      <c r="BW248" s="250"/>
      <c r="BX248" s="250"/>
      <c r="BY248" s="319"/>
      <c r="BZ248" s="319"/>
      <c r="CA248" s="319"/>
      <c r="CB248" s="319"/>
      <c r="CC248" s="319"/>
      <c r="CD248" s="319"/>
      <c r="CE248" s="110">
        <f>40000000+17000000+12920000</f>
        <v>69920000</v>
      </c>
      <c r="CF248" s="110">
        <v>66207000</v>
      </c>
      <c r="CG248" s="110">
        <v>65207000</v>
      </c>
      <c r="CH248" s="13"/>
      <c r="CI248" s="13"/>
      <c r="CJ248" s="13"/>
      <c r="CK248" s="319"/>
      <c r="CL248" s="288"/>
      <c r="CM248" s="288"/>
      <c r="CN248" s="288"/>
      <c r="CO248" s="288"/>
      <c r="CP248" s="288"/>
      <c r="CQ248" s="288"/>
      <c r="CR248" s="288"/>
      <c r="CS248" s="288"/>
      <c r="CT248" s="25">
        <f t="shared" si="132"/>
        <v>69920000</v>
      </c>
      <c r="CU248" s="25">
        <f t="shared" si="132"/>
        <v>66207000</v>
      </c>
      <c r="CV248" s="25">
        <f t="shared" si="132"/>
        <v>65207000</v>
      </c>
    </row>
    <row r="249" spans="1:100" ht="57" x14ac:dyDescent="0.25">
      <c r="A249" s="19"/>
      <c r="B249" s="19"/>
      <c r="C249" s="1033"/>
      <c r="D249" s="1149"/>
      <c r="E249" s="1022"/>
      <c r="F249" s="1022"/>
      <c r="G249" s="1022"/>
      <c r="H249" s="4">
        <v>46</v>
      </c>
      <c r="I249" s="928" t="s">
        <v>315</v>
      </c>
      <c r="J249" s="10">
        <v>0</v>
      </c>
      <c r="K249" s="10">
        <v>1</v>
      </c>
      <c r="L249" s="10">
        <v>1</v>
      </c>
      <c r="M249" s="1095"/>
      <c r="N249" s="1019"/>
      <c r="O249" s="1100"/>
      <c r="P249" s="4" t="s">
        <v>38</v>
      </c>
      <c r="Q249" s="319">
        <v>0</v>
      </c>
      <c r="R249" s="319"/>
      <c r="S249" s="319"/>
      <c r="T249" s="319">
        <v>0</v>
      </c>
      <c r="U249" s="319"/>
      <c r="V249" s="319"/>
      <c r="W249" s="319">
        <v>0</v>
      </c>
      <c r="X249" s="319"/>
      <c r="Y249" s="319"/>
      <c r="Z249" s="319">
        <v>0</v>
      </c>
      <c r="AA249" s="319"/>
      <c r="AB249" s="319"/>
      <c r="AC249" s="319">
        <v>0</v>
      </c>
      <c r="AD249" s="319"/>
      <c r="AE249" s="319"/>
      <c r="AF249" s="319">
        <v>0</v>
      </c>
      <c r="AG249" s="319"/>
      <c r="AH249" s="319"/>
      <c r="AI249" s="319">
        <v>0</v>
      </c>
      <c r="AJ249" s="319"/>
      <c r="AK249" s="319"/>
      <c r="AL249" s="319"/>
      <c r="AM249" s="319"/>
      <c r="AN249" s="319"/>
      <c r="AO249" s="319"/>
      <c r="AP249" s="319"/>
      <c r="AQ249" s="319"/>
      <c r="AR249" s="319"/>
      <c r="AS249" s="319"/>
      <c r="AT249" s="319"/>
      <c r="AU249" s="319">
        <v>0</v>
      </c>
      <c r="AV249" s="319"/>
      <c r="AW249" s="319"/>
      <c r="AX249" s="319"/>
      <c r="AY249" s="319"/>
      <c r="AZ249" s="319"/>
      <c r="BA249" s="319">
        <v>0</v>
      </c>
      <c r="BB249" s="319"/>
      <c r="BC249" s="319"/>
      <c r="BD249" s="319">
        <v>0</v>
      </c>
      <c r="BE249" s="319"/>
      <c r="BF249" s="319"/>
      <c r="BG249" s="250"/>
      <c r="BH249" s="250"/>
      <c r="BI249" s="250"/>
      <c r="BJ249" s="250"/>
      <c r="BK249" s="250"/>
      <c r="BL249" s="250"/>
      <c r="BM249" s="250"/>
      <c r="BN249" s="250"/>
      <c r="BO249" s="250"/>
      <c r="BP249" s="250"/>
      <c r="BQ249" s="250"/>
      <c r="BR249" s="250"/>
      <c r="BS249" s="250"/>
      <c r="BT249" s="250"/>
      <c r="BU249" s="250"/>
      <c r="BV249" s="250"/>
      <c r="BW249" s="250"/>
      <c r="BX249" s="250"/>
      <c r="BY249" s="319">
        <v>0</v>
      </c>
      <c r="BZ249" s="319"/>
      <c r="CA249" s="319"/>
      <c r="CB249" s="319">
        <v>0</v>
      </c>
      <c r="CC249" s="319"/>
      <c r="CD249" s="319"/>
      <c r="CE249" s="110">
        <f>25000000+25000000+165000000</f>
        <v>215000000</v>
      </c>
      <c r="CF249" s="110">
        <v>214927410</v>
      </c>
      <c r="CG249" s="110">
        <v>214927410</v>
      </c>
      <c r="CH249" s="13"/>
      <c r="CI249" s="13"/>
      <c r="CJ249" s="13"/>
      <c r="CK249" s="319">
        <v>0</v>
      </c>
      <c r="CL249" s="288"/>
      <c r="CM249" s="288"/>
      <c r="CN249" s="288">
        <v>0</v>
      </c>
      <c r="CO249" s="288"/>
      <c r="CP249" s="288"/>
      <c r="CQ249" s="288"/>
      <c r="CR249" s="288"/>
      <c r="CS249" s="288"/>
      <c r="CT249" s="25">
        <f t="shared" si="132"/>
        <v>215000000</v>
      </c>
      <c r="CU249" s="25">
        <f t="shared" si="132"/>
        <v>214927410</v>
      </c>
      <c r="CV249" s="25">
        <f t="shared" si="132"/>
        <v>214927410</v>
      </c>
    </row>
    <row r="250" spans="1:100" ht="15" x14ac:dyDescent="0.25">
      <c r="A250" s="19"/>
      <c r="B250" s="19"/>
      <c r="C250" s="927"/>
      <c r="D250" s="928"/>
      <c r="E250" s="929"/>
      <c r="F250" s="929"/>
      <c r="G250" s="154"/>
      <c r="H250" s="155"/>
      <c r="I250" s="154"/>
      <c r="J250" s="249"/>
      <c r="K250" s="249"/>
      <c r="L250" s="249"/>
      <c r="M250" s="249"/>
      <c r="N250" s="157"/>
      <c r="O250" s="154"/>
      <c r="P250" s="155"/>
      <c r="Q250" s="158">
        <f>SUM(Q246:Q249)</f>
        <v>0</v>
      </c>
      <c r="R250" s="158">
        <f t="shared" ref="R250:CC250" si="133">SUM(R246:R249)</f>
        <v>0</v>
      </c>
      <c r="S250" s="158">
        <f t="shared" si="133"/>
        <v>0</v>
      </c>
      <c r="T250" s="158">
        <f t="shared" si="133"/>
        <v>0</v>
      </c>
      <c r="U250" s="158">
        <f t="shared" si="133"/>
        <v>0</v>
      </c>
      <c r="V250" s="158">
        <f t="shared" si="133"/>
        <v>0</v>
      </c>
      <c r="W250" s="158">
        <f t="shared" si="133"/>
        <v>0</v>
      </c>
      <c r="X250" s="158">
        <f t="shared" si="133"/>
        <v>0</v>
      </c>
      <c r="Y250" s="158">
        <f t="shared" si="133"/>
        <v>0</v>
      </c>
      <c r="Z250" s="158">
        <f t="shared" si="133"/>
        <v>0</v>
      </c>
      <c r="AA250" s="158">
        <f t="shared" si="133"/>
        <v>0</v>
      </c>
      <c r="AB250" s="158">
        <f t="shared" si="133"/>
        <v>0</v>
      </c>
      <c r="AC250" s="158">
        <f t="shared" si="133"/>
        <v>0</v>
      </c>
      <c r="AD250" s="158">
        <f t="shared" si="133"/>
        <v>0</v>
      </c>
      <c r="AE250" s="158">
        <f t="shared" si="133"/>
        <v>0</v>
      </c>
      <c r="AF250" s="158">
        <f t="shared" si="133"/>
        <v>0</v>
      </c>
      <c r="AG250" s="158">
        <f t="shared" si="133"/>
        <v>0</v>
      </c>
      <c r="AH250" s="158">
        <f t="shared" si="133"/>
        <v>0</v>
      </c>
      <c r="AI250" s="158">
        <f t="shared" si="133"/>
        <v>0</v>
      </c>
      <c r="AJ250" s="158">
        <f t="shared" si="133"/>
        <v>0</v>
      </c>
      <c r="AK250" s="158">
        <f t="shared" si="133"/>
        <v>0</v>
      </c>
      <c r="AL250" s="158">
        <f t="shared" si="133"/>
        <v>0</v>
      </c>
      <c r="AM250" s="158">
        <f t="shared" si="133"/>
        <v>0</v>
      </c>
      <c r="AN250" s="158">
        <f t="shared" si="133"/>
        <v>0</v>
      </c>
      <c r="AO250" s="158">
        <f t="shared" si="133"/>
        <v>0</v>
      </c>
      <c r="AP250" s="158">
        <f t="shared" si="133"/>
        <v>0</v>
      </c>
      <c r="AQ250" s="158">
        <f t="shared" si="133"/>
        <v>0</v>
      </c>
      <c r="AR250" s="158">
        <f t="shared" si="133"/>
        <v>0</v>
      </c>
      <c r="AS250" s="158">
        <f t="shared" si="133"/>
        <v>0</v>
      </c>
      <c r="AT250" s="158">
        <f t="shared" si="133"/>
        <v>0</v>
      </c>
      <c r="AU250" s="158">
        <f t="shared" si="133"/>
        <v>0</v>
      </c>
      <c r="AV250" s="158">
        <f t="shared" si="133"/>
        <v>0</v>
      </c>
      <c r="AW250" s="158">
        <f t="shared" si="133"/>
        <v>0</v>
      </c>
      <c r="AX250" s="158">
        <f t="shared" si="133"/>
        <v>0</v>
      </c>
      <c r="AY250" s="158">
        <f t="shared" si="133"/>
        <v>0</v>
      </c>
      <c r="AZ250" s="158">
        <f t="shared" si="133"/>
        <v>0</v>
      </c>
      <c r="BA250" s="158">
        <f t="shared" si="133"/>
        <v>0</v>
      </c>
      <c r="BB250" s="158">
        <f t="shared" si="133"/>
        <v>0</v>
      </c>
      <c r="BC250" s="158">
        <f t="shared" si="133"/>
        <v>0</v>
      </c>
      <c r="BD250" s="158">
        <f t="shared" si="133"/>
        <v>0</v>
      </c>
      <c r="BE250" s="158">
        <f t="shared" si="133"/>
        <v>0</v>
      </c>
      <c r="BF250" s="158">
        <f t="shared" si="133"/>
        <v>0</v>
      </c>
      <c r="BG250" s="158">
        <f t="shared" si="133"/>
        <v>0</v>
      </c>
      <c r="BH250" s="158">
        <f t="shared" si="133"/>
        <v>0</v>
      </c>
      <c r="BI250" s="158">
        <f t="shared" si="133"/>
        <v>0</v>
      </c>
      <c r="BJ250" s="158">
        <f t="shared" si="133"/>
        <v>0</v>
      </c>
      <c r="BK250" s="158">
        <f t="shared" si="133"/>
        <v>0</v>
      </c>
      <c r="BL250" s="158">
        <f t="shared" si="133"/>
        <v>0</v>
      </c>
      <c r="BM250" s="158">
        <f t="shared" si="133"/>
        <v>0</v>
      </c>
      <c r="BN250" s="158">
        <f t="shared" si="133"/>
        <v>0</v>
      </c>
      <c r="BO250" s="158">
        <f t="shared" si="133"/>
        <v>0</v>
      </c>
      <c r="BP250" s="158">
        <f t="shared" si="133"/>
        <v>0</v>
      </c>
      <c r="BQ250" s="158">
        <f t="shared" si="133"/>
        <v>0</v>
      </c>
      <c r="BR250" s="158">
        <f t="shared" si="133"/>
        <v>0</v>
      </c>
      <c r="BS250" s="158">
        <f t="shared" si="133"/>
        <v>0</v>
      </c>
      <c r="BT250" s="158">
        <f t="shared" si="133"/>
        <v>0</v>
      </c>
      <c r="BU250" s="158">
        <f t="shared" si="133"/>
        <v>0</v>
      </c>
      <c r="BV250" s="158">
        <f t="shared" si="133"/>
        <v>0</v>
      </c>
      <c r="BW250" s="158">
        <f t="shared" si="133"/>
        <v>0</v>
      </c>
      <c r="BX250" s="158">
        <f t="shared" si="133"/>
        <v>0</v>
      </c>
      <c r="BY250" s="158">
        <f t="shared" si="133"/>
        <v>0</v>
      </c>
      <c r="BZ250" s="158">
        <f t="shared" si="133"/>
        <v>0</v>
      </c>
      <c r="CA250" s="158">
        <f t="shared" si="133"/>
        <v>0</v>
      </c>
      <c r="CB250" s="158">
        <f t="shared" si="133"/>
        <v>0</v>
      </c>
      <c r="CC250" s="158">
        <f t="shared" si="133"/>
        <v>0</v>
      </c>
      <c r="CD250" s="158">
        <f t="shared" ref="CD250:CS250" si="134">SUM(CD246:CD249)</f>
        <v>0</v>
      </c>
      <c r="CE250" s="158">
        <f t="shared" si="134"/>
        <v>415200000</v>
      </c>
      <c r="CF250" s="158">
        <f t="shared" si="134"/>
        <v>384377410</v>
      </c>
      <c r="CG250" s="158">
        <f t="shared" si="134"/>
        <v>381660410</v>
      </c>
      <c r="CH250" s="158">
        <f t="shared" si="134"/>
        <v>0</v>
      </c>
      <c r="CI250" s="158">
        <f t="shared" si="134"/>
        <v>0</v>
      </c>
      <c r="CJ250" s="158">
        <f t="shared" si="134"/>
        <v>0</v>
      </c>
      <c r="CK250" s="158">
        <f t="shared" si="134"/>
        <v>0</v>
      </c>
      <c r="CL250" s="158">
        <f t="shared" si="134"/>
        <v>0</v>
      </c>
      <c r="CM250" s="158">
        <f t="shared" si="134"/>
        <v>0</v>
      </c>
      <c r="CN250" s="158">
        <f t="shared" si="134"/>
        <v>0</v>
      </c>
      <c r="CO250" s="158">
        <f t="shared" si="134"/>
        <v>0</v>
      </c>
      <c r="CP250" s="158">
        <f t="shared" si="134"/>
        <v>0</v>
      </c>
      <c r="CQ250" s="158">
        <f t="shared" si="134"/>
        <v>0</v>
      </c>
      <c r="CR250" s="158">
        <f t="shared" si="134"/>
        <v>0</v>
      </c>
      <c r="CS250" s="158">
        <f t="shared" si="134"/>
        <v>0</v>
      </c>
      <c r="CT250" s="158">
        <f>SUM(CT246:CT249)</f>
        <v>415200000</v>
      </c>
      <c r="CU250" s="158">
        <f>SUM(CU246:CU249)</f>
        <v>384377410</v>
      </c>
      <c r="CV250" s="158">
        <f>SUM(CV246:CV249)</f>
        <v>381660410</v>
      </c>
    </row>
    <row r="251" spans="1:100" s="27" customFormat="1" ht="15" x14ac:dyDescent="0.25">
      <c r="A251" s="19"/>
      <c r="B251" s="19"/>
      <c r="C251" s="949"/>
      <c r="D251" s="177"/>
      <c r="E251" s="949"/>
      <c r="F251" s="949"/>
      <c r="G251" s="177"/>
      <c r="H251" s="949"/>
      <c r="I251" s="177"/>
      <c r="J251" s="260"/>
      <c r="K251" s="260"/>
      <c r="L251" s="260"/>
      <c r="M251" s="260"/>
      <c r="N251" s="179"/>
      <c r="O251" s="177"/>
      <c r="P251" s="949"/>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c r="BZ251" s="180"/>
      <c r="CA251" s="180"/>
      <c r="CB251" s="180"/>
      <c r="CC251" s="180"/>
      <c r="CD251" s="180"/>
      <c r="CE251" s="182"/>
      <c r="CF251" s="182"/>
      <c r="CG251" s="182"/>
      <c r="CH251" s="183"/>
      <c r="CI251" s="183"/>
      <c r="CJ251" s="183"/>
      <c r="CK251" s="180"/>
      <c r="CL251" s="180"/>
      <c r="CM251" s="180"/>
      <c r="CN251" s="180"/>
      <c r="CO251" s="180"/>
      <c r="CP251" s="180"/>
      <c r="CQ251" s="180"/>
      <c r="CR251" s="180"/>
      <c r="CS251" s="180"/>
      <c r="CT251" s="25"/>
      <c r="CU251" s="76"/>
      <c r="CV251" s="76"/>
    </row>
    <row r="252" spans="1:100" ht="15" x14ac:dyDescent="0.25">
      <c r="A252" s="19"/>
      <c r="B252" s="19"/>
      <c r="C252" s="921"/>
      <c r="D252" s="919"/>
      <c r="E252" s="916"/>
      <c r="F252" s="916"/>
      <c r="G252" s="341">
        <v>10</v>
      </c>
      <c r="H252" s="271" t="s">
        <v>316</v>
      </c>
      <c r="I252" s="189"/>
      <c r="J252" s="189"/>
      <c r="K252" s="189"/>
      <c r="L252" s="189"/>
      <c r="M252" s="189"/>
      <c r="N252" s="684"/>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c r="BY252" s="189"/>
      <c r="BZ252" s="189"/>
      <c r="CA252" s="189"/>
      <c r="CB252" s="189"/>
      <c r="CC252" s="189"/>
      <c r="CD252" s="189"/>
      <c r="CE252" s="190"/>
      <c r="CF252" s="190"/>
      <c r="CG252" s="190"/>
      <c r="CH252" s="189"/>
      <c r="CI252" s="189"/>
      <c r="CJ252" s="189"/>
      <c r="CK252" s="189"/>
      <c r="CL252" s="189"/>
      <c r="CM252" s="189"/>
      <c r="CN252" s="189"/>
      <c r="CO252" s="189"/>
      <c r="CP252" s="189"/>
      <c r="CQ252" s="189"/>
      <c r="CR252" s="189"/>
      <c r="CS252" s="189"/>
      <c r="CT252" s="522"/>
      <c r="CU252" s="522"/>
      <c r="CV252" s="522"/>
    </row>
    <row r="253" spans="1:100" s="27" customFormat="1" ht="79.5" customHeight="1" x14ac:dyDescent="0.25">
      <c r="A253" s="19"/>
      <c r="B253" s="19"/>
      <c r="C253" s="926">
        <v>5</v>
      </c>
      <c r="D253" s="917" t="s">
        <v>317</v>
      </c>
      <c r="E253" s="914" t="s">
        <v>318</v>
      </c>
      <c r="F253" s="914" t="s">
        <v>319</v>
      </c>
      <c r="G253" s="28"/>
      <c r="H253" s="929">
        <v>47</v>
      </c>
      <c r="I253" s="928" t="s">
        <v>320</v>
      </c>
      <c r="J253" s="10">
        <v>0</v>
      </c>
      <c r="K253" s="10">
        <v>24</v>
      </c>
      <c r="L253" s="923">
        <v>24</v>
      </c>
      <c r="M253" s="1147" t="s">
        <v>294</v>
      </c>
      <c r="N253" s="1017" t="s">
        <v>321</v>
      </c>
      <c r="O253" s="1012" t="s">
        <v>322</v>
      </c>
      <c r="P253" s="929" t="s">
        <v>34</v>
      </c>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110">
        <f>78750000+5625000+83920000+20000000+150000000+9750000+6000000</f>
        <v>354045000</v>
      </c>
      <c r="CF253" s="110">
        <v>308365000</v>
      </c>
      <c r="CG253" s="110">
        <v>308365000</v>
      </c>
      <c r="CH253" s="13"/>
      <c r="CI253" s="13"/>
      <c r="CJ253" s="13"/>
      <c r="CK253" s="25"/>
      <c r="CL253" s="26"/>
      <c r="CM253" s="26"/>
      <c r="CN253" s="26"/>
      <c r="CO253" s="26"/>
      <c r="CP253" s="26"/>
      <c r="CQ253" s="26"/>
      <c r="CR253" s="26"/>
      <c r="CS253" s="26"/>
      <c r="CT253" s="25">
        <f t="shared" ref="CT253:CV255" si="135">Q253+T253+W253+Z253+AC253+AF253+AI253+AL253+AO253+AR253+AU253+AX253+BA253+BD253+BG253+BJ253+BM253+BP253+BS253+BV253+BY253+CB253+CE253+CH253+CK253+CQ253+CN253</f>
        <v>354045000</v>
      </c>
      <c r="CU253" s="25">
        <f t="shared" si="135"/>
        <v>308365000</v>
      </c>
      <c r="CV253" s="25">
        <f t="shared" si="135"/>
        <v>308365000</v>
      </c>
    </row>
    <row r="254" spans="1:100" s="27" customFormat="1" ht="57" customHeight="1" x14ac:dyDescent="0.25">
      <c r="A254" s="19"/>
      <c r="B254" s="19"/>
      <c r="C254" s="920">
        <v>6</v>
      </c>
      <c r="D254" s="28" t="s">
        <v>310</v>
      </c>
      <c r="E254" s="915" t="s">
        <v>298</v>
      </c>
      <c r="F254" s="915" t="s">
        <v>299</v>
      </c>
      <c r="G254" s="28"/>
      <c r="H254" s="929">
        <v>48</v>
      </c>
      <c r="I254" s="928" t="s">
        <v>323</v>
      </c>
      <c r="J254" s="10">
        <v>0</v>
      </c>
      <c r="K254" s="10">
        <v>1</v>
      </c>
      <c r="L254" s="10">
        <v>1</v>
      </c>
      <c r="M254" s="1169"/>
      <c r="N254" s="1018"/>
      <c r="O254" s="1020"/>
      <c r="P254" s="929" t="s">
        <v>38</v>
      </c>
      <c r="Q254" s="25">
        <v>0</v>
      </c>
      <c r="R254" s="25"/>
      <c r="S254" s="25"/>
      <c r="T254" s="25">
        <v>0</v>
      </c>
      <c r="U254" s="25"/>
      <c r="V254" s="25"/>
      <c r="W254" s="25">
        <v>0</v>
      </c>
      <c r="X254" s="25"/>
      <c r="Y254" s="25"/>
      <c r="Z254" s="25">
        <v>0</v>
      </c>
      <c r="AA254" s="25"/>
      <c r="AB254" s="25"/>
      <c r="AC254" s="25">
        <v>0</v>
      </c>
      <c r="AD254" s="25"/>
      <c r="AE254" s="25"/>
      <c r="AF254" s="25">
        <v>0</v>
      </c>
      <c r="AG254" s="25"/>
      <c r="AH254" s="25"/>
      <c r="AI254" s="25">
        <v>0</v>
      </c>
      <c r="AJ254" s="25"/>
      <c r="AK254" s="25"/>
      <c r="AL254" s="25"/>
      <c r="AM254" s="25"/>
      <c r="AN254" s="25"/>
      <c r="AO254" s="25"/>
      <c r="AP254" s="25"/>
      <c r="AQ254" s="25"/>
      <c r="AR254" s="25"/>
      <c r="AS254" s="25"/>
      <c r="AT254" s="25"/>
      <c r="AU254" s="25">
        <v>0</v>
      </c>
      <c r="AV254" s="25"/>
      <c r="AW254" s="25"/>
      <c r="AX254" s="25"/>
      <c r="AY254" s="25"/>
      <c r="AZ254" s="25"/>
      <c r="BA254" s="25">
        <v>0</v>
      </c>
      <c r="BB254" s="25"/>
      <c r="BC254" s="25"/>
      <c r="BD254" s="25">
        <v>0</v>
      </c>
      <c r="BE254" s="25"/>
      <c r="BF254" s="25"/>
      <c r="BG254" s="25"/>
      <c r="BH254" s="25"/>
      <c r="BI254" s="25"/>
      <c r="BJ254" s="25"/>
      <c r="BK254" s="25"/>
      <c r="BL254" s="25"/>
      <c r="BM254" s="25"/>
      <c r="BN254" s="25"/>
      <c r="BO254" s="25"/>
      <c r="BP254" s="25"/>
      <c r="BQ254" s="25"/>
      <c r="BR254" s="25"/>
      <c r="BS254" s="25"/>
      <c r="BT254" s="25"/>
      <c r="BU254" s="25"/>
      <c r="BV254" s="25"/>
      <c r="BW254" s="25"/>
      <c r="BX254" s="25"/>
      <c r="BY254" s="25">
        <v>0</v>
      </c>
      <c r="BZ254" s="25"/>
      <c r="CA254" s="25"/>
      <c r="CB254" s="25">
        <v>0</v>
      </c>
      <c r="CC254" s="25"/>
      <c r="CD254" s="25"/>
      <c r="CE254" s="110">
        <f>205625000-5625000-150000000+150000000</f>
        <v>200000000</v>
      </c>
      <c r="CF254" s="110">
        <f>205625000-5625000-150000000+150000000</f>
        <v>200000000</v>
      </c>
      <c r="CG254" s="110">
        <f>205625000-5625000-150000000+150000000</f>
        <v>200000000</v>
      </c>
      <c r="CH254" s="13"/>
      <c r="CI254" s="13"/>
      <c r="CJ254" s="13"/>
      <c r="CK254" s="25">
        <v>0</v>
      </c>
      <c r="CL254" s="26"/>
      <c r="CM254" s="26"/>
      <c r="CN254" s="26">
        <v>0</v>
      </c>
      <c r="CO254" s="26"/>
      <c r="CP254" s="26"/>
      <c r="CQ254" s="26"/>
      <c r="CR254" s="26"/>
      <c r="CS254" s="26"/>
      <c r="CT254" s="25">
        <f t="shared" si="135"/>
        <v>200000000</v>
      </c>
      <c r="CU254" s="25">
        <f t="shared" si="135"/>
        <v>200000000</v>
      </c>
      <c r="CV254" s="25">
        <f t="shared" si="135"/>
        <v>200000000</v>
      </c>
    </row>
    <row r="255" spans="1:100" s="27" customFormat="1" ht="72" thickBot="1" x14ac:dyDescent="0.3">
      <c r="A255" s="19"/>
      <c r="B255" s="19"/>
      <c r="C255" s="921">
        <v>7</v>
      </c>
      <c r="D255" s="919" t="s">
        <v>312</v>
      </c>
      <c r="E255" s="73">
        <v>31.7</v>
      </c>
      <c r="F255" s="916" t="s">
        <v>324</v>
      </c>
      <c r="G255" s="29"/>
      <c r="H255" s="929">
        <v>49</v>
      </c>
      <c r="I255" s="928" t="s">
        <v>325</v>
      </c>
      <c r="J255" s="10">
        <v>0</v>
      </c>
      <c r="K255" s="10">
        <v>1</v>
      </c>
      <c r="L255" s="925">
        <v>1</v>
      </c>
      <c r="M255" s="1148"/>
      <c r="N255" s="1019"/>
      <c r="O255" s="1150"/>
      <c r="P255" s="929" t="s">
        <v>38</v>
      </c>
      <c r="Q255" s="25">
        <v>0</v>
      </c>
      <c r="R255" s="25"/>
      <c r="S255" s="25"/>
      <c r="T255" s="25">
        <v>0</v>
      </c>
      <c r="U255" s="25"/>
      <c r="V255" s="25"/>
      <c r="W255" s="25">
        <v>0</v>
      </c>
      <c r="X255" s="25"/>
      <c r="Y255" s="25"/>
      <c r="Z255" s="25">
        <v>0</v>
      </c>
      <c r="AA255" s="25"/>
      <c r="AB255" s="25"/>
      <c r="AC255" s="25">
        <v>0</v>
      </c>
      <c r="AD255" s="25"/>
      <c r="AE255" s="25"/>
      <c r="AF255" s="25">
        <v>0</v>
      </c>
      <c r="AG255" s="25"/>
      <c r="AH255" s="25"/>
      <c r="AI255" s="25">
        <v>0</v>
      </c>
      <c r="AJ255" s="25"/>
      <c r="AK255" s="25"/>
      <c r="AL255" s="25"/>
      <c r="AM255" s="25"/>
      <c r="AN255" s="25"/>
      <c r="AO255" s="25"/>
      <c r="AP255" s="25"/>
      <c r="AQ255" s="25"/>
      <c r="AR255" s="25"/>
      <c r="AS255" s="25"/>
      <c r="AT255" s="25"/>
      <c r="AU255" s="25">
        <v>0</v>
      </c>
      <c r="AV255" s="25"/>
      <c r="AW255" s="25"/>
      <c r="AX255" s="25"/>
      <c r="AY255" s="25"/>
      <c r="AZ255" s="25"/>
      <c r="BA255" s="25">
        <v>0</v>
      </c>
      <c r="BB255" s="25"/>
      <c r="BC255" s="25"/>
      <c r="BD255" s="25">
        <v>0</v>
      </c>
      <c r="BE255" s="25"/>
      <c r="BF255" s="25"/>
      <c r="BG255" s="25"/>
      <c r="BH255" s="25"/>
      <c r="BI255" s="25"/>
      <c r="BJ255" s="25"/>
      <c r="BK255" s="25"/>
      <c r="BL255" s="25"/>
      <c r="BM255" s="25"/>
      <c r="BN255" s="25"/>
      <c r="BO255" s="25"/>
      <c r="BP255" s="25"/>
      <c r="BQ255" s="25"/>
      <c r="BR255" s="25"/>
      <c r="BS255" s="25"/>
      <c r="BT255" s="25"/>
      <c r="BU255" s="25"/>
      <c r="BV255" s="25"/>
      <c r="BW255" s="25"/>
      <c r="BX255" s="25"/>
      <c r="BY255" s="25">
        <v>0</v>
      </c>
      <c r="BZ255" s="25"/>
      <c r="CA255" s="25"/>
      <c r="CB255" s="25">
        <v>0</v>
      </c>
      <c r="CC255" s="25"/>
      <c r="CD255" s="25"/>
      <c r="CE255" s="110">
        <f>5625000+20000000+30000000-20000000-9750000</f>
        <v>25875000</v>
      </c>
      <c r="CF255" s="110">
        <f>5625000+20000000+30000000-20000000-9750000</f>
        <v>25875000</v>
      </c>
      <c r="CG255" s="110">
        <f>5625000+20000000+30000000-20000000-9750000</f>
        <v>25875000</v>
      </c>
      <c r="CH255" s="13"/>
      <c r="CI255" s="13"/>
      <c r="CJ255" s="13"/>
      <c r="CK255" s="25">
        <v>0</v>
      </c>
      <c r="CL255" s="26"/>
      <c r="CM255" s="26"/>
      <c r="CN255" s="26">
        <v>0</v>
      </c>
      <c r="CO255" s="26"/>
      <c r="CP255" s="26"/>
      <c r="CQ255" s="26"/>
      <c r="CR255" s="26"/>
      <c r="CS255" s="26"/>
      <c r="CT255" s="25">
        <f t="shared" si="135"/>
        <v>25875000</v>
      </c>
      <c r="CU255" s="25">
        <f t="shared" si="135"/>
        <v>25875000</v>
      </c>
      <c r="CV255" s="25">
        <f t="shared" si="135"/>
        <v>25875000</v>
      </c>
    </row>
    <row r="256" spans="1:100" thickTop="1" x14ac:dyDescent="0.25">
      <c r="A256" s="19"/>
      <c r="B256" s="152"/>
      <c r="C256" s="927"/>
      <c r="D256" s="928"/>
      <c r="E256" s="929"/>
      <c r="F256" s="929"/>
      <c r="G256" s="154"/>
      <c r="H256" s="155"/>
      <c r="I256" s="154"/>
      <c r="J256" s="249"/>
      <c r="K256" s="249"/>
      <c r="L256" s="249"/>
      <c r="M256" s="249"/>
      <c r="N256" s="157"/>
      <c r="O256" s="154"/>
      <c r="P256" s="155"/>
      <c r="Q256" s="158">
        <f>SUM(Q253:Q255)</f>
        <v>0</v>
      </c>
      <c r="R256" s="158">
        <f t="shared" ref="R256:CC256" si="136">SUM(R253:R255)</f>
        <v>0</v>
      </c>
      <c r="S256" s="158">
        <f t="shared" si="136"/>
        <v>0</v>
      </c>
      <c r="T256" s="158">
        <f t="shared" si="136"/>
        <v>0</v>
      </c>
      <c r="U256" s="158">
        <f t="shared" si="136"/>
        <v>0</v>
      </c>
      <c r="V256" s="158">
        <f t="shared" si="136"/>
        <v>0</v>
      </c>
      <c r="W256" s="158">
        <f t="shared" si="136"/>
        <v>0</v>
      </c>
      <c r="X256" s="158">
        <f t="shared" si="136"/>
        <v>0</v>
      </c>
      <c r="Y256" s="158">
        <f t="shared" si="136"/>
        <v>0</v>
      </c>
      <c r="Z256" s="158">
        <f t="shared" si="136"/>
        <v>0</v>
      </c>
      <c r="AA256" s="158">
        <f t="shared" si="136"/>
        <v>0</v>
      </c>
      <c r="AB256" s="158">
        <f t="shared" si="136"/>
        <v>0</v>
      </c>
      <c r="AC256" s="158">
        <f t="shared" si="136"/>
        <v>0</v>
      </c>
      <c r="AD256" s="158">
        <f t="shared" si="136"/>
        <v>0</v>
      </c>
      <c r="AE256" s="158">
        <f t="shared" si="136"/>
        <v>0</v>
      </c>
      <c r="AF256" s="158">
        <f t="shared" si="136"/>
        <v>0</v>
      </c>
      <c r="AG256" s="158">
        <f t="shared" si="136"/>
        <v>0</v>
      </c>
      <c r="AH256" s="158">
        <f t="shared" si="136"/>
        <v>0</v>
      </c>
      <c r="AI256" s="158">
        <f t="shared" si="136"/>
        <v>0</v>
      </c>
      <c r="AJ256" s="158">
        <f t="shared" si="136"/>
        <v>0</v>
      </c>
      <c r="AK256" s="158">
        <f t="shared" si="136"/>
        <v>0</v>
      </c>
      <c r="AL256" s="158">
        <f t="shared" si="136"/>
        <v>0</v>
      </c>
      <c r="AM256" s="158">
        <f t="shared" si="136"/>
        <v>0</v>
      </c>
      <c r="AN256" s="158">
        <f t="shared" si="136"/>
        <v>0</v>
      </c>
      <c r="AO256" s="158">
        <f t="shared" si="136"/>
        <v>0</v>
      </c>
      <c r="AP256" s="158">
        <f t="shared" si="136"/>
        <v>0</v>
      </c>
      <c r="AQ256" s="158">
        <f t="shared" si="136"/>
        <v>0</v>
      </c>
      <c r="AR256" s="158">
        <f t="shared" si="136"/>
        <v>0</v>
      </c>
      <c r="AS256" s="158">
        <f t="shared" si="136"/>
        <v>0</v>
      </c>
      <c r="AT256" s="158">
        <f t="shared" si="136"/>
        <v>0</v>
      </c>
      <c r="AU256" s="158">
        <f t="shared" si="136"/>
        <v>0</v>
      </c>
      <c r="AV256" s="158">
        <f t="shared" si="136"/>
        <v>0</v>
      </c>
      <c r="AW256" s="158">
        <f t="shared" si="136"/>
        <v>0</v>
      </c>
      <c r="AX256" s="158">
        <f t="shared" si="136"/>
        <v>0</v>
      </c>
      <c r="AY256" s="158">
        <f t="shared" si="136"/>
        <v>0</v>
      </c>
      <c r="AZ256" s="158">
        <f t="shared" si="136"/>
        <v>0</v>
      </c>
      <c r="BA256" s="158">
        <f t="shared" si="136"/>
        <v>0</v>
      </c>
      <c r="BB256" s="158">
        <f t="shared" si="136"/>
        <v>0</v>
      </c>
      <c r="BC256" s="158">
        <f t="shared" si="136"/>
        <v>0</v>
      </c>
      <c r="BD256" s="158">
        <f t="shared" si="136"/>
        <v>0</v>
      </c>
      <c r="BE256" s="158">
        <f t="shared" si="136"/>
        <v>0</v>
      </c>
      <c r="BF256" s="158">
        <f t="shared" si="136"/>
        <v>0</v>
      </c>
      <c r="BG256" s="158">
        <f t="shared" si="136"/>
        <v>0</v>
      </c>
      <c r="BH256" s="158">
        <f t="shared" si="136"/>
        <v>0</v>
      </c>
      <c r="BI256" s="158">
        <f t="shared" si="136"/>
        <v>0</v>
      </c>
      <c r="BJ256" s="158">
        <f t="shared" si="136"/>
        <v>0</v>
      </c>
      <c r="BK256" s="158">
        <f t="shared" si="136"/>
        <v>0</v>
      </c>
      <c r="BL256" s="158">
        <f t="shared" si="136"/>
        <v>0</v>
      </c>
      <c r="BM256" s="158">
        <f t="shared" si="136"/>
        <v>0</v>
      </c>
      <c r="BN256" s="158">
        <f t="shared" si="136"/>
        <v>0</v>
      </c>
      <c r="BO256" s="158">
        <f t="shared" si="136"/>
        <v>0</v>
      </c>
      <c r="BP256" s="158">
        <f t="shared" si="136"/>
        <v>0</v>
      </c>
      <c r="BQ256" s="158">
        <f t="shared" si="136"/>
        <v>0</v>
      </c>
      <c r="BR256" s="158">
        <f t="shared" si="136"/>
        <v>0</v>
      </c>
      <c r="BS256" s="158">
        <f t="shared" si="136"/>
        <v>0</v>
      </c>
      <c r="BT256" s="158">
        <f t="shared" si="136"/>
        <v>0</v>
      </c>
      <c r="BU256" s="158">
        <f t="shared" si="136"/>
        <v>0</v>
      </c>
      <c r="BV256" s="158">
        <f t="shared" si="136"/>
        <v>0</v>
      </c>
      <c r="BW256" s="158">
        <f t="shared" si="136"/>
        <v>0</v>
      </c>
      <c r="BX256" s="158">
        <f t="shared" si="136"/>
        <v>0</v>
      </c>
      <c r="BY256" s="158">
        <f t="shared" si="136"/>
        <v>0</v>
      </c>
      <c r="BZ256" s="158">
        <f t="shared" si="136"/>
        <v>0</v>
      </c>
      <c r="CA256" s="158">
        <f t="shared" si="136"/>
        <v>0</v>
      </c>
      <c r="CB256" s="158">
        <f t="shared" si="136"/>
        <v>0</v>
      </c>
      <c r="CC256" s="158">
        <f t="shared" si="136"/>
        <v>0</v>
      </c>
      <c r="CD256" s="158">
        <f t="shared" ref="CD256:CS256" si="137">SUM(CD253:CD255)</f>
        <v>0</v>
      </c>
      <c r="CE256" s="158">
        <f t="shared" si="137"/>
        <v>579920000</v>
      </c>
      <c r="CF256" s="158">
        <f t="shared" si="137"/>
        <v>534240000</v>
      </c>
      <c r="CG256" s="158">
        <f t="shared" si="137"/>
        <v>534240000</v>
      </c>
      <c r="CH256" s="158">
        <f t="shared" si="137"/>
        <v>0</v>
      </c>
      <c r="CI256" s="158">
        <f t="shared" si="137"/>
        <v>0</v>
      </c>
      <c r="CJ256" s="158">
        <f t="shared" si="137"/>
        <v>0</v>
      </c>
      <c r="CK256" s="158">
        <f t="shared" si="137"/>
        <v>0</v>
      </c>
      <c r="CL256" s="158">
        <f t="shared" si="137"/>
        <v>0</v>
      </c>
      <c r="CM256" s="158">
        <f t="shared" si="137"/>
        <v>0</v>
      </c>
      <c r="CN256" s="158">
        <f t="shared" si="137"/>
        <v>0</v>
      </c>
      <c r="CO256" s="158">
        <f t="shared" si="137"/>
        <v>0</v>
      </c>
      <c r="CP256" s="158">
        <f t="shared" si="137"/>
        <v>0</v>
      </c>
      <c r="CQ256" s="158">
        <f t="shared" si="137"/>
        <v>0</v>
      </c>
      <c r="CR256" s="158">
        <f t="shared" si="137"/>
        <v>0</v>
      </c>
      <c r="CS256" s="158">
        <f t="shared" si="137"/>
        <v>0</v>
      </c>
      <c r="CT256" s="158">
        <f>SUM(CT253:CT255)</f>
        <v>579920000</v>
      </c>
      <c r="CU256" s="158">
        <f>SUM(CU253:CU255)</f>
        <v>534240000</v>
      </c>
      <c r="CV256" s="158">
        <f>SUM(CV253:CV255)</f>
        <v>534240000</v>
      </c>
    </row>
    <row r="257" spans="1:100" ht="15" x14ac:dyDescent="0.25">
      <c r="A257" s="19"/>
      <c r="B257" s="216"/>
      <c r="C257" s="162"/>
      <c r="D257" s="161"/>
      <c r="E257" s="162"/>
      <c r="F257" s="162"/>
      <c r="G257" s="161"/>
      <c r="H257" s="162"/>
      <c r="I257" s="161"/>
      <c r="J257" s="257"/>
      <c r="K257" s="257"/>
      <c r="L257" s="257"/>
      <c r="M257" s="257"/>
      <c r="N257" s="164"/>
      <c r="O257" s="161"/>
      <c r="P257" s="162"/>
      <c r="Q257" s="165">
        <f>Q256+Q250+Q243</f>
        <v>0</v>
      </c>
      <c r="R257" s="165">
        <f t="shared" ref="R257:CC257" si="138">R256+R250+R243</f>
        <v>0</v>
      </c>
      <c r="S257" s="165">
        <f t="shared" si="138"/>
        <v>0</v>
      </c>
      <c r="T257" s="165">
        <f t="shared" si="138"/>
        <v>0</v>
      </c>
      <c r="U257" s="165">
        <f t="shared" si="138"/>
        <v>0</v>
      </c>
      <c r="V257" s="165">
        <f t="shared" si="138"/>
        <v>0</v>
      </c>
      <c r="W257" s="165">
        <f t="shared" si="138"/>
        <v>0</v>
      </c>
      <c r="X257" s="165">
        <f t="shared" si="138"/>
        <v>0</v>
      </c>
      <c r="Y257" s="165">
        <f t="shared" si="138"/>
        <v>0</v>
      </c>
      <c r="Z257" s="165">
        <f t="shared" si="138"/>
        <v>0</v>
      </c>
      <c r="AA257" s="165">
        <f t="shared" si="138"/>
        <v>0</v>
      </c>
      <c r="AB257" s="165">
        <f t="shared" si="138"/>
        <v>0</v>
      </c>
      <c r="AC257" s="165">
        <f t="shared" si="138"/>
        <v>0</v>
      </c>
      <c r="AD257" s="165">
        <f t="shared" si="138"/>
        <v>0</v>
      </c>
      <c r="AE257" s="165">
        <f t="shared" si="138"/>
        <v>0</v>
      </c>
      <c r="AF257" s="165">
        <f t="shared" si="138"/>
        <v>0</v>
      </c>
      <c r="AG257" s="165">
        <f t="shared" si="138"/>
        <v>0</v>
      </c>
      <c r="AH257" s="165">
        <f t="shared" si="138"/>
        <v>0</v>
      </c>
      <c r="AI257" s="165">
        <f t="shared" si="138"/>
        <v>0</v>
      </c>
      <c r="AJ257" s="165">
        <f t="shared" si="138"/>
        <v>0</v>
      </c>
      <c r="AK257" s="165">
        <f t="shared" si="138"/>
        <v>0</v>
      </c>
      <c r="AL257" s="165">
        <f t="shared" si="138"/>
        <v>0</v>
      </c>
      <c r="AM257" s="165">
        <f t="shared" si="138"/>
        <v>0</v>
      </c>
      <c r="AN257" s="165">
        <f t="shared" si="138"/>
        <v>0</v>
      </c>
      <c r="AO257" s="165">
        <f t="shared" si="138"/>
        <v>0</v>
      </c>
      <c r="AP257" s="165">
        <f t="shared" si="138"/>
        <v>0</v>
      </c>
      <c r="AQ257" s="165">
        <f t="shared" si="138"/>
        <v>0</v>
      </c>
      <c r="AR257" s="165">
        <f t="shared" si="138"/>
        <v>0</v>
      </c>
      <c r="AS257" s="165">
        <f t="shared" si="138"/>
        <v>0</v>
      </c>
      <c r="AT257" s="165">
        <f t="shared" si="138"/>
        <v>0</v>
      </c>
      <c r="AU257" s="165">
        <f t="shared" si="138"/>
        <v>0</v>
      </c>
      <c r="AV257" s="165">
        <f t="shared" si="138"/>
        <v>0</v>
      </c>
      <c r="AW257" s="165">
        <f t="shared" si="138"/>
        <v>0</v>
      </c>
      <c r="AX257" s="165">
        <f t="shared" si="138"/>
        <v>0</v>
      </c>
      <c r="AY257" s="165">
        <f t="shared" si="138"/>
        <v>0</v>
      </c>
      <c r="AZ257" s="165">
        <f t="shared" si="138"/>
        <v>0</v>
      </c>
      <c r="BA257" s="165">
        <f t="shared" si="138"/>
        <v>0</v>
      </c>
      <c r="BB257" s="165">
        <f t="shared" si="138"/>
        <v>0</v>
      </c>
      <c r="BC257" s="165">
        <f t="shared" si="138"/>
        <v>0</v>
      </c>
      <c r="BD257" s="165">
        <f t="shared" si="138"/>
        <v>0</v>
      </c>
      <c r="BE257" s="165">
        <f t="shared" si="138"/>
        <v>0</v>
      </c>
      <c r="BF257" s="165">
        <f t="shared" si="138"/>
        <v>0</v>
      </c>
      <c r="BG257" s="165">
        <f t="shared" si="138"/>
        <v>0</v>
      </c>
      <c r="BH257" s="165">
        <f t="shared" si="138"/>
        <v>0</v>
      </c>
      <c r="BI257" s="165">
        <f t="shared" si="138"/>
        <v>0</v>
      </c>
      <c r="BJ257" s="165">
        <f t="shared" si="138"/>
        <v>0</v>
      </c>
      <c r="BK257" s="165">
        <f t="shared" si="138"/>
        <v>0</v>
      </c>
      <c r="BL257" s="165">
        <f t="shared" si="138"/>
        <v>0</v>
      </c>
      <c r="BM257" s="165">
        <f t="shared" si="138"/>
        <v>0</v>
      </c>
      <c r="BN257" s="165">
        <f t="shared" si="138"/>
        <v>0</v>
      </c>
      <c r="BO257" s="165">
        <f t="shared" si="138"/>
        <v>0</v>
      </c>
      <c r="BP257" s="165">
        <f t="shared" si="138"/>
        <v>0</v>
      </c>
      <c r="BQ257" s="165">
        <f t="shared" si="138"/>
        <v>0</v>
      </c>
      <c r="BR257" s="165">
        <f t="shared" si="138"/>
        <v>0</v>
      </c>
      <c r="BS257" s="165">
        <f t="shared" si="138"/>
        <v>0</v>
      </c>
      <c r="BT257" s="165">
        <f t="shared" si="138"/>
        <v>0</v>
      </c>
      <c r="BU257" s="165">
        <f t="shared" si="138"/>
        <v>0</v>
      </c>
      <c r="BV257" s="165">
        <f t="shared" si="138"/>
        <v>0</v>
      </c>
      <c r="BW257" s="165">
        <f t="shared" si="138"/>
        <v>0</v>
      </c>
      <c r="BX257" s="165">
        <f t="shared" si="138"/>
        <v>0</v>
      </c>
      <c r="BY257" s="165">
        <f t="shared" si="138"/>
        <v>0</v>
      </c>
      <c r="BZ257" s="165">
        <f t="shared" si="138"/>
        <v>0</v>
      </c>
      <c r="CA257" s="165">
        <f t="shared" si="138"/>
        <v>0</v>
      </c>
      <c r="CB257" s="165">
        <f t="shared" si="138"/>
        <v>0</v>
      </c>
      <c r="CC257" s="165">
        <f t="shared" si="138"/>
        <v>0</v>
      </c>
      <c r="CD257" s="165">
        <f t="shared" ref="CD257:CS257" si="139">CD256+CD250+CD243</f>
        <v>0</v>
      </c>
      <c r="CE257" s="165">
        <f t="shared" si="139"/>
        <v>1204580000</v>
      </c>
      <c r="CF257" s="165">
        <f t="shared" si="139"/>
        <v>1002950980</v>
      </c>
      <c r="CG257" s="165">
        <f t="shared" si="139"/>
        <v>1000203230</v>
      </c>
      <c r="CH257" s="165">
        <f t="shared" si="139"/>
        <v>0</v>
      </c>
      <c r="CI257" s="165">
        <f t="shared" si="139"/>
        <v>0</v>
      </c>
      <c r="CJ257" s="165">
        <f t="shared" si="139"/>
        <v>0</v>
      </c>
      <c r="CK257" s="165">
        <f t="shared" si="139"/>
        <v>0</v>
      </c>
      <c r="CL257" s="165">
        <f t="shared" si="139"/>
        <v>0</v>
      </c>
      <c r="CM257" s="165">
        <f t="shared" si="139"/>
        <v>0</v>
      </c>
      <c r="CN257" s="165">
        <f t="shared" si="139"/>
        <v>0</v>
      </c>
      <c r="CO257" s="165">
        <f t="shared" si="139"/>
        <v>0</v>
      </c>
      <c r="CP257" s="165">
        <f t="shared" si="139"/>
        <v>0</v>
      </c>
      <c r="CQ257" s="165">
        <f t="shared" si="139"/>
        <v>0</v>
      </c>
      <c r="CR257" s="165">
        <f t="shared" si="139"/>
        <v>0</v>
      </c>
      <c r="CS257" s="165">
        <f t="shared" si="139"/>
        <v>0</v>
      </c>
      <c r="CT257" s="165">
        <f>CT256+CT250+CT243</f>
        <v>1204580000</v>
      </c>
      <c r="CU257" s="165">
        <f>CU256+CU250+CU243</f>
        <v>1002950980</v>
      </c>
      <c r="CV257" s="165">
        <f>CV256+CV250+CV243</f>
        <v>1000203230</v>
      </c>
    </row>
    <row r="258" spans="1:100" s="27" customFormat="1" ht="15" x14ac:dyDescent="0.25">
      <c r="A258" s="19"/>
      <c r="B258" s="34"/>
      <c r="C258" s="929"/>
      <c r="D258" s="928"/>
      <c r="E258" s="929"/>
      <c r="F258" s="929"/>
      <c r="G258" s="928"/>
      <c r="H258" s="929"/>
      <c r="I258" s="928"/>
      <c r="J258" s="10"/>
      <c r="K258" s="10"/>
      <c r="L258" s="10"/>
      <c r="M258" s="10"/>
      <c r="N258" s="36"/>
      <c r="O258" s="928"/>
      <c r="P258" s="929"/>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110"/>
      <c r="CF258" s="110"/>
      <c r="CG258" s="110"/>
      <c r="CH258" s="25"/>
      <c r="CI258" s="25"/>
      <c r="CJ258" s="25"/>
      <c r="CK258" s="25"/>
      <c r="CL258" s="26"/>
      <c r="CM258" s="26"/>
      <c r="CN258" s="26"/>
      <c r="CO258" s="26"/>
      <c r="CP258" s="26"/>
      <c r="CQ258" s="26"/>
      <c r="CR258" s="26"/>
      <c r="CS258" s="26"/>
      <c r="CT258" s="25"/>
      <c r="CU258" s="76"/>
      <c r="CV258" s="76"/>
    </row>
    <row r="259" spans="1:100" s="27" customFormat="1" ht="15" x14ac:dyDescent="0.25">
      <c r="A259" s="19"/>
      <c r="B259" s="239">
        <v>3</v>
      </c>
      <c r="C259" s="146" t="s">
        <v>326</v>
      </c>
      <c r="D259" s="146"/>
      <c r="E259" s="146"/>
      <c r="F259" s="146"/>
      <c r="G259" s="146"/>
      <c r="H259" s="146"/>
      <c r="I259" s="146"/>
      <c r="J259" s="146"/>
      <c r="K259" s="146"/>
      <c r="L259" s="146"/>
      <c r="M259" s="146"/>
      <c r="N259" s="677"/>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c r="BV259" s="146"/>
      <c r="BW259" s="146"/>
      <c r="BX259" s="146"/>
      <c r="BY259" s="146"/>
      <c r="BZ259" s="146"/>
      <c r="CA259" s="146"/>
      <c r="CB259" s="146"/>
      <c r="CC259" s="146"/>
      <c r="CD259" s="146"/>
      <c r="CE259" s="148"/>
      <c r="CF259" s="148"/>
      <c r="CG259" s="148"/>
      <c r="CH259" s="146"/>
      <c r="CI259" s="146"/>
      <c r="CJ259" s="146"/>
      <c r="CK259" s="146"/>
      <c r="CL259" s="146"/>
      <c r="CM259" s="146"/>
      <c r="CN259" s="146"/>
      <c r="CO259" s="146"/>
      <c r="CP259" s="146"/>
      <c r="CQ259" s="146"/>
      <c r="CR259" s="146"/>
      <c r="CS259" s="146"/>
      <c r="CT259" s="526"/>
      <c r="CU259" s="526"/>
      <c r="CV259" s="526"/>
    </row>
    <row r="260" spans="1:100" s="27" customFormat="1" ht="15" x14ac:dyDescent="0.25">
      <c r="A260" s="19"/>
      <c r="B260" s="22" t="s">
        <v>0</v>
      </c>
      <c r="C260" s="240"/>
      <c r="D260" s="342"/>
      <c r="E260" s="342"/>
      <c r="F260" s="342"/>
      <c r="G260" s="327">
        <v>11</v>
      </c>
      <c r="H260" s="224" t="s">
        <v>327</v>
      </c>
      <c r="I260" s="224"/>
      <c r="J260" s="224"/>
      <c r="K260" s="224"/>
      <c r="L260" s="224"/>
      <c r="M260" s="224"/>
      <c r="N260" s="683"/>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c r="BM260" s="224"/>
      <c r="BN260" s="224"/>
      <c r="BO260" s="224"/>
      <c r="BP260" s="224"/>
      <c r="BQ260" s="224"/>
      <c r="BR260" s="224"/>
      <c r="BS260" s="224"/>
      <c r="BT260" s="224"/>
      <c r="BU260" s="224"/>
      <c r="BV260" s="224"/>
      <c r="BW260" s="224"/>
      <c r="BX260" s="224"/>
      <c r="BY260" s="224"/>
      <c r="BZ260" s="224"/>
      <c r="CA260" s="224"/>
      <c r="CB260" s="224"/>
      <c r="CC260" s="224"/>
      <c r="CD260" s="224"/>
      <c r="CE260" s="225"/>
      <c r="CF260" s="225"/>
      <c r="CG260" s="225"/>
      <c r="CH260" s="224"/>
      <c r="CI260" s="224"/>
      <c r="CJ260" s="224"/>
      <c r="CK260" s="224"/>
      <c r="CL260" s="224"/>
      <c r="CM260" s="224"/>
      <c r="CN260" s="224"/>
      <c r="CO260" s="224"/>
      <c r="CP260" s="224"/>
      <c r="CQ260" s="224"/>
      <c r="CR260" s="224"/>
      <c r="CS260" s="224"/>
      <c r="CT260" s="736"/>
      <c r="CU260" s="736"/>
      <c r="CV260" s="736"/>
    </row>
    <row r="261" spans="1:100" s="27" customFormat="1" ht="186" customHeight="1" x14ac:dyDescent="0.25">
      <c r="A261" s="19"/>
      <c r="B261" s="28"/>
      <c r="C261" s="927" t="s">
        <v>328</v>
      </c>
      <c r="D261" s="928" t="s">
        <v>329</v>
      </c>
      <c r="E261" s="929" t="s">
        <v>330</v>
      </c>
      <c r="F261" s="929" t="s">
        <v>331</v>
      </c>
      <c r="G261" s="916"/>
      <c r="H261" s="929">
        <v>50</v>
      </c>
      <c r="I261" s="928" t="s">
        <v>332</v>
      </c>
      <c r="J261" s="10" t="s">
        <v>30</v>
      </c>
      <c r="K261" s="923">
        <v>5</v>
      </c>
      <c r="L261" s="10">
        <v>5</v>
      </c>
      <c r="M261" s="1021" t="s">
        <v>294</v>
      </c>
      <c r="N261" s="1017" t="s">
        <v>333</v>
      </c>
      <c r="O261" s="1012" t="s">
        <v>334</v>
      </c>
      <c r="P261" s="929" t="s">
        <v>34</v>
      </c>
      <c r="Q261" s="25">
        <v>0</v>
      </c>
      <c r="R261" s="25"/>
      <c r="S261" s="25"/>
      <c r="T261" s="25">
        <v>0</v>
      </c>
      <c r="U261" s="25"/>
      <c r="V261" s="25"/>
      <c r="W261" s="25">
        <v>0</v>
      </c>
      <c r="X261" s="25"/>
      <c r="Y261" s="25"/>
      <c r="Z261" s="25">
        <v>0</v>
      </c>
      <c r="AA261" s="25"/>
      <c r="AB261" s="25"/>
      <c r="AC261" s="25">
        <v>0</v>
      </c>
      <c r="AD261" s="25"/>
      <c r="AE261" s="25"/>
      <c r="AF261" s="25">
        <v>0</v>
      </c>
      <c r="AG261" s="25"/>
      <c r="AH261" s="25"/>
      <c r="AI261" s="25">
        <v>0</v>
      </c>
      <c r="AJ261" s="25"/>
      <c r="AK261" s="25"/>
      <c r="AL261" s="25"/>
      <c r="AM261" s="25"/>
      <c r="AN261" s="25"/>
      <c r="AO261" s="25"/>
      <c r="AP261" s="25"/>
      <c r="AQ261" s="25"/>
      <c r="AR261" s="25"/>
      <c r="AS261" s="25"/>
      <c r="AT261" s="25"/>
      <c r="AU261" s="25">
        <v>0</v>
      </c>
      <c r="AV261" s="25"/>
      <c r="AW261" s="25"/>
      <c r="AX261" s="25"/>
      <c r="AY261" s="25"/>
      <c r="AZ261" s="25"/>
      <c r="BA261" s="25">
        <v>0</v>
      </c>
      <c r="BB261" s="25"/>
      <c r="BC261" s="25"/>
      <c r="BD261" s="25">
        <v>0</v>
      </c>
      <c r="BE261" s="25"/>
      <c r="BF261" s="25"/>
      <c r="BG261" s="25"/>
      <c r="BH261" s="25"/>
      <c r="BI261" s="25"/>
      <c r="BJ261" s="25"/>
      <c r="BK261" s="25"/>
      <c r="BL261" s="25"/>
      <c r="BM261" s="25"/>
      <c r="BN261" s="25"/>
      <c r="BO261" s="25"/>
      <c r="BP261" s="25"/>
      <c r="BQ261" s="25"/>
      <c r="BR261" s="25"/>
      <c r="BS261" s="25"/>
      <c r="BT261" s="25"/>
      <c r="BU261" s="25"/>
      <c r="BV261" s="25"/>
      <c r="BW261" s="25"/>
      <c r="BX261" s="25"/>
      <c r="BY261" s="25">
        <v>0</v>
      </c>
      <c r="BZ261" s="25"/>
      <c r="CA261" s="25"/>
      <c r="CB261" s="25">
        <v>0</v>
      </c>
      <c r="CC261" s="25"/>
      <c r="CD261" s="25"/>
      <c r="CE261" s="110">
        <f>90000000-30000000+148240000+40840000+31000000</f>
        <v>280080000</v>
      </c>
      <c r="CF261" s="110">
        <v>227464000</v>
      </c>
      <c r="CG261" s="110">
        <v>225016450</v>
      </c>
      <c r="CH261" s="13"/>
      <c r="CI261" s="13"/>
      <c r="CJ261" s="13"/>
      <c r="CK261" s="25">
        <v>0</v>
      </c>
      <c r="CL261" s="26"/>
      <c r="CM261" s="26"/>
      <c r="CN261" s="26">
        <v>0</v>
      </c>
      <c r="CO261" s="26"/>
      <c r="CP261" s="26"/>
      <c r="CQ261" s="26"/>
      <c r="CR261" s="26"/>
      <c r="CS261" s="26"/>
      <c r="CT261" s="25">
        <f t="shared" ref="CT261:CV262" si="140">Q261+T261+W261+Z261+AC261+AF261+AI261+AL261+AO261+AR261+AU261+AX261+BA261+BD261+BG261+BJ261+BM261+BP261+BS261+BV261+BY261+CB261+CE261+CH261+CK261+CQ261+CN261</f>
        <v>280080000</v>
      </c>
      <c r="CU261" s="25">
        <f t="shared" si="140"/>
        <v>227464000</v>
      </c>
      <c r="CV261" s="25">
        <f t="shared" si="140"/>
        <v>225016450</v>
      </c>
    </row>
    <row r="262" spans="1:100" s="27" customFormat="1" ht="49.5" customHeight="1" x14ac:dyDescent="0.25">
      <c r="A262" s="19"/>
      <c r="B262" s="28"/>
      <c r="C262" s="927"/>
      <c r="D262" s="928"/>
      <c r="E262" s="929"/>
      <c r="F262" s="929"/>
      <c r="G262" s="916"/>
      <c r="H262" s="927">
        <v>51</v>
      </c>
      <c r="I262" s="928" t="s">
        <v>335</v>
      </c>
      <c r="J262" s="10">
        <v>0</v>
      </c>
      <c r="K262" s="10">
        <v>1</v>
      </c>
      <c r="L262" s="10">
        <v>1</v>
      </c>
      <c r="M262" s="1022"/>
      <c r="N262" s="1019"/>
      <c r="O262" s="1013"/>
      <c r="P262" s="929" t="s">
        <v>38</v>
      </c>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110">
        <f>60000000+30000000-40840000</f>
        <v>49160000</v>
      </c>
      <c r="CF262" s="110">
        <v>49160000</v>
      </c>
      <c r="CG262" s="110">
        <v>49160000</v>
      </c>
      <c r="CH262" s="13"/>
      <c r="CI262" s="13"/>
      <c r="CJ262" s="13"/>
      <c r="CK262" s="25"/>
      <c r="CL262" s="26"/>
      <c r="CM262" s="26"/>
      <c r="CN262" s="26"/>
      <c r="CO262" s="26"/>
      <c r="CP262" s="26"/>
      <c r="CQ262" s="26"/>
      <c r="CR262" s="26"/>
      <c r="CS262" s="26"/>
      <c r="CT262" s="25">
        <f t="shared" si="140"/>
        <v>49160000</v>
      </c>
      <c r="CU262" s="25">
        <f t="shared" si="140"/>
        <v>49160000</v>
      </c>
      <c r="CV262" s="25">
        <f t="shared" si="140"/>
        <v>49160000</v>
      </c>
    </row>
    <row r="263" spans="1:100" ht="15" x14ac:dyDescent="0.25">
      <c r="A263" s="19"/>
      <c r="B263" s="28"/>
      <c r="C263" s="927"/>
      <c r="D263" s="928"/>
      <c r="E263" s="929"/>
      <c r="F263" s="929"/>
      <c r="G263" s="154"/>
      <c r="H263" s="155"/>
      <c r="I263" s="154"/>
      <c r="J263" s="249"/>
      <c r="K263" s="249"/>
      <c r="L263" s="249"/>
      <c r="M263" s="249"/>
      <c r="N263" s="157"/>
      <c r="O263" s="154"/>
      <c r="P263" s="155"/>
      <c r="Q263" s="158">
        <f>SUM(Q261:Q262)</f>
        <v>0</v>
      </c>
      <c r="R263" s="158">
        <f t="shared" ref="R263:CC263" si="141">SUM(R261:R262)</f>
        <v>0</v>
      </c>
      <c r="S263" s="158">
        <f t="shared" si="141"/>
        <v>0</v>
      </c>
      <c r="T263" s="158">
        <f t="shared" si="141"/>
        <v>0</v>
      </c>
      <c r="U263" s="158">
        <f t="shared" si="141"/>
        <v>0</v>
      </c>
      <c r="V263" s="158">
        <f t="shared" si="141"/>
        <v>0</v>
      </c>
      <c r="W263" s="158">
        <f t="shared" si="141"/>
        <v>0</v>
      </c>
      <c r="X263" s="158">
        <f t="shared" si="141"/>
        <v>0</v>
      </c>
      <c r="Y263" s="158">
        <f t="shared" si="141"/>
        <v>0</v>
      </c>
      <c r="Z263" s="158">
        <f t="shared" si="141"/>
        <v>0</v>
      </c>
      <c r="AA263" s="158">
        <f t="shared" si="141"/>
        <v>0</v>
      </c>
      <c r="AB263" s="158">
        <f t="shared" si="141"/>
        <v>0</v>
      </c>
      <c r="AC263" s="158">
        <f t="shared" si="141"/>
        <v>0</v>
      </c>
      <c r="AD263" s="158">
        <f t="shared" si="141"/>
        <v>0</v>
      </c>
      <c r="AE263" s="158">
        <f t="shared" si="141"/>
        <v>0</v>
      </c>
      <c r="AF263" s="158">
        <f t="shared" si="141"/>
        <v>0</v>
      </c>
      <c r="AG263" s="158">
        <f t="shared" si="141"/>
        <v>0</v>
      </c>
      <c r="AH263" s="158">
        <f t="shared" si="141"/>
        <v>0</v>
      </c>
      <c r="AI263" s="158">
        <f t="shared" si="141"/>
        <v>0</v>
      </c>
      <c r="AJ263" s="158">
        <f t="shared" si="141"/>
        <v>0</v>
      </c>
      <c r="AK263" s="158">
        <f t="shared" si="141"/>
        <v>0</v>
      </c>
      <c r="AL263" s="158">
        <f t="shared" si="141"/>
        <v>0</v>
      </c>
      <c r="AM263" s="158">
        <f t="shared" si="141"/>
        <v>0</v>
      </c>
      <c r="AN263" s="158">
        <f t="shared" si="141"/>
        <v>0</v>
      </c>
      <c r="AO263" s="158">
        <f t="shared" si="141"/>
        <v>0</v>
      </c>
      <c r="AP263" s="158">
        <f t="shared" si="141"/>
        <v>0</v>
      </c>
      <c r="AQ263" s="158">
        <f t="shared" si="141"/>
        <v>0</v>
      </c>
      <c r="AR263" s="158">
        <f t="shared" si="141"/>
        <v>0</v>
      </c>
      <c r="AS263" s="158">
        <f t="shared" si="141"/>
        <v>0</v>
      </c>
      <c r="AT263" s="158">
        <f t="shared" si="141"/>
        <v>0</v>
      </c>
      <c r="AU263" s="158">
        <f t="shared" si="141"/>
        <v>0</v>
      </c>
      <c r="AV263" s="158">
        <f t="shared" si="141"/>
        <v>0</v>
      </c>
      <c r="AW263" s="158">
        <f t="shared" si="141"/>
        <v>0</v>
      </c>
      <c r="AX263" s="158">
        <f t="shared" si="141"/>
        <v>0</v>
      </c>
      <c r="AY263" s="158">
        <f t="shared" si="141"/>
        <v>0</v>
      </c>
      <c r="AZ263" s="158">
        <f t="shared" si="141"/>
        <v>0</v>
      </c>
      <c r="BA263" s="158">
        <f t="shared" si="141"/>
        <v>0</v>
      </c>
      <c r="BB263" s="158">
        <f t="shared" si="141"/>
        <v>0</v>
      </c>
      <c r="BC263" s="158">
        <f t="shared" si="141"/>
        <v>0</v>
      </c>
      <c r="BD263" s="158">
        <f t="shared" si="141"/>
        <v>0</v>
      </c>
      <c r="BE263" s="158">
        <f t="shared" si="141"/>
        <v>0</v>
      </c>
      <c r="BF263" s="158">
        <f t="shared" si="141"/>
        <v>0</v>
      </c>
      <c r="BG263" s="158">
        <f t="shared" si="141"/>
        <v>0</v>
      </c>
      <c r="BH263" s="158">
        <f t="shared" si="141"/>
        <v>0</v>
      </c>
      <c r="BI263" s="158">
        <f t="shared" si="141"/>
        <v>0</v>
      </c>
      <c r="BJ263" s="158">
        <f t="shared" si="141"/>
        <v>0</v>
      </c>
      <c r="BK263" s="158">
        <f t="shared" si="141"/>
        <v>0</v>
      </c>
      <c r="BL263" s="158">
        <f t="shared" si="141"/>
        <v>0</v>
      </c>
      <c r="BM263" s="158">
        <f t="shared" si="141"/>
        <v>0</v>
      </c>
      <c r="BN263" s="158">
        <f t="shared" si="141"/>
        <v>0</v>
      </c>
      <c r="BO263" s="158">
        <f t="shared" si="141"/>
        <v>0</v>
      </c>
      <c r="BP263" s="158">
        <f t="shared" si="141"/>
        <v>0</v>
      </c>
      <c r="BQ263" s="158">
        <f t="shared" si="141"/>
        <v>0</v>
      </c>
      <c r="BR263" s="158">
        <f t="shared" si="141"/>
        <v>0</v>
      </c>
      <c r="BS263" s="158">
        <f t="shared" si="141"/>
        <v>0</v>
      </c>
      <c r="BT263" s="158">
        <f t="shared" si="141"/>
        <v>0</v>
      </c>
      <c r="BU263" s="158">
        <f t="shared" si="141"/>
        <v>0</v>
      </c>
      <c r="BV263" s="158">
        <f t="shared" si="141"/>
        <v>0</v>
      </c>
      <c r="BW263" s="158">
        <f t="shared" si="141"/>
        <v>0</v>
      </c>
      <c r="BX263" s="158">
        <f t="shared" si="141"/>
        <v>0</v>
      </c>
      <c r="BY263" s="158">
        <f t="shared" si="141"/>
        <v>0</v>
      </c>
      <c r="BZ263" s="158">
        <f t="shared" si="141"/>
        <v>0</v>
      </c>
      <c r="CA263" s="158">
        <f t="shared" si="141"/>
        <v>0</v>
      </c>
      <c r="CB263" s="158">
        <f t="shared" si="141"/>
        <v>0</v>
      </c>
      <c r="CC263" s="158">
        <f t="shared" si="141"/>
        <v>0</v>
      </c>
      <c r="CD263" s="158">
        <f t="shared" ref="CD263:CS263" si="142">SUM(CD261:CD262)</f>
        <v>0</v>
      </c>
      <c r="CE263" s="158">
        <f t="shared" si="142"/>
        <v>329240000</v>
      </c>
      <c r="CF263" s="158">
        <f t="shared" si="142"/>
        <v>276624000</v>
      </c>
      <c r="CG263" s="158">
        <f t="shared" si="142"/>
        <v>274176450</v>
      </c>
      <c r="CH263" s="158">
        <f t="shared" si="142"/>
        <v>0</v>
      </c>
      <c r="CI263" s="158">
        <f t="shared" si="142"/>
        <v>0</v>
      </c>
      <c r="CJ263" s="158">
        <f t="shared" si="142"/>
        <v>0</v>
      </c>
      <c r="CK263" s="158">
        <f t="shared" si="142"/>
        <v>0</v>
      </c>
      <c r="CL263" s="158">
        <f t="shared" si="142"/>
        <v>0</v>
      </c>
      <c r="CM263" s="158">
        <f t="shared" si="142"/>
        <v>0</v>
      </c>
      <c r="CN263" s="158">
        <f t="shared" si="142"/>
        <v>0</v>
      </c>
      <c r="CO263" s="158">
        <f t="shared" si="142"/>
        <v>0</v>
      </c>
      <c r="CP263" s="158">
        <f t="shared" si="142"/>
        <v>0</v>
      </c>
      <c r="CQ263" s="158">
        <f t="shared" si="142"/>
        <v>0</v>
      </c>
      <c r="CR263" s="158">
        <f t="shared" si="142"/>
        <v>0</v>
      </c>
      <c r="CS263" s="158">
        <f t="shared" si="142"/>
        <v>0</v>
      </c>
      <c r="CT263" s="158">
        <f>SUM(CT261:CT262)</f>
        <v>329240000</v>
      </c>
      <c r="CU263" s="158">
        <f>SUM(CU261:CU262)</f>
        <v>276624000</v>
      </c>
      <c r="CV263" s="158">
        <f>SUM(CV261:CV262)</f>
        <v>274176450</v>
      </c>
    </row>
    <row r="264" spans="1:100" s="27" customFormat="1" ht="15" x14ac:dyDescent="0.25">
      <c r="A264" s="19"/>
      <c r="B264" s="28"/>
      <c r="C264" s="949"/>
      <c r="D264" s="177"/>
      <c r="E264" s="949"/>
      <c r="F264" s="949"/>
      <c r="G264" s="177"/>
      <c r="H264" s="949"/>
      <c r="I264" s="177"/>
      <c r="J264" s="260"/>
      <c r="K264" s="260"/>
      <c r="L264" s="260"/>
      <c r="M264" s="260"/>
      <c r="N264" s="179"/>
      <c r="O264" s="177"/>
      <c r="P264" s="949"/>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c r="BZ264" s="180"/>
      <c r="CA264" s="180"/>
      <c r="CB264" s="180"/>
      <c r="CC264" s="106"/>
      <c r="CD264" s="106"/>
      <c r="CE264" s="286"/>
      <c r="CF264" s="286"/>
      <c r="CG264" s="286"/>
      <c r="CH264" s="287"/>
      <c r="CI264" s="287"/>
      <c r="CJ264" s="287"/>
      <c r="CK264" s="180"/>
      <c r="CL264" s="180"/>
      <c r="CM264" s="180"/>
      <c r="CN264" s="180"/>
      <c r="CO264" s="180"/>
      <c r="CP264" s="180"/>
      <c r="CQ264" s="180"/>
      <c r="CR264" s="180"/>
      <c r="CS264" s="180"/>
      <c r="CT264" s="25"/>
      <c r="CU264" s="76"/>
      <c r="CV264" s="76"/>
    </row>
    <row r="265" spans="1:100" ht="15" x14ac:dyDescent="0.25">
      <c r="A265" s="19"/>
      <c r="B265" s="28"/>
      <c r="C265" s="927"/>
      <c r="D265" s="928"/>
      <c r="E265" s="929"/>
      <c r="F265" s="929"/>
      <c r="G265" s="254">
        <v>12</v>
      </c>
      <c r="H265" s="271" t="s">
        <v>336</v>
      </c>
      <c r="I265" s="189"/>
      <c r="J265" s="189"/>
      <c r="K265" s="189"/>
      <c r="L265" s="189"/>
      <c r="M265" s="189"/>
      <c r="N265" s="684"/>
      <c r="O265" s="189"/>
      <c r="P265" s="189"/>
      <c r="Q265" s="189"/>
      <c r="R265" s="189"/>
      <c r="S265" s="189"/>
      <c r="T265" s="189"/>
      <c r="U265" s="343"/>
      <c r="V265" s="343"/>
      <c r="W265" s="343"/>
      <c r="X265" s="343"/>
      <c r="Y265" s="343"/>
      <c r="Z265" s="343"/>
      <c r="AA265" s="343"/>
      <c r="AB265" s="343"/>
      <c r="AC265" s="343"/>
      <c r="AD265" s="343"/>
      <c r="AE265" s="343"/>
      <c r="AF265" s="343"/>
      <c r="AG265" s="343"/>
      <c r="AH265" s="343"/>
      <c r="AI265" s="343"/>
      <c r="AJ265" s="343"/>
      <c r="AK265" s="343"/>
      <c r="AL265" s="343"/>
      <c r="AM265" s="343"/>
      <c r="AN265" s="343"/>
      <c r="AO265" s="343"/>
      <c r="AP265" s="343"/>
      <c r="AQ265" s="343"/>
      <c r="AR265" s="343"/>
      <c r="AS265" s="343"/>
      <c r="AT265" s="343"/>
      <c r="AU265" s="343"/>
      <c r="AV265" s="343"/>
      <c r="AW265" s="343"/>
      <c r="AX265" s="343"/>
      <c r="AY265" s="343"/>
      <c r="AZ265" s="343"/>
      <c r="BA265" s="343"/>
      <c r="BB265" s="343"/>
      <c r="BC265" s="343"/>
      <c r="BD265" s="343"/>
      <c r="BE265" s="343"/>
      <c r="BF265" s="343"/>
      <c r="BG265" s="343"/>
      <c r="BH265" s="343"/>
      <c r="BI265" s="343"/>
      <c r="BJ265" s="343"/>
      <c r="BK265" s="343"/>
      <c r="BL265" s="343"/>
      <c r="BM265" s="343"/>
      <c r="BN265" s="343"/>
      <c r="BO265" s="343"/>
      <c r="BP265" s="343"/>
      <c r="BQ265" s="343"/>
      <c r="BR265" s="343"/>
      <c r="BS265" s="343"/>
      <c r="BT265" s="343"/>
      <c r="BU265" s="343"/>
      <c r="BV265" s="343"/>
      <c r="BW265" s="343"/>
      <c r="BX265" s="343"/>
      <c r="BY265" s="343"/>
      <c r="BZ265" s="343"/>
      <c r="CA265" s="343"/>
      <c r="CB265" s="343"/>
      <c r="CC265" s="343"/>
      <c r="CD265" s="343"/>
      <c r="CE265" s="190"/>
      <c r="CF265" s="718"/>
      <c r="CG265" s="718"/>
      <c r="CH265" s="343"/>
      <c r="CI265" s="343"/>
      <c r="CJ265" s="343"/>
      <c r="CK265" s="343"/>
      <c r="CL265" s="343"/>
      <c r="CM265" s="343"/>
      <c r="CN265" s="343"/>
      <c r="CO265" s="343"/>
      <c r="CP265" s="343"/>
      <c r="CQ265" s="343"/>
      <c r="CR265" s="343"/>
      <c r="CS265" s="343"/>
      <c r="CT265" s="522"/>
      <c r="CU265" s="522"/>
      <c r="CV265" s="522"/>
    </row>
    <row r="266" spans="1:100" ht="168.75" customHeight="1" x14ac:dyDescent="0.25">
      <c r="A266" s="19"/>
      <c r="B266" s="28"/>
      <c r="C266" s="927" t="s">
        <v>328</v>
      </c>
      <c r="D266" s="928" t="s">
        <v>329</v>
      </c>
      <c r="E266" s="929" t="s">
        <v>330</v>
      </c>
      <c r="F266" s="929" t="s">
        <v>331</v>
      </c>
      <c r="G266" s="914"/>
      <c r="H266" s="4">
        <v>52</v>
      </c>
      <c r="I266" s="153" t="s">
        <v>337</v>
      </c>
      <c r="J266" s="10">
        <v>0</v>
      </c>
      <c r="K266" s="10">
        <v>3</v>
      </c>
      <c r="L266" s="10">
        <v>3</v>
      </c>
      <c r="M266" s="344" t="s">
        <v>294</v>
      </c>
      <c r="N266" s="36" t="s">
        <v>338</v>
      </c>
      <c r="O266" s="928" t="s">
        <v>339</v>
      </c>
      <c r="P266" s="929" t="s">
        <v>38</v>
      </c>
      <c r="Q266" s="25">
        <v>0</v>
      </c>
      <c r="R266" s="25"/>
      <c r="S266" s="25"/>
      <c r="T266" s="25">
        <v>0</v>
      </c>
      <c r="U266" s="25"/>
      <c r="V266" s="25"/>
      <c r="W266" s="25">
        <v>0</v>
      </c>
      <c r="X266" s="25"/>
      <c r="Y266" s="25"/>
      <c r="Z266" s="25">
        <v>0</v>
      </c>
      <c r="AA266" s="25"/>
      <c r="AB266" s="25"/>
      <c r="AC266" s="25">
        <v>0</v>
      </c>
      <c r="AD266" s="25"/>
      <c r="AE266" s="25"/>
      <c r="AF266" s="25">
        <v>0</v>
      </c>
      <c r="AG266" s="25"/>
      <c r="AH266" s="25"/>
      <c r="AI266" s="25">
        <v>0</v>
      </c>
      <c r="AJ266" s="25"/>
      <c r="AK266" s="25"/>
      <c r="AL266" s="25"/>
      <c r="AM266" s="25"/>
      <c r="AN266" s="25"/>
      <c r="AO266" s="25"/>
      <c r="AP266" s="25"/>
      <c r="AQ266" s="25"/>
      <c r="AR266" s="25"/>
      <c r="AS266" s="25"/>
      <c r="AT266" s="25"/>
      <c r="AU266" s="25">
        <v>0</v>
      </c>
      <c r="AV266" s="25"/>
      <c r="AW266" s="25"/>
      <c r="AX266" s="25"/>
      <c r="AY266" s="25"/>
      <c r="AZ266" s="25"/>
      <c r="BA266" s="25">
        <v>0</v>
      </c>
      <c r="BB266" s="25"/>
      <c r="BC266" s="25"/>
      <c r="BD266" s="25">
        <v>0</v>
      </c>
      <c r="BE266" s="25"/>
      <c r="BF266" s="25"/>
      <c r="BG266" s="250"/>
      <c r="BH266" s="250"/>
      <c r="BI266" s="250"/>
      <c r="BJ266" s="250"/>
      <c r="BK266" s="250"/>
      <c r="BL266" s="250"/>
      <c r="BM266" s="250"/>
      <c r="BN266" s="250"/>
      <c r="BO266" s="250"/>
      <c r="BP266" s="250"/>
      <c r="BQ266" s="250"/>
      <c r="BR266" s="250"/>
      <c r="BS266" s="250"/>
      <c r="BT266" s="250"/>
      <c r="BU266" s="250"/>
      <c r="BV266" s="250"/>
      <c r="BW266" s="250"/>
      <c r="BX266" s="250"/>
      <c r="BY266" s="25">
        <v>0</v>
      </c>
      <c r="BZ266" s="25"/>
      <c r="CA266" s="25"/>
      <c r="CB266" s="25">
        <v>0</v>
      </c>
      <c r="CC266" s="25"/>
      <c r="CD266" s="25"/>
      <c r="CE266" s="110">
        <f>90000000+155080000+51300000</f>
        <v>296380000</v>
      </c>
      <c r="CF266" s="110">
        <v>248380000</v>
      </c>
      <c r="CG266" s="110">
        <v>248380000</v>
      </c>
      <c r="CH266" s="13"/>
      <c r="CI266" s="13"/>
      <c r="CJ266" s="13"/>
      <c r="CK266" s="25"/>
      <c r="CL266" s="26"/>
      <c r="CM266" s="26"/>
      <c r="CN266" s="26">
        <v>0</v>
      </c>
      <c r="CO266" s="26"/>
      <c r="CP266" s="26"/>
      <c r="CQ266" s="26"/>
      <c r="CR266" s="26"/>
      <c r="CS266" s="26"/>
      <c r="CT266" s="25">
        <f>Q266+T266+W266+Z266+AC266+AF266+AI266+AL266+AO266+AR266+AU266+AX266+BA266+BD266+BG266+BJ266+BM266+BP266+BS266+BV266+BY266+CB266+CE266+CH266+CK266+CQ266+CN266</f>
        <v>296380000</v>
      </c>
      <c r="CU266" s="25">
        <f>R266+U266+X266+AA266+AD266+AG266+AJ266+AM266+AP266+AS266+AV266+AY266+BB266+BE266+BH266+BK266+BN266+BQ266+BT266+BW266+BZ266+CC266+CF266+CI266+CL266+CR266+CO266</f>
        <v>248380000</v>
      </c>
      <c r="CV266" s="25">
        <f>S266+V266+Y266+AB266+AE266+AH266+AK266+AN266+AQ266+AT266+AW266+AZ266+BC266+BF266+BI266+BL266+BO266+BR266+BU266+BX266+CA266+CD266+CG266+CJ266+CM266+CS266+CP266</f>
        <v>248380000</v>
      </c>
    </row>
    <row r="267" spans="1:100" s="345" customFormat="1" ht="20.25" x14ac:dyDescent="0.25">
      <c r="A267" s="19"/>
      <c r="B267" s="28"/>
      <c r="C267" s="927"/>
      <c r="D267" s="928"/>
      <c r="E267" s="929"/>
      <c r="F267" s="929"/>
      <c r="G267" s="154"/>
      <c r="H267" s="155"/>
      <c r="I267" s="154"/>
      <c r="J267" s="249"/>
      <c r="K267" s="249"/>
      <c r="L267" s="249"/>
      <c r="M267" s="249"/>
      <c r="N267" s="157"/>
      <c r="O267" s="154"/>
      <c r="P267" s="155"/>
      <c r="Q267" s="158">
        <f>SUM(Q266:Q266)</f>
        <v>0</v>
      </c>
      <c r="R267" s="158">
        <f t="shared" ref="R267:CC267" si="143">SUM(R266:R266)</f>
        <v>0</v>
      </c>
      <c r="S267" s="158">
        <f t="shared" si="143"/>
        <v>0</v>
      </c>
      <c r="T267" s="158">
        <f t="shared" si="143"/>
        <v>0</v>
      </c>
      <c r="U267" s="158">
        <f t="shared" si="143"/>
        <v>0</v>
      </c>
      <c r="V267" s="158">
        <f t="shared" si="143"/>
        <v>0</v>
      </c>
      <c r="W267" s="158">
        <f t="shared" si="143"/>
        <v>0</v>
      </c>
      <c r="X267" s="158">
        <f t="shared" si="143"/>
        <v>0</v>
      </c>
      <c r="Y267" s="158">
        <f t="shared" si="143"/>
        <v>0</v>
      </c>
      <c r="Z267" s="158">
        <f t="shared" si="143"/>
        <v>0</v>
      </c>
      <c r="AA267" s="158">
        <f t="shared" si="143"/>
        <v>0</v>
      </c>
      <c r="AB267" s="158">
        <f t="shared" si="143"/>
        <v>0</v>
      </c>
      <c r="AC267" s="158">
        <f t="shared" si="143"/>
        <v>0</v>
      </c>
      <c r="AD267" s="158">
        <f t="shared" si="143"/>
        <v>0</v>
      </c>
      <c r="AE267" s="158">
        <f t="shared" si="143"/>
        <v>0</v>
      </c>
      <c r="AF267" s="158">
        <f t="shared" si="143"/>
        <v>0</v>
      </c>
      <c r="AG267" s="158">
        <f t="shared" si="143"/>
        <v>0</v>
      </c>
      <c r="AH267" s="158">
        <f t="shared" si="143"/>
        <v>0</v>
      </c>
      <c r="AI267" s="158">
        <f t="shared" si="143"/>
        <v>0</v>
      </c>
      <c r="AJ267" s="158">
        <f t="shared" si="143"/>
        <v>0</v>
      </c>
      <c r="AK267" s="158">
        <f t="shared" si="143"/>
        <v>0</v>
      </c>
      <c r="AL267" s="158">
        <f t="shared" si="143"/>
        <v>0</v>
      </c>
      <c r="AM267" s="158">
        <f t="shared" si="143"/>
        <v>0</v>
      </c>
      <c r="AN267" s="158">
        <f t="shared" si="143"/>
        <v>0</v>
      </c>
      <c r="AO267" s="158">
        <f t="shared" si="143"/>
        <v>0</v>
      </c>
      <c r="AP267" s="158">
        <f t="shared" si="143"/>
        <v>0</v>
      </c>
      <c r="AQ267" s="158">
        <f t="shared" si="143"/>
        <v>0</v>
      </c>
      <c r="AR267" s="158">
        <f t="shared" si="143"/>
        <v>0</v>
      </c>
      <c r="AS267" s="158">
        <f t="shared" si="143"/>
        <v>0</v>
      </c>
      <c r="AT267" s="158">
        <f t="shared" si="143"/>
        <v>0</v>
      </c>
      <c r="AU267" s="158">
        <f t="shared" si="143"/>
        <v>0</v>
      </c>
      <c r="AV267" s="158">
        <f t="shared" si="143"/>
        <v>0</v>
      </c>
      <c r="AW267" s="158">
        <f t="shared" si="143"/>
        <v>0</v>
      </c>
      <c r="AX267" s="158">
        <f t="shared" si="143"/>
        <v>0</v>
      </c>
      <c r="AY267" s="158">
        <f t="shared" si="143"/>
        <v>0</v>
      </c>
      <c r="AZ267" s="158">
        <f t="shared" si="143"/>
        <v>0</v>
      </c>
      <c r="BA267" s="158">
        <f t="shared" si="143"/>
        <v>0</v>
      </c>
      <c r="BB267" s="158">
        <f t="shared" si="143"/>
        <v>0</v>
      </c>
      <c r="BC267" s="158">
        <f t="shared" si="143"/>
        <v>0</v>
      </c>
      <c r="BD267" s="158">
        <f t="shared" si="143"/>
        <v>0</v>
      </c>
      <c r="BE267" s="158">
        <f t="shared" si="143"/>
        <v>0</v>
      </c>
      <c r="BF267" s="158">
        <f t="shared" si="143"/>
        <v>0</v>
      </c>
      <c r="BG267" s="158">
        <f t="shared" si="143"/>
        <v>0</v>
      </c>
      <c r="BH267" s="158">
        <f t="shared" si="143"/>
        <v>0</v>
      </c>
      <c r="BI267" s="158">
        <f t="shared" si="143"/>
        <v>0</v>
      </c>
      <c r="BJ267" s="158">
        <f t="shared" si="143"/>
        <v>0</v>
      </c>
      <c r="BK267" s="158">
        <f t="shared" si="143"/>
        <v>0</v>
      </c>
      <c r="BL267" s="158">
        <f t="shared" si="143"/>
        <v>0</v>
      </c>
      <c r="BM267" s="158">
        <f t="shared" si="143"/>
        <v>0</v>
      </c>
      <c r="BN267" s="158">
        <f t="shared" si="143"/>
        <v>0</v>
      </c>
      <c r="BO267" s="158">
        <f t="shared" si="143"/>
        <v>0</v>
      </c>
      <c r="BP267" s="158">
        <f t="shared" si="143"/>
        <v>0</v>
      </c>
      <c r="BQ267" s="158">
        <f t="shared" si="143"/>
        <v>0</v>
      </c>
      <c r="BR267" s="158">
        <f t="shared" si="143"/>
        <v>0</v>
      </c>
      <c r="BS267" s="158">
        <f t="shared" si="143"/>
        <v>0</v>
      </c>
      <c r="BT267" s="158">
        <f t="shared" si="143"/>
        <v>0</v>
      </c>
      <c r="BU267" s="158">
        <f t="shared" si="143"/>
        <v>0</v>
      </c>
      <c r="BV267" s="158">
        <f t="shared" si="143"/>
        <v>0</v>
      </c>
      <c r="BW267" s="158">
        <f t="shared" si="143"/>
        <v>0</v>
      </c>
      <c r="BX267" s="158">
        <f t="shared" si="143"/>
        <v>0</v>
      </c>
      <c r="BY267" s="158">
        <f t="shared" si="143"/>
        <v>0</v>
      </c>
      <c r="BZ267" s="158">
        <f t="shared" si="143"/>
        <v>0</v>
      </c>
      <c r="CA267" s="158">
        <f t="shared" si="143"/>
        <v>0</v>
      </c>
      <c r="CB267" s="158">
        <f t="shared" si="143"/>
        <v>0</v>
      </c>
      <c r="CC267" s="158">
        <f t="shared" si="143"/>
        <v>0</v>
      </c>
      <c r="CD267" s="158">
        <f t="shared" ref="CD267:CS267" si="144">SUM(CD266:CD266)</f>
        <v>0</v>
      </c>
      <c r="CE267" s="158">
        <f t="shared" si="144"/>
        <v>296380000</v>
      </c>
      <c r="CF267" s="158">
        <f t="shared" si="144"/>
        <v>248380000</v>
      </c>
      <c r="CG267" s="158">
        <f t="shared" si="144"/>
        <v>248380000</v>
      </c>
      <c r="CH267" s="158">
        <f t="shared" si="144"/>
        <v>0</v>
      </c>
      <c r="CI267" s="158">
        <f t="shared" si="144"/>
        <v>0</v>
      </c>
      <c r="CJ267" s="158">
        <f t="shared" si="144"/>
        <v>0</v>
      </c>
      <c r="CK267" s="158">
        <f t="shared" si="144"/>
        <v>0</v>
      </c>
      <c r="CL267" s="158">
        <f t="shared" si="144"/>
        <v>0</v>
      </c>
      <c r="CM267" s="158">
        <f t="shared" si="144"/>
        <v>0</v>
      </c>
      <c r="CN267" s="158">
        <f t="shared" si="144"/>
        <v>0</v>
      </c>
      <c r="CO267" s="158">
        <f t="shared" si="144"/>
        <v>0</v>
      </c>
      <c r="CP267" s="158">
        <f t="shared" si="144"/>
        <v>0</v>
      </c>
      <c r="CQ267" s="158">
        <f t="shared" si="144"/>
        <v>0</v>
      </c>
      <c r="CR267" s="158">
        <f t="shared" si="144"/>
        <v>0</v>
      </c>
      <c r="CS267" s="158">
        <f t="shared" si="144"/>
        <v>0</v>
      </c>
      <c r="CT267" s="158">
        <f>SUM(CT266:CT266)</f>
        <v>296380000</v>
      </c>
      <c r="CU267" s="158">
        <f>SUM(CU266:CU266)</f>
        <v>248380000</v>
      </c>
      <c r="CV267" s="158">
        <f>SUM(CV266:CV266)</f>
        <v>248380000</v>
      </c>
    </row>
    <row r="268" spans="1:100" s="345" customFormat="1" ht="20.25" x14ac:dyDescent="0.25">
      <c r="A268" s="19"/>
      <c r="B268" s="28"/>
      <c r="C268" s="949"/>
      <c r="D268" s="177"/>
      <c r="E268" s="949"/>
      <c r="F268" s="949"/>
      <c r="G268" s="177"/>
      <c r="H268" s="949"/>
      <c r="I268" s="177"/>
      <c r="J268" s="260"/>
      <c r="K268" s="260"/>
      <c r="L268" s="260"/>
      <c r="M268" s="260"/>
      <c r="N268" s="179"/>
      <c r="O268" s="177"/>
      <c r="P268" s="949"/>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c r="BW268" s="180"/>
      <c r="BX268" s="180"/>
      <c r="BY268" s="180"/>
      <c r="BZ268" s="180"/>
      <c r="CA268" s="180"/>
      <c r="CB268" s="180"/>
      <c r="CC268" s="180"/>
      <c r="CD268" s="180"/>
      <c r="CE268" s="182"/>
      <c r="CF268" s="182"/>
      <c r="CG268" s="182"/>
      <c r="CH268" s="183"/>
      <c r="CI268" s="183"/>
      <c r="CJ268" s="183"/>
      <c r="CK268" s="180"/>
      <c r="CL268" s="180"/>
      <c r="CM268" s="180"/>
      <c r="CN268" s="180"/>
      <c r="CO268" s="180"/>
      <c r="CP268" s="180"/>
      <c r="CQ268" s="180"/>
      <c r="CR268" s="180"/>
      <c r="CS268" s="180"/>
      <c r="CT268" s="25"/>
      <c r="CU268" s="745"/>
      <c r="CV268" s="745"/>
    </row>
    <row r="269" spans="1:100" s="345" customFormat="1" ht="20.25" x14ac:dyDescent="0.25">
      <c r="A269" s="19"/>
      <c r="B269" s="28"/>
      <c r="C269" s="927"/>
      <c r="D269" s="928"/>
      <c r="E269" s="929"/>
      <c r="F269" s="929"/>
      <c r="G269" s="188">
        <v>13</v>
      </c>
      <c r="H269" s="693" t="s">
        <v>340</v>
      </c>
      <c r="I269" s="189"/>
      <c r="J269" s="189"/>
      <c r="K269" s="189"/>
      <c r="L269" s="189"/>
      <c r="M269" s="189"/>
      <c r="N269" s="678"/>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c r="BY269" s="189"/>
      <c r="BZ269" s="189"/>
      <c r="CA269" s="189"/>
      <c r="CB269" s="189"/>
      <c r="CC269" s="189"/>
      <c r="CD269" s="189"/>
      <c r="CE269" s="190"/>
      <c r="CF269" s="190"/>
      <c r="CG269" s="190"/>
      <c r="CH269" s="241"/>
      <c r="CI269" s="241"/>
      <c r="CJ269" s="241"/>
      <c r="CK269" s="189"/>
      <c r="CL269" s="189"/>
      <c r="CM269" s="189"/>
      <c r="CN269" s="189"/>
      <c r="CO269" s="189"/>
      <c r="CP269" s="189"/>
      <c r="CQ269" s="189"/>
      <c r="CR269" s="189"/>
      <c r="CS269" s="189"/>
      <c r="CT269" s="522"/>
      <c r="CU269" s="522"/>
      <c r="CV269" s="522"/>
    </row>
    <row r="270" spans="1:100" s="347" customFormat="1" ht="192.75" customHeight="1" x14ac:dyDescent="0.25">
      <c r="A270" s="19"/>
      <c r="B270" s="28"/>
      <c r="C270" s="927" t="s">
        <v>328</v>
      </c>
      <c r="D270" s="928" t="s">
        <v>329</v>
      </c>
      <c r="E270" s="929" t="s">
        <v>330</v>
      </c>
      <c r="F270" s="929" t="s">
        <v>331</v>
      </c>
      <c r="G270" s="22"/>
      <c r="H270" s="4">
        <v>53</v>
      </c>
      <c r="I270" s="153" t="s">
        <v>341</v>
      </c>
      <c r="J270" s="10">
        <v>0</v>
      </c>
      <c r="K270" s="10">
        <v>1</v>
      </c>
      <c r="L270" s="10">
        <v>1</v>
      </c>
      <c r="M270" s="344" t="s">
        <v>294</v>
      </c>
      <c r="N270" s="36" t="s">
        <v>342</v>
      </c>
      <c r="O270" s="53" t="s">
        <v>343</v>
      </c>
      <c r="P270" s="929" t="s">
        <v>38</v>
      </c>
      <c r="Q270" s="25">
        <v>0</v>
      </c>
      <c r="R270" s="25"/>
      <c r="S270" s="25"/>
      <c r="T270" s="25">
        <v>0</v>
      </c>
      <c r="U270" s="25"/>
      <c r="V270" s="25"/>
      <c r="W270" s="25">
        <v>0</v>
      </c>
      <c r="X270" s="25"/>
      <c r="Y270" s="25"/>
      <c r="Z270" s="25">
        <v>0</v>
      </c>
      <c r="AA270" s="25"/>
      <c r="AB270" s="25"/>
      <c r="AC270" s="25">
        <v>0</v>
      </c>
      <c r="AD270" s="25"/>
      <c r="AE270" s="25"/>
      <c r="AF270" s="25">
        <v>0</v>
      </c>
      <c r="AG270" s="25"/>
      <c r="AH270" s="25"/>
      <c r="AI270" s="25">
        <v>0</v>
      </c>
      <c r="AJ270" s="25"/>
      <c r="AK270" s="25"/>
      <c r="AL270" s="25"/>
      <c r="AM270" s="25"/>
      <c r="AN270" s="25"/>
      <c r="AO270" s="25"/>
      <c r="AP270" s="25"/>
      <c r="AQ270" s="25"/>
      <c r="AR270" s="25"/>
      <c r="AS270" s="25"/>
      <c r="AT270" s="25"/>
      <c r="AU270" s="25">
        <v>0</v>
      </c>
      <c r="AV270" s="25"/>
      <c r="AW270" s="25"/>
      <c r="AX270" s="25"/>
      <c r="AY270" s="25"/>
      <c r="AZ270" s="25"/>
      <c r="BA270" s="25">
        <v>0</v>
      </c>
      <c r="BB270" s="25"/>
      <c r="BC270" s="25"/>
      <c r="BD270" s="25">
        <v>0</v>
      </c>
      <c r="BE270" s="25"/>
      <c r="BF270" s="25"/>
      <c r="BG270" s="250"/>
      <c r="BH270" s="250"/>
      <c r="BI270" s="250"/>
      <c r="BJ270" s="250"/>
      <c r="BK270" s="250"/>
      <c r="BL270" s="250"/>
      <c r="BM270" s="250"/>
      <c r="BN270" s="250"/>
      <c r="BO270" s="250"/>
      <c r="BP270" s="250"/>
      <c r="BQ270" s="250"/>
      <c r="BR270" s="250"/>
      <c r="BS270" s="250"/>
      <c r="BT270" s="250"/>
      <c r="BU270" s="250"/>
      <c r="BV270" s="250"/>
      <c r="BW270" s="250"/>
      <c r="BX270" s="250"/>
      <c r="BY270" s="25">
        <v>0</v>
      </c>
      <c r="BZ270" s="25"/>
      <c r="CA270" s="25"/>
      <c r="CB270" s="25">
        <v>0</v>
      </c>
      <c r="CC270" s="25"/>
      <c r="CD270" s="25"/>
      <c r="CE270" s="110">
        <f>100000000+60000000+180000000+50100000+60000000+11700000</f>
        <v>461800000</v>
      </c>
      <c r="CF270" s="110">
        <f>100000000+60000000+180000000+50100000+60000000+11700000</f>
        <v>461800000</v>
      </c>
      <c r="CG270" s="110">
        <v>436880000</v>
      </c>
      <c r="CH270" s="37"/>
      <c r="CI270" s="37"/>
      <c r="CJ270" s="37"/>
      <c r="CK270" s="13">
        <f>389502600+88606963+100000000</f>
        <v>578109563</v>
      </c>
      <c r="CL270" s="13">
        <f>389502600+88606963+100000000</f>
        <v>578109563</v>
      </c>
      <c r="CM270" s="13">
        <f>389502600+88606963+100000000</f>
        <v>578109563</v>
      </c>
      <c r="CN270" s="26">
        <v>0</v>
      </c>
      <c r="CO270" s="26"/>
      <c r="CP270" s="26"/>
      <c r="CQ270" s="26"/>
      <c r="CR270" s="26"/>
      <c r="CS270" s="26"/>
      <c r="CT270" s="25">
        <f>Q270+T270+W270+Z270+AC270+AF270+AI270+AL270+AO270+AR270+AU270+AX270+BA270+BD270+BG270+BJ270+BM270+BP270+BS270+BV270+BY270+CB270+CE270+CH270+CK270+CQ270+CN270</f>
        <v>1039909563</v>
      </c>
      <c r="CU270" s="25">
        <f>R270+U270+X270+AA270+AD270+AG270+AJ270+AM270+AP270+AS270+AV270+AY270+BB270+BE270+BH270+BK270+BN270+BQ270+BT270+BW270+BZ270+CC270+CF270+CI270+CL270+CR270+CO270</f>
        <v>1039909563</v>
      </c>
      <c r="CV270" s="25">
        <f>S270+V270+Y270+AB270+AE270+AH270+AK270+AN270+AQ270+AT270+AW270+AZ270+BC270+BF270+BI270+BL270+BO270+BR270+BU270+BX270+CA270+CD270+CG270+CJ270+CM270+CS270+CP270</f>
        <v>1014989563</v>
      </c>
    </row>
    <row r="271" spans="1:100" ht="15" x14ac:dyDescent="0.25">
      <c r="A271" s="19"/>
      <c r="B271" s="29"/>
      <c r="C271" s="927"/>
      <c r="D271" s="928"/>
      <c r="E271" s="929"/>
      <c r="F271" s="929"/>
      <c r="G271" s="154"/>
      <c r="H271" s="155"/>
      <c r="I271" s="154"/>
      <c r="J271" s="249"/>
      <c r="K271" s="249"/>
      <c r="L271" s="249"/>
      <c r="M271" s="249"/>
      <c r="N271" s="157"/>
      <c r="O271" s="154"/>
      <c r="P271" s="155"/>
      <c r="Q271" s="158">
        <f>SUM(Q270:Q270)</f>
        <v>0</v>
      </c>
      <c r="R271" s="158">
        <f t="shared" ref="R271:CC271" si="145">SUM(R270:R270)</f>
        <v>0</v>
      </c>
      <c r="S271" s="158">
        <f t="shared" si="145"/>
        <v>0</v>
      </c>
      <c r="T271" s="158">
        <f t="shared" si="145"/>
        <v>0</v>
      </c>
      <c r="U271" s="158">
        <f t="shared" si="145"/>
        <v>0</v>
      </c>
      <c r="V271" s="158">
        <f t="shared" si="145"/>
        <v>0</v>
      </c>
      <c r="W271" s="158">
        <f t="shared" si="145"/>
        <v>0</v>
      </c>
      <c r="X271" s="158">
        <f t="shared" si="145"/>
        <v>0</v>
      </c>
      <c r="Y271" s="158">
        <f t="shared" si="145"/>
        <v>0</v>
      </c>
      <c r="Z271" s="158">
        <f t="shared" si="145"/>
        <v>0</v>
      </c>
      <c r="AA271" s="158">
        <f t="shared" si="145"/>
        <v>0</v>
      </c>
      <c r="AB271" s="158">
        <f t="shared" si="145"/>
        <v>0</v>
      </c>
      <c r="AC271" s="158">
        <f t="shared" si="145"/>
        <v>0</v>
      </c>
      <c r="AD271" s="158">
        <f t="shared" si="145"/>
        <v>0</v>
      </c>
      <c r="AE271" s="158">
        <f t="shared" si="145"/>
        <v>0</v>
      </c>
      <c r="AF271" s="158">
        <f t="shared" si="145"/>
        <v>0</v>
      </c>
      <c r="AG271" s="158">
        <f t="shared" si="145"/>
        <v>0</v>
      </c>
      <c r="AH271" s="158">
        <f t="shared" si="145"/>
        <v>0</v>
      </c>
      <c r="AI271" s="158">
        <f t="shared" si="145"/>
        <v>0</v>
      </c>
      <c r="AJ271" s="158">
        <f t="shared" si="145"/>
        <v>0</v>
      </c>
      <c r="AK271" s="158">
        <f t="shared" si="145"/>
        <v>0</v>
      </c>
      <c r="AL271" s="158">
        <f t="shared" si="145"/>
        <v>0</v>
      </c>
      <c r="AM271" s="158">
        <f t="shared" si="145"/>
        <v>0</v>
      </c>
      <c r="AN271" s="158">
        <f t="shared" si="145"/>
        <v>0</v>
      </c>
      <c r="AO271" s="158">
        <f t="shared" si="145"/>
        <v>0</v>
      </c>
      <c r="AP271" s="158">
        <f t="shared" si="145"/>
        <v>0</v>
      </c>
      <c r="AQ271" s="158">
        <f t="shared" si="145"/>
        <v>0</v>
      </c>
      <c r="AR271" s="158">
        <f t="shared" si="145"/>
        <v>0</v>
      </c>
      <c r="AS271" s="158">
        <f t="shared" si="145"/>
        <v>0</v>
      </c>
      <c r="AT271" s="158">
        <f t="shared" si="145"/>
        <v>0</v>
      </c>
      <c r="AU271" s="158">
        <f t="shared" si="145"/>
        <v>0</v>
      </c>
      <c r="AV271" s="158">
        <f t="shared" si="145"/>
        <v>0</v>
      </c>
      <c r="AW271" s="158">
        <f t="shared" si="145"/>
        <v>0</v>
      </c>
      <c r="AX271" s="158">
        <f t="shared" si="145"/>
        <v>0</v>
      </c>
      <c r="AY271" s="158">
        <f t="shared" si="145"/>
        <v>0</v>
      </c>
      <c r="AZ271" s="158">
        <f t="shared" si="145"/>
        <v>0</v>
      </c>
      <c r="BA271" s="158">
        <f t="shared" si="145"/>
        <v>0</v>
      </c>
      <c r="BB271" s="158">
        <f t="shared" si="145"/>
        <v>0</v>
      </c>
      <c r="BC271" s="158">
        <f t="shared" si="145"/>
        <v>0</v>
      </c>
      <c r="BD271" s="158">
        <f t="shared" si="145"/>
        <v>0</v>
      </c>
      <c r="BE271" s="158">
        <f t="shared" si="145"/>
        <v>0</v>
      </c>
      <c r="BF271" s="158">
        <f t="shared" si="145"/>
        <v>0</v>
      </c>
      <c r="BG271" s="158">
        <f t="shared" si="145"/>
        <v>0</v>
      </c>
      <c r="BH271" s="158">
        <f t="shared" si="145"/>
        <v>0</v>
      </c>
      <c r="BI271" s="158">
        <f t="shared" si="145"/>
        <v>0</v>
      </c>
      <c r="BJ271" s="158">
        <f t="shared" si="145"/>
        <v>0</v>
      </c>
      <c r="BK271" s="158">
        <f t="shared" si="145"/>
        <v>0</v>
      </c>
      <c r="BL271" s="158">
        <f t="shared" si="145"/>
        <v>0</v>
      </c>
      <c r="BM271" s="158">
        <f t="shared" si="145"/>
        <v>0</v>
      </c>
      <c r="BN271" s="158">
        <f t="shared" si="145"/>
        <v>0</v>
      </c>
      <c r="BO271" s="158">
        <f t="shared" si="145"/>
        <v>0</v>
      </c>
      <c r="BP271" s="158">
        <f t="shared" si="145"/>
        <v>0</v>
      </c>
      <c r="BQ271" s="158">
        <f t="shared" si="145"/>
        <v>0</v>
      </c>
      <c r="BR271" s="158">
        <f t="shared" si="145"/>
        <v>0</v>
      </c>
      <c r="BS271" s="158">
        <f t="shared" si="145"/>
        <v>0</v>
      </c>
      <c r="BT271" s="158">
        <f t="shared" si="145"/>
        <v>0</v>
      </c>
      <c r="BU271" s="158">
        <f t="shared" si="145"/>
        <v>0</v>
      </c>
      <c r="BV271" s="158">
        <f t="shared" si="145"/>
        <v>0</v>
      </c>
      <c r="BW271" s="158">
        <f t="shared" si="145"/>
        <v>0</v>
      </c>
      <c r="BX271" s="158">
        <f t="shared" si="145"/>
        <v>0</v>
      </c>
      <c r="BY271" s="158">
        <f t="shared" si="145"/>
        <v>0</v>
      </c>
      <c r="BZ271" s="158">
        <f t="shared" si="145"/>
        <v>0</v>
      </c>
      <c r="CA271" s="158">
        <f t="shared" si="145"/>
        <v>0</v>
      </c>
      <c r="CB271" s="158">
        <f t="shared" si="145"/>
        <v>0</v>
      </c>
      <c r="CC271" s="158">
        <f t="shared" si="145"/>
        <v>0</v>
      </c>
      <c r="CD271" s="158">
        <f t="shared" ref="CD271:CS271" si="146">SUM(CD270:CD270)</f>
        <v>0</v>
      </c>
      <c r="CE271" s="158">
        <f t="shared" si="146"/>
        <v>461800000</v>
      </c>
      <c r="CF271" s="158">
        <f t="shared" si="146"/>
        <v>461800000</v>
      </c>
      <c r="CG271" s="158">
        <f t="shared" si="146"/>
        <v>436880000</v>
      </c>
      <c r="CH271" s="158">
        <f t="shared" si="146"/>
        <v>0</v>
      </c>
      <c r="CI271" s="158">
        <f t="shared" si="146"/>
        <v>0</v>
      </c>
      <c r="CJ271" s="158">
        <f t="shared" si="146"/>
        <v>0</v>
      </c>
      <c r="CK271" s="158">
        <f t="shared" si="146"/>
        <v>578109563</v>
      </c>
      <c r="CL271" s="158">
        <f t="shared" si="146"/>
        <v>578109563</v>
      </c>
      <c r="CM271" s="158">
        <f t="shared" si="146"/>
        <v>578109563</v>
      </c>
      <c r="CN271" s="158">
        <f t="shared" si="146"/>
        <v>0</v>
      </c>
      <c r="CO271" s="158">
        <f t="shared" si="146"/>
        <v>0</v>
      </c>
      <c r="CP271" s="158">
        <f t="shared" si="146"/>
        <v>0</v>
      </c>
      <c r="CQ271" s="158">
        <f t="shared" si="146"/>
        <v>0</v>
      </c>
      <c r="CR271" s="158">
        <f t="shared" si="146"/>
        <v>0</v>
      </c>
      <c r="CS271" s="158">
        <f t="shared" si="146"/>
        <v>0</v>
      </c>
      <c r="CT271" s="158">
        <f>SUM(CT270:CT270)</f>
        <v>1039909563</v>
      </c>
      <c r="CU271" s="158">
        <f>SUM(CU270:CU270)</f>
        <v>1039909563</v>
      </c>
      <c r="CV271" s="158">
        <f>SUM(CV270:CV270)</f>
        <v>1014989563</v>
      </c>
    </row>
    <row r="272" spans="1:100" ht="15" x14ac:dyDescent="0.25">
      <c r="A272" s="152"/>
      <c r="B272" s="216"/>
      <c r="C272" s="162"/>
      <c r="D272" s="161"/>
      <c r="E272" s="162"/>
      <c r="F272" s="162"/>
      <c r="G272" s="161"/>
      <c r="H272" s="162"/>
      <c r="I272" s="161"/>
      <c r="J272" s="257"/>
      <c r="K272" s="257"/>
      <c r="L272" s="257"/>
      <c r="M272" s="257"/>
      <c r="N272" s="164"/>
      <c r="O272" s="161"/>
      <c r="P272" s="162"/>
      <c r="Q272" s="165">
        <f>Q271+Q267+Q263</f>
        <v>0</v>
      </c>
      <c r="R272" s="165">
        <f t="shared" ref="R272:CC272" si="147">R271+R267+R263</f>
        <v>0</v>
      </c>
      <c r="S272" s="165">
        <f t="shared" si="147"/>
        <v>0</v>
      </c>
      <c r="T272" s="165">
        <f t="shared" si="147"/>
        <v>0</v>
      </c>
      <c r="U272" s="165">
        <f t="shared" si="147"/>
        <v>0</v>
      </c>
      <c r="V272" s="165">
        <f t="shared" si="147"/>
        <v>0</v>
      </c>
      <c r="W272" s="165">
        <f t="shared" si="147"/>
        <v>0</v>
      </c>
      <c r="X272" s="165">
        <f t="shared" si="147"/>
        <v>0</v>
      </c>
      <c r="Y272" s="165">
        <f t="shared" si="147"/>
        <v>0</v>
      </c>
      <c r="Z272" s="165">
        <f t="shared" si="147"/>
        <v>0</v>
      </c>
      <c r="AA272" s="165">
        <f t="shared" si="147"/>
        <v>0</v>
      </c>
      <c r="AB272" s="165">
        <f t="shared" si="147"/>
        <v>0</v>
      </c>
      <c r="AC272" s="165">
        <f t="shared" si="147"/>
        <v>0</v>
      </c>
      <c r="AD272" s="165">
        <f t="shared" si="147"/>
        <v>0</v>
      </c>
      <c r="AE272" s="165">
        <f t="shared" si="147"/>
        <v>0</v>
      </c>
      <c r="AF272" s="165">
        <f t="shared" si="147"/>
        <v>0</v>
      </c>
      <c r="AG272" s="165">
        <f t="shared" si="147"/>
        <v>0</v>
      </c>
      <c r="AH272" s="165">
        <f t="shared" si="147"/>
        <v>0</v>
      </c>
      <c r="AI272" s="165">
        <f t="shared" si="147"/>
        <v>0</v>
      </c>
      <c r="AJ272" s="165">
        <f t="shared" si="147"/>
        <v>0</v>
      </c>
      <c r="AK272" s="165">
        <f t="shared" si="147"/>
        <v>0</v>
      </c>
      <c r="AL272" s="165">
        <f t="shared" si="147"/>
        <v>0</v>
      </c>
      <c r="AM272" s="165">
        <f t="shared" si="147"/>
        <v>0</v>
      </c>
      <c r="AN272" s="165">
        <f t="shared" si="147"/>
        <v>0</v>
      </c>
      <c r="AO272" s="165">
        <f t="shared" si="147"/>
        <v>0</v>
      </c>
      <c r="AP272" s="165">
        <f t="shared" si="147"/>
        <v>0</v>
      </c>
      <c r="AQ272" s="165">
        <f t="shared" si="147"/>
        <v>0</v>
      </c>
      <c r="AR272" s="165">
        <f t="shared" si="147"/>
        <v>0</v>
      </c>
      <c r="AS272" s="165">
        <f t="shared" si="147"/>
        <v>0</v>
      </c>
      <c r="AT272" s="165">
        <f t="shared" si="147"/>
        <v>0</v>
      </c>
      <c r="AU272" s="165">
        <f t="shared" si="147"/>
        <v>0</v>
      </c>
      <c r="AV272" s="165">
        <f t="shared" si="147"/>
        <v>0</v>
      </c>
      <c r="AW272" s="165">
        <f t="shared" si="147"/>
        <v>0</v>
      </c>
      <c r="AX272" s="165">
        <f t="shared" si="147"/>
        <v>0</v>
      </c>
      <c r="AY272" s="165">
        <f t="shared" si="147"/>
        <v>0</v>
      </c>
      <c r="AZ272" s="165">
        <f t="shared" si="147"/>
        <v>0</v>
      </c>
      <c r="BA272" s="165">
        <f t="shared" si="147"/>
        <v>0</v>
      </c>
      <c r="BB272" s="165">
        <f t="shared" si="147"/>
        <v>0</v>
      </c>
      <c r="BC272" s="165">
        <f t="shared" si="147"/>
        <v>0</v>
      </c>
      <c r="BD272" s="165">
        <f t="shared" si="147"/>
        <v>0</v>
      </c>
      <c r="BE272" s="165">
        <f t="shared" si="147"/>
        <v>0</v>
      </c>
      <c r="BF272" s="165">
        <f t="shared" si="147"/>
        <v>0</v>
      </c>
      <c r="BG272" s="165">
        <f t="shared" si="147"/>
        <v>0</v>
      </c>
      <c r="BH272" s="165">
        <f t="shared" si="147"/>
        <v>0</v>
      </c>
      <c r="BI272" s="165">
        <f t="shared" si="147"/>
        <v>0</v>
      </c>
      <c r="BJ272" s="165">
        <f t="shared" si="147"/>
        <v>0</v>
      </c>
      <c r="BK272" s="165">
        <f t="shared" si="147"/>
        <v>0</v>
      </c>
      <c r="BL272" s="165">
        <f t="shared" si="147"/>
        <v>0</v>
      </c>
      <c r="BM272" s="165">
        <f t="shared" si="147"/>
        <v>0</v>
      </c>
      <c r="BN272" s="165">
        <f t="shared" si="147"/>
        <v>0</v>
      </c>
      <c r="BO272" s="165">
        <f t="shared" si="147"/>
        <v>0</v>
      </c>
      <c r="BP272" s="165">
        <f t="shared" si="147"/>
        <v>0</v>
      </c>
      <c r="BQ272" s="165">
        <f t="shared" si="147"/>
        <v>0</v>
      </c>
      <c r="BR272" s="165">
        <f t="shared" si="147"/>
        <v>0</v>
      </c>
      <c r="BS272" s="165">
        <f t="shared" si="147"/>
        <v>0</v>
      </c>
      <c r="BT272" s="165">
        <f t="shared" si="147"/>
        <v>0</v>
      </c>
      <c r="BU272" s="165">
        <f t="shared" si="147"/>
        <v>0</v>
      </c>
      <c r="BV272" s="165">
        <f t="shared" si="147"/>
        <v>0</v>
      </c>
      <c r="BW272" s="165">
        <f t="shared" si="147"/>
        <v>0</v>
      </c>
      <c r="BX272" s="165">
        <f t="shared" si="147"/>
        <v>0</v>
      </c>
      <c r="BY272" s="165">
        <f t="shared" si="147"/>
        <v>0</v>
      </c>
      <c r="BZ272" s="165">
        <f t="shared" si="147"/>
        <v>0</v>
      </c>
      <c r="CA272" s="165">
        <f t="shared" si="147"/>
        <v>0</v>
      </c>
      <c r="CB272" s="165">
        <f t="shared" si="147"/>
        <v>0</v>
      </c>
      <c r="CC272" s="165">
        <f t="shared" si="147"/>
        <v>0</v>
      </c>
      <c r="CD272" s="165">
        <f t="shared" ref="CD272:CS272" si="148">CD271+CD267+CD263</f>
        <v>0</v>
      </c>
      <c r="CE272" s="165">
        <f t="shared" si="148"/>
        <v>1087420000</v>
      </c>
      <c r="CF272" s="165">
        <f t="shared" si="148"/>
        <v>986804000</v>
      </c>
      <c r="CG272" s="165">
        <f t="shared" si="148"/>
        <v>959436450</v>
      </c>
      <c r="CH272" s="165">
        <f t="shared" si="148"/>
        <v>0</v>
      </c>
      <c r="CI272" s="165">
        <f t="shared" si="148"/>
        <v>0</v>
      </c>
      <c r="CJ272" s="165">
        <f t="shared" si="148"/>
        <v>0</v>
      </c>
      <c r="CK272" s="165">
        <f t="shared" si="148"/>
        <v>578109563</v>
      </c>
      <c r="CL272" s="165">
        <f t="shared" si="148"/>
        <v>578109563</v>
      </c>
      <c r="CM272" s="165">
        <f t="shared" si="148"/>
        <v>578109563</v>
      </c>
      <c r="CN272" s="165">
        <f t="shared" si="148"/>
        <v>0</v>
      </c>
      <c r="CO272" s="165">
        <f t="shared" si="148"/>
        <v>0</v>
      </c>
      <c r="CP272" s="165">
        <f t="shared" si="148"/>
        <v>0</v>
      </c>
      <c r="CQ272" s="165">
        <f t="shared" si="148"/>
        <v>0</v>
      </c>
      <c r="CR272" s="165">
        <f t="shared" si="148"/>
        <v>0</v>
      </c>
      <c r="CS272" s="165">
        <f t="shared" si="148"/>
        <v>0</v>
      </c>
      <c r="CT272" s="165">
        <f>CT271+CT267+CT263</f>
        <v>1665529563</v>
      </c>
      <c r="CU272" s="165">
        <f>CU271+CU267+CU263</f>
        <v>1564913563</v>
      </c>
      <c r="CV272" s="165">
        <f>CV271+CV267+CV263</f>
        <v>1537546013</v>
      </c>
    </row>
    <row r="273" spans="1:100" ht="15" x14ac:dyDescent="0.25">
      <c r="A273" s="166"/>
      <c r="B273" s="166"/>
      <c r="C273" s="167"/>
      <c r="D273" s="166"/>
      <c r="E273" s="167"/>
      <c r="F273" s="167"/>
      <c r="G273" s="166"/>
      <c r="H273" s="167"/>
      <c r="I273" s="166"/>
      <c r="J273" s="259"/>
      <c r="K273" s="259"/>
      <c r="L273" s="259"/>
      <c r="M273" s="259"/>
      <c r="N273" s="169"/>
      <c r="O273" s="166"/>
      <c r="P273" s="167"/>
      <c r="Q273" s="170">
        <f>Q272+Q257</f>
        <v>0</v>
      </c>
      <c r="R273" s="170">
        <f t="shared" ref="R273:CC273" si="149">R272+R257</f>
        <v>0</v>
      </c>
      <c r="S273" s="170">
        <f t="shared" si="149"/>
        <v>0</v>
      </c>
      <c r="T273" s="170">
        <f t="shared" si="149"/>
        <v>0</v>
      </c>
      <c r="U273" s="170">
        <f t="shared" si="149"/>
        <v>0</v>
      </c>
      <c r="V273" s="170">
        <f t="shared" si="149"/>
        <v>0</v>
      </c>
      <c r="W273" s="170">
        <f t="shared" si="149"/>
        <v>0</v>
      </c>
      <c r="X273" s="170">
        <f t="shared" si="149"/>
        <v>0</v>
      </c>
      <c r="Y273" s="170">
        <f t="shared" si="149"/>
        <v>0</v>
      </c>
      <c r="Z273" s="170">
        <f t="shared" si="149"/>
        <v>0</v>
      </c>
      <c r="AA273" s="170">
        <f t="shared" si="149"/>
        <v>0</v>
      </c>
      <c r="AB273" s="170">
        <f t="shared" si="149"/>
        <v>0</v>
      </c>
      <c r="AC273" s="170">
        <f t="shared" si="149"/>
        <v>0</v>
      </c>
      <c r="AD273" s="170">
        <f t="shared" si="149"/>
        <v>0</v>
      </c>
      <c r="AE273" s="170">
        <f t="shared" si="149"/>
        <v>0</v>
      </c>
      <c r="AF273" s="170">
        <f t="shared" si="149"/>
        <v>0</v>
      </c>
      <c r="AG273" s="170">
        <f t="shared" si="149"/>
        <v>0</v>
      </c>
      <c r="AH273" s="170">
        <f t="shared" si="149"/>
        <v>0</v>
      </c>
      <c r="AI273" s="170">
        <f t="shared" si="149"/>
        <v>0</v>
      </c>
      <c r="AJ273" s="170">
        <f t="shared" si="149"/>
        <v>0</v>
      </c>
      <c r="AK273" s="170">
        <f t="shared" si="149"/>
        <v>0</v>
      </c>
      <c r="AL273" s="170">
        <f t="shared" si="149"/>
        <v>0</v>
      </c>
      <c r="AM273" s="170">
        <f t="shared" si="149"/>
        <v>0</v>
      </c>
      <c r="AN273" s="170">
        <f t="shared" si="149"/>
        <v>0</v>
      </c>
      <c r="AO273" s="170">
        <f t="shared" si="149"/>
        <v>0</v>
      </c>
      <c r="AP273" s="170">
        <f t="shared" si="149"/>
        <v>0</v>
      </c>
      <c r="AQ273" s="170">
        <f t="shared" si="149"/>
        <v>0</v>
      </c>
      <c r="AR273" s="170">
        <f t="shared" si="149"/>
        <v>0</v>
      </c>
      <c r="AS273" s="170">
        <f t="shared" si="149"/>
        <v>0</v>
      </c>
      <c r="AT273" s="170">
        <f t="shared" si="149"/>
        <v>0</v>
      </c>
      <c r="AU273" s="170">
        <f t="shared" si="149"/>
        <v>0</v>
      </c>
      <c r="AV273" s="170">
        <f t="shared" si="149"/>
        <v>0</v>
      </c>
      <c r="AW273" s="170">
        <f t="shared" si="149"/>
        <v>0</v>
      </c>
      <c r="AX273" s="170">
        <f t="shared" si="149"/>
        <v>0</v>
      </c>
      <c r="AY273" s="170">
        <f t="shared" si="149"/>
        <v>0</v>
      </c>
      <c r="AZ273" s="170">
        <f t="shared" si="149"/>
        <v>0</v>
      </c>
      <c r="BA273" s="170">
        <f t="shared" si="149"/>
        <v>0</v>
      </c>
      <c r="BB273" s="170">
        <f t="shared" si="149"/>
        <v>0</v>
      </c>
      <c r="BC273" s="170">
        <f t="shared" si="149"/>
        <v>0</v>
      </c>
      <c r="BD273" s="170">
        <f t="shared" si="149"/>
        <v>0</v>
      </c>
      <c r="BE273" s="170">
        <f t="shared" si="149"/>
        <v>0</v>
      </c>
      <c r="BF273" s="170">
        <f t="shared" si="149"/>
        <v>0</v>
      </c>
      <c r="BG273" s="170">
        <f t="shared" si="149"/>
        <v>0</v>
      </c>
      <c r="BH273" s="170">
        <f t="shared" si="149"/>
        <v>0</v>
      </c>
      <c r="BI273" s="170">
        <f t="shared" si="149"/>
        <v>0</v>
      </c>
      <c r="BJ273" s="170">
        <f t="shared" si="149"/>
        <v>0</v>
      </c>
      <c r="BK273" s="170">
        <f t="shared" si="149"/>
        <v>0</v>
      </c>
      <c r="BL273" s="170">
        <f t="shared" si="149"/>
        <v>0</v>
      </c>
      <c r="BM273" s="170">
        <f t="shared" si="149"/>
        <v>0</v>
      </c>
      <c r="BN273" s="170">
        <f t="shared" si="149"/>
        <v>0</v>
      </c>
      <c r="BO273" s="170">
        <f t="shared" si="149"/>
        <v>0</v>
      </c>
      <c r="BP273" s="170">
        <f t="shared" si="149"/>
        <v>0</v>
      </c>
      <c r="BQ273" s="170">
        <f t="shared" si="149"/>
        <v>0</v>
      </c>
      <c r="BR273" s="170">
        <f t="shared" si="149"/>
        <v>0</v>
      </c>
      <c r="BS273" s="170">
        <f t="shared" si="149"/>
        <v>0</v>
      </c>
      <c r="BT273" s="170">
        <f t="shared" si="149"/>
        <v>0</v>
      </c>
      <c r="BU273" s="170">
        <f t="shared" si="149"/>
        <v>0</v>
      </c>
      <c r="BV273" s="170">
        <f t="shared" si="149"/>
        <v>0</v>
      </c>
      <c r="BW273" s="170">
        <f t="shared" si="149"/>
        <v>0</v>
      </c>
      <c r="BX273" s="170">
        <f t="shared" si="149"/>
        <v>0</v>
      </c>
      <c r="BY273" s="170">
        <f t="shared" si="149"/>
        <v>0</v>
      </c>
      <c r="BZ273" s="170">
        <f t="shared" si="149"/>
        <v>0</v>
      </c>
      <c r="CA273" s="170">
        <f t="shared" si="149"/>
        <v>0</v>
      </c>
      <c r="CB273" s="170">
        <f t="shared" si="149"/>
        <v>0</v>
      </c>
      <c r="CC273" s="170">
        <f t="shared" si="149"/>
        <v>0</v>
      </c>
      <c r="CD273" s="170">
        <f t="shared" ref="CD273:CS273" si="150">CD272+CD257</f>
        <v>0</v>
      </c>
      <c r="CE273" s="170">
        <f t="shared" si="150"/>
        <v>2292000000</v>
      </c>
      <c r="CF273" s="170">
        <f t="shared" si="150"/>
        <v>1989754980</v>
      </c>
      <c r="CG273" s="170">
        <f t="shared" si="150"/>
        <v>1959639680</v>
      </c>
      <c r="CH273" s="170">
        <f t="shared" si="150"/>
        <v>0</v>
      </c>
      <c r="CI273" s="170">
        <f t="shared" si="150"/>
        <v>0</v>
      </c>
      <c r="CJ273" s="170">
        <f t="shared" si="150"/>
        <v>0</v>
      </c>
      <c r="CK273" s="170">
        <f t="shared" si="150"/>
        <v>578109563</v>
      </c>
      <c r="CL273" s="170">
        <f t="shared" si="150"/>
        <v>578109563</v>
      </c>
      <c r="CM273" s="170">
        <f t="shared" si="150"/>
        <v>578109563</v>
      </c>
      <c r="CN273" s="170">
        <f t="shared" si="150"/>
        <v>0</v>
      </c>
      <c r="CO273" s="170">
        <f t="shared" si="150"/>
        <v>0</v>
      </c>
      <c r="CP273" s="170">
        <f t="shared" si="150"/>
        <v>0</v>
      </c>
      <c r="CQ273" s="170">
        <f t="shared" si="150"/>
        <v>0</v>
      </c>
      <c r="CR273" s="170">
        <f t="shared" si="150"/>
        <v>0</v>
      </c>
      <c r="CS273" s="170">
        <f t="shared" si="150"/>
        <v>0</v>
      </c>
      <c r="CT273" s="170">
        <f>CT272+CT257</f>
        <v>2870109563</v>
      </c>
      <c r="CU273" s="170">
        <f>CU272+CU257</f>
        <v>2567864543</v>
      </c>
      <c r="CV273" s="170">
        <f>CV272+CV257</f>
        <v>2537749243</v>
      </c>
    </row>
    <row r="274" spans="1:100" ht="15" x14ac:dyDescent="0.25">
      <c r="A274" s="171"/>
      <c r="B274" s="171"/>
      <c r="C274" s="172"/>
      <c r="D274" s="171"/>
      <c r="E274" s="172"/>
      <c r="F274" s="172"/>
      <c r="G274" s="171"/>
      <c r="H274" s="172"/>
      <c r="I274" s="171"/>
      <c r="J274" s="270"/>
      <c r="K274" s="270"/>
      <c r="L274" s="270"/>
      <c r="M274" s="270"/>
      <c r="N274" s="174"/>
      <c r="O274" s="171"/>
      <c r="P274" s="172"/>
      <c r="Q274" s="175">
        <f>Q273</f>
        <v>0</v>
      </c>
      <c r="R274" s="175">
        <f t="shared" ref="R274:CC274" si="151">R273</f>
        <v>0</v>
      </c>
      <c r="S274" s="175">
        <f t="shared" si="151"/>
        <v>0</v>
      </c>
      <c r="T274" s="175">
        <f t="shared" si="151"/>
        <v>0</v>
      </c>
      <c r="U274" s="175">
        <f t="shared" si="151"/>
        <v>0</v>
      </c>
      <c r="V274" s="175">
        <f t="shared" si="151"/>
        <v>0</v>
      </c>
      <c r="W274" s="175">
        <f t="shared" si="151"/>
        <v>0</v>
      </c>
      <c r="X274" s="175">
        <f t="shared" si="151"/>
        <v>0</v>
      </c>
      <c r="Y274" s="175">
        <f t="shared" si="151"/>
        <v>0</v>
      </c>
      <c r="Z274" s="175">
        <f t="shared" si="151"/>
        <v>0</v>
      </c>
      <c r="AA274" s="175">
        <f t="shared" si="151"/>
        <v>0</v>
      </c>
      <c r="AB274" s="175">
        <f t="shared" si="151"/>
        <v>0</v>
      </c>
      <c r="AC274" s="175">
        <f t="shared" si="151"/>
        <v>0</v>
      </c>
      <c r="AD274" s="175">
        <f t="shared" si="151"/>
        <v>0</v>
      </c>
      <c r="AE274" s="175">
        <f t="shared" si="151"/>
        <v>0</v>
      </c>
      <c r="AF274" s="175">
        <f t="shared" si="151"/>
        <v>0</v>
      </c>
      <c r="AG274" s="175">
        <f t="shared" si="151"/>
        <v>0</v>
      </c>
      <c r="AH274" s="175">
        <f t="shared" si="151"/>
        <v>0</v>
      </c>
      <c r="AI274" s="175">
        <f t="shared" si="151"/>
        <v>0</v>
      </c>
      <c r="AJ274" s="175">
        <f t="shared" si="151"/>
        <v>0</v>
      </c>
      <c r="AK274" s="175">
        <f t="shared" si="151"/>
        <v>0</v>
      </c>
      <c r="AL274" s="175">
        <f t="shared" si="151"/>
        <v>0</v>
      </c>
      <c r="AM274" s="175">
        <f t="shared" si="151"/>
        <v>0</v>
      </c>
      <c r="AN274" s="175">
        <f t="shared" si="151"/>
        <v>0</v>
      </c>
      <c r="AO274" s="175">
        <f t="shared" si="151"/>
        <v>0</v>
      </c>
      <c r="AP274" s="175">
        <f t="shared" si="151"/>
        <v>0</v>
      </c>
      <c r="AQ274" s="175">
        <f t="shared" si="151"/>
        <v>0</v>
      </c>
      <c r="AR274" s="175">
        <f t="shared" si="151"/>
        <v>0</v>
      </c>
      <c r="AS274" s="175">
        <f t="shared" si="151"/>
        <v>0</v>
      </c>
      <c r="AT274" s="175">
        <f t="shared" si="151"/>
        <v>0</v>
      </c>
      <c r="AU274" s="175">
        <f t="shared" si="151"/>
        <v>0</v>
      </c>
      <c r="AV274" s="175">
        <f t="shared" si="151"/>
        <v>0</v>
      </c>
      <c r="AW274" s="175">
        <f t="shared" si="151"/>
        <v>0</v>
      </c>
      <c r="AX274" s="175">
        <f t="shared" si="151"/>
        <v>0</v>
      </c>
      <c r="AY274" s="175">
        <f t="shared" si="151"/>
        <v>0</v>
      </c>
      <c r="AZ274" s="175">
        <f t="shared" si="151"/>
        <v>0</v>
      </c>
      <c r="BA274" s="175">
        <f t="shared" si="151"/>
        <v>0</v>
      </c>
      <c r="BB274" s="175">
        <f t="shared" si="151"/>
        <v>0</v>
      </c>
      <c r="BC274" s="175">
        <f t="shared" si="151"/>
        <v>0</v>
      </c>
      <c r="BD274" s="175">
        <f t="shared" si="151"/>
        <v>0</v>
      </c>
      <c r="BE274" s="175">
        <f t="shared" si="151"/>
        <v>0</v>
      </c>
      <c r="BF274" s="175">
        <f t="shared" si="151"/>
        <v>0</v>
      </c>
      <c r="BG274" s="175">
        <f t="shared" si="151"/>
        <v>0</v>
      </c>
      <c r="BH274" s="175">
        <f t="shared" si="151"/>
        <v>0</v>
      </c>
      <c r="BI274" s="175">
        <f t="shared" si="151"/>
        <v>0</v>
      </c>
      <c r="BJ274" s="175">
        <f t="shared" si="151"/>
        <v>0</v>
      </c>
      <c r="BK274" s="175">
        <f t="shared" si="151"/>
        <v>0</v>
      </c>
      <c r="BL274" s="175">
        <f t="shared" si="151"/>
        <v>0</v>
      </c>
      <c r="BM274" s="175">
        <f t="shared" si="151"/>
        <v>0</v>
      </c>
      <c r="BN274" s="175">
        <f t="shared" si="151"/>
        <v>0</v>
      </c>
      <c r="BO274" s="175">
        <f t="shared" si="151"/>
        <v>0</v>
      </c>
      <c r="BP274" s="175">
        <f t="shared" si="151"/>
        <v>0</v>
      </c>
      <c r="BQ274" s="175">
        <f t="shared" si="151"/>
        <v>0</v>
      </c>
      <c r="BR274" s="175">
        <f t="shared" si="151"/>
        <v>0</v>
      </c>
      <c r="BS274" s="175">
        <f t="shared" si="151"/>
        <v>0</v>
      </c>
      <c r="BT274" s="175">
        <f t="shared" si="151"/>
        <v>0</v>
      </c>
      <c r="BU274" s="175">
        <f t="shared" si="151"/>
        <v>0</v>
      </c>
      <c r="BV274" s="175">
        <f t="shared" si="151"/>
        <v>0</v>
      </c>
      <c r="BW274" s="175">
        <f t="shared" si="151"/>
        <v>0</v>
      </c>
      <c r="BX274" s="175">
        <f t="shared" si="151"/>
        <v>0</v>
      </c>
      <c r="BY274" s="175">
        <f t="shared" si="151"/>
        <v>0</v>
      </c>
      <c r="BZ274" s="175">
        <f t="shared" si="151"/>
        <v>0</v>
      </c>
      <c r="CA274" s="175">
        <f t="shared" si="151"/>
        <v>0</v>
      </c>
      <c r="CB274" s="175">
        <f t="shared" si="151"/>
        <v>0</v>
      </c>
      <c r="CC274" s="175">
        <f t="shared" si="151"/>
        <v>0</v>
      </c>
      <c r="CD274" s="175">
        <f t="shared" ref="CD274:CS274" si="152">CD273</f>
        <v>0</v>
      </c>
      <c r="CE274" s="175">
        <f t="shared" si="152"/>
        <v>2292000000</v>
      </c>
      <c r="CF274" s="175">
        <f t="shared" si="152"/>
        <v>1989754980</v>
      </c>
      <c r="CG274" s="175">
        <f t="shared" si="152"/>
        <v>1959639680</v>
      </c>
      <c r="CH274" s="175">
        <f t="shared" si="152"/>
        <v>0</v>
      </c>
      <c r="CI274" s="175">
        <f t="shared" si="152"/>
        <v>0</v>
      </c>
      <c r="CJ274" s="175">
        <f t="shared" si="152"/>
        <v>0</v>
      </c>
      <c r="CK274" s="175">
        <f t="shared" si="152"/>
        <v>578109563</v>
      </c>
      <c r="CL274" s="175">
        <f t="shared" si="152"/>
        <v>578109563</v>
      </c>
      <c r="CM274" s="175">
        <f t="shared" si="152"/>
        <v>578109563</v>
      </c>
      <c r="CN274" s="175">
        <f t="shared" si="152"/>
        <v>0</v>
      </c>
      <c r="CO274" s="175">
        <f t="shared" si="152"/>
        <v>0</v>
      </c>
      <c r="CP274" s="175">
        <f t="shared" si="152"/>
        <v>0</v>
      </c>
      <c r="CQ274" s="175">
        <f t="shared" si="152"/>
        <v>0</v>
      </c>
      <c r="CR274" s="175">
        <f t="shared" si="152"/>
        <v>0</v>
      </c>
      <c r="CS274" s="175">
        <f t="shared" si="152"/>
        <v>0</v>
      </c>
      <c r="CT274" s="855">
        <f>CT273</f>
        <v>2870109563</v>
      </c>
      <c r="CU274" s="175">
        <f>CU273</f>
        <v>2567864543</v>
      </c>
      <c r="CV274" s="175">
        <f>CV273</f>
        <v>2537749243</v>
      </c>
    </row>
    <row r="275" spans="1:100" s="27" customFormat="1" ht="15" x14ac:dyDescent="0.25">
      <c r="A275" s="176"/>
      <c r="B275" s="177"/>
      <c r="C275" s="949"/>
      <c r="D275" s="177"/>
      <c r="E275" s="949"/>
      <c r="F275" s="949"/>
      <c r="G275" s="177"/>
      <c r="H275" s="949"/>
      <c r="I275" s="177"/>
      <c r="J275" s="260"/>
      <c r="K275" s="260"/>
      <c r="L275" s="260"/>
      <c r="M275" s="260"/>
      <c r="N275" s="179"/>
      <c r="O275" s="177"/>
      <c r="P275" s="949"/>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1"/>
      <c r="BH275" s="181"/>
      <c r="BI275" s="181"/>
      <c r="BJ275" s="181"/>
      <c r="BK275" s="181"/>
      <c r="BL275" s="181"/>
      <c r="BM275" s="181"/>
      <c r="BN275" s="181"/>
      <c r="BO275" s="181"/>
      <c r="BP275" s="181"/>
      <c r="BQ275" s="181"/>
      <c r="BR275" s="181"/>
      <c r="BS275" s="181"/>
      <c r="BT275" s="181"/>
      <c r="BU275" s="181"/>
      <c r="BV275" s="181"/>
      <c r="BW275" s="181"/>
      <c r="BX275" s="181"/>
      <c r="BY275" s="180"/>
      <c r="BZ275" s="180"/>
      <c r="CA275" s="180"/>
      <c r="CB275" s="180"/>
      <c r="CC275" s="180"/>
      <c r="CD275" s="180"/>
      <c r="CE275" s="182"/>
      <c r="CF275" s="182"/>
      <c r="CG275" s="182"/>
      <c r="CH275" s="183"/>
      <c r="CI275" s="183"/>
      <c r="CJ275" s="183"/>
      <c r="CK275" s="183"/>
      <c r="CL275" s="183"/>
      <c r="CM275" s="183"/>
      <c r="CN275" s="183"/>
      <c r="CO275" s="183"/>
      <c r="CP275" s="183"/>
      <c r="CQ275" s="183"/>
      <c r="CR275" s="183"/>
      <c r="CS275" s="183"/>
      <c r="CT275" s="746"/>
      <c r="CU275" s="747"/>
      <c r="CV275" s="747"/>
    </row>
    <row r="276" spans="1:100" ht="20.25" x14ac:dyDescent="0.25">
      <c r="A276" s="134" t="s">
        <v>344</v>
      </c>
      <c r="B276" s="348"/>
      <c r="C276" s="349"/>
      <c r="D276" s="348"/>
      <c r="E276" s="348"/>
      <c r="F276" s="348"/>
      <c r="G276" s="348"/>
      <c r="H276" s="349"/>
      <c r="I276" s="348"/>
      <c r="J276" s="348"/>
      <c r="K276" s="348"/>
      <c r="L276" s="348"/>
      <c r="M276" s="348"/>
      <c r="N276" s="687"/>
      <c r="O276" s="348"/>
      <c r="P276" s="349"/>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348"/>
      <c r="AY276" s="348"/>
      <c r="AZ276" s="348"/>
      <c r="BA276" s="348"/>
      <c r="BB276" s="348"/>
      <c r="BC276" s="348"/>
      <c r="BD276" s="348"/>
      <c r="BE276" s="348"/>
      <c r="BF276" s="348"/>
      <c r="BG276" s="348"/>
      <c r="BH276" s="348"/>
      <c r="BI276" s="348"/>
      <c r="BJ276" s="348"/>
      <c r="BK276" s="348"/>
      <c r="BL276" s="348"/>
      <c r="BM276" s="348"/>
      <c r="BN276" s="348"/>
      <c r="BO276" s="348"/>
      <c r="BP276" s="348"/>
      <c r="BQ276" s="348"/>
      <c r="BR276" s="348"/>
      <c r="BS276" s="348"/>
      <c r="BT276" s="348"/>
      <c r="BU276" s="348"/>
      <c r="BV276" s="348"/>
      <c r="BW276" s="348"/>
      <c r="BX276" s="348"/>
      <c r="BY276" s="348"/>
      <c r="BZ276" s="348"/>
      <c r="CA276" s="348"/>
      <c r="CB276" s="348"/>
      <c r="CC276" s="348"/>
      <c r="CD276" s="348"/>
      <c r="CE276" s="350"/>
      <c r="CF276" s="350"/>
      <c r="CG276" s="350"/>
      <c r="CH276" s="351"/>
      <c r="CI276" s="351"/>
      <c r="CJ276" s="351"/>
      <c r="CK276" s="348"/>
      <c r="CL276" s="348"/>
      <c r="CM276" s="348"/>
      <c r="CN276" s="348"/>
      <c r="CO276" s="348"/>
      <c r="CP276" s="348"/>
      <c r="CQ276" s="348"/>
      <c r="CR276" s="348"/>
      <c r="CS276" s="348"/>
      <c r="CT276" s="748"/>
      <c r="CU276" s="748"/>
      <c r="CV276" s="748"/>
    </row>
    <row r="277" spans="1:100" ht="15" x14ac:dyDescent="0.25">
      <c r="A277" s="139">
        <v>1</v>
      </c>
      <c r="B277" s="140" t="s">
        <v>136</v>
      </c>
      <c r="C277" s="141"/>
      <c r="D277" s="140"/>
      <c r="E277" s="140"/>
      <c r="F277" s="140"/>
      <c r="G277" s="140"/>
      <c r="H277" s="141"/>
      <c r="I277" s="140"/>
      <c r="J277" s="140"/>
      <c r="K277" s="140"/>
      <c r="L277" s="140"/>
      <c r="M277" s="140"/>
      <c r="N277" s="676"/>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2"/>
      <c r="CF277" s="142"/>
      <c r="CG277" s="142"/>
      <c r="CH277" s="140"/>
      <c r="CI277" s="140"/>
      <c r="CJ277" s="140"/>
      <c r="CK277" s="140"/>
      <c r="CL277" s="140"/>
      <c r="CM277" s="140"/>
      <c r="CN277" s="140"/>
      <c r="CO277" s="140"/>
      <c r="CP277" s="140"/>
      <c r="CQ277" s="140"/>
      <c r="CR277" s="140"/>
      <c r="CS277" s="140"/>
      <c r="CT277" s="540"/>
      <c r="CU277" s="540"/>
      <c r="CV277" s="540"/>
    </row>
    <row r="278" spans="1:100" ht="15" x14ac:dyDescent="0.25">
      <c r="A278" s="185"/>
      <c r="B278" s="262">
        <v>1</v>
      </c>
      <c r="C278" s="147" t="s">
        <v>137</v>
      </c>
      <c r="D278" s="146"/>
      <c r="E278" s="146"/>
      <c r="F278" s="146"/>
      <c r="G278" s="146"/>
      <c r="H278" s="147"/>
      <c r="I278" s="146"/>
      <c r="J278" s="146"/>
      <c r="K278" s="146"/>
      <c r="L278" s="146"/>
      <c r="M278" s="146"/>
      <c r="N278" s="677"/>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c r="BV278" s="146"/>
      <c r="BW278" s="146"/>
      <c r="BX278" s="146"/>
      <c r="BY278" s="146"/>
      <c r="BZ278" s="146"/>
      <c r="CA278" s="146"/>
      <c r="CB278" s="146"/>
      <c r="CC278" s="146"/>
      <c r="CD278" s="146"/>
      <c r="CE278" s="148"/>
      <c r="CF278" s="148"/>
      <c r="CG278" s="148"/>
      <c r="CH278" s="146"/>
      <c r="CI278" s="146"/>
      <c r="CJ278" s="146"/>
      <c r="CK278" s="146"/>
      <c r="CL278" s="146"/>
      <c r="CM278" s="146"/>
      <c r="CN278" s="146"/>
      <c r="CO278" s="146"/>
      <c r="CP278" s="146"/>
      <c r="CQ278" s="146"/>
      <c r="CR278" s="146"/>
      <c r="CS278" s="146"/>
      <c r="CT278" s="526"/>
      <c r="CU278" s="526"/>
      <c r="CV278" s="526"/>
    </row>
    <row r="279" spans="1:100" ht="15" x14ac:dyDescent="0.25">
      <c r="A279" s="19"/>
      <c r="B279" s="185"/>
      <c r="C279" s="930"/>
      <c r="D279" s="221"/>
      <c r="E279" s="930"/>
      <c r="F279" s="926"/>
      <c r="G279" s="339">
        <v>1</v>
      </c>
      <c r="H279" s="922" t="s">
        <v>345</v>
      </c>
      <c r="I279" s="189"/>
      <c r="J279" s="189"/>
      <c r="K279" s="189"/>
      <c r="L279" s="189"/>
      <c r="M279" s="189"/>
      <c r="N279" s="678"/>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c r="BY279" s="189"/>
      <c r="BZ279" s="189"/>
      <c r="CA279" s="189"/>
      <c r="CB279" s="189"/>
      <c r="CC279" s="189"/>
      <c r="CD279" s="189"/>
      <c r="CE279" s="857"/>
      <c r="CF279" s="190"/>
      <c r="CG279" s="190"/>
      <c r="CH279" s="189"/>
      <c r="CI279" s="189"/>
      <c r="CJ279" s="189"/>
      <c r="CK279" s="189"/>
      <c r="CL279" s="189"/>
      <c r="CM279" s="189"/>
      <c r="CN279" s="189"/>
      <c r="CO279" s="189"/>
      <c r="CP279" s="189"/>
      <c r="CQ279" s="189"/>
      <c r="CR279" s="189"/>
      <c r="CS279" s="189"/>
      <c r="CT279" s="522"/>
      <c r="CU279" s="522"/>
      <c r="CV279" s="522"/>
    </row>
    <row r="280" spans="1:100" s="27" customFormat="1" ht="53.25" customHeight="1" x14ac:dyDescent="0.25">
      <c r="A280" s="19"/>
      <c r="B280" s="18"/>
      <c r="C280" s="915">
        <v>1</v>
      </c>
      <c r="D280" s="918" t="s">
        <v>346</v>
      </c>
      <c r="E280" s="352" t="s">
        <v>30</v>
      </c>
      <c r="F280" s="353">
        <v>15000</v>
      </c>
      <c r="G280" s="99"/>
      <c r="H280" s="929">
        <v>1</v>
      </c>
      <c r="I280" s="928" t="s">
        <v>347</v>
      </c>
      <c r="J280" s="10">
        <v>0</v>
      </c>
      <c r="K280" s="10">
        <v>1</v>
      </c>
      <c r="L280" s="647">
        <v>1</v>
      </c>
      <c r="M280" s="1137" t="s">
        <v>348</v>
      </c>
      <c r="N280" s="1017" t="s">
        <v>349</v>
      </c>
      <c r="O280" s="1012" t="s">
        <v>350</v>
      </c>
      <c r="P280" s="929" t="s">
        <v>38</v>
      </c>
      <c r="Q280" s="25">
        <v>0</v>
      </c>
      <c r="R280" s="25"/>
      <c r="S280" s="25"/>
      <c r="T280" s="25">
        <v>0</v>
      </c>
      <c r="U280" s="25"/>
      <c r="V280" s="25"/>
      <c r="W280" s="25">
        <v>0</v>
      </c>
      <c r="X280" s="25"/>
      <c r="Y280" s="25"/>
      <c r="Z280" s="25">
        <v>0</v>
      </c>
      <c r="AA280" s="25"/>
      <c r="AB280" s="25"/>
      <c r="AC280" s="25">
        <v>0</v>
      </c>
      <c r="AD280" s="25"/>
      <c r="AE280" s="25"/>
      <c r="AF280" s="25">
        <v>0</v>
      </c>
      <c r="AG280" s="25"/>
      <c r="AH280" s="25"/>
      <c r="AI280" s="25">
        <v>0</v>
      </c>
      <c r="AJ280" s="25"/>
      <c r="AK280" s="25"/>
      <c r="AL280" s="25"/>
      <c r="AM280" s="25"/>
      <c r="AN280" s="25"/>
      <c r="AO280" s="25"/>
      <c r="AP280" s="25"/>
      <c r="AQ280" s="25"/>
      <c r="AR280" s="25"/>
      <c r="AS280" s="25"/>
      <c r="AT280" s="25"/>
      <c r="AU280" s="25">
        <v>0</v>
      </c>
      <c r="AV280" s="25"/>
      <c r="AW280" s="25"/>
      <c r="AX280" s="25"/>
      <c r="AY280" s="25"/>
      <c r="AZ280" s="25"/>
      <c r="BA280" s="25">
        <v>0</v>
      </c>
      <c r="BB280" s="25"/>
      <c r="BC280" s="25"/>
      <c r="BD280" s="25">
        <v>0</v>
      </c>
      <c r="BE280" s="25"/>
      <c r="BF280" s="25"/>
      <c r="BG280" s="25"/>
      <c r="BH280" s="25"/>
      <c r="BI280" s="25"/>
      <c r="BJ280" s="25"/>
      <c r="BK280" s="25"/>
      <c r="BL280" s="25"/>
      <c r="BM280" s="25"/>
      <c r="BN280" s="25"/>
      <c r="BO280" s="25"/>
      <c r="BP280" s="25"/>
      <c r="BQ280" s="25"/>
      <c r="BR280" s="25"/>
      <c r="BS280" s="25"/>
      <c r="BT280" s="25"/>
      <c r="BU280" s="25"/>
      <c r="BV280" s="25"/>
      <c r="BW280" s="25"/>
      <c r="BX280" s="25"/>
      <c r="BY280" s="25">
        <v>0</v>
      </c>
      <c r="BZ280" s="25"/>
      <c r="CA280" s="25"/>
      <c r="CB280" s="25">
        <v>0</v>
      </c>
      <c r="CC280" s="26"/>
      <c r="CD280" s="26"/>
      <c r="CE280" s="858">
        <v>32500000</v>
      </c>
      <c r="CF280" s="354">
        <v>25140004</v>
      </c>
      <c r="CG280" s="354">
        <v>25140004</v>
      </c>
      <c r="CH280" s="355"/>
      <c r="CI280" s="355"/>
      <c r="CJ280" s="355"/>
      <c r="CK280" s="25">
        <v>0</v>
      </c>
      <c r="CL280" s="26"/>
      <c r="CM280" s="26"/>
      <c r="CN280" s="26">
        <v>0</v>
      </c>
      <c r="CO280" s="26"/>
      <c r="CP280" s="26"/>
      <c r="CQ280" s="26"/>
      <c r="CR280" s="26"/>
      <c r="CS280" s="26"/>
      <c r="CT280" s="25">
        <f t="shared" ref="CT280:CV285" si="153">Q280+T280+W280+Z280+AC280+AF280+AI280+AL280+AO280+AR280+AU280+AX280+BA280+BD280+BG280+BJ280+BM280+BP280+BS280+BV280+BY280+CB280+CE280+CH280+CK280+CQ280+CN280</f>
        <v>32500000</v>
      </c>
      <c r="CU280" s="25">
        <f t="shared" si="153"/>
        <v>25140004</v>
      </c>
      <c r="CV280" s="25">
        <f t="shared" si="153"/>
        <v>25140004</v>
      </c>
    </row>
    <row r="281" spans="1:100" s="27" customFormat="1" ht="55.5" customHeight="1" x14ac:dyDescent="0.25">
      <c r="A281" s="19"/>
      <c r="B281" s="18"/>
      <c r="C281" s="915">
        <v>2</v>
      </c>
      <c r="D281" s="918" t="s">
        <v>351</v>
      </c>
      <c r="E281" s="915" t="s">
        <v>352</v>
      </c>
      <c r="F281" s="915" t="s">
        <v>352</v>
      </c>
      <c r="G281" s="100"/>
      <c r="H281" s="929">
        <v>2</v>
      </c>
      <c r="I281" s="928" t="s">
        <v>353</v>
      </c>
      <c r="J281" s="10">
        <v>3</v>
      </c>
      <c r="K281" s="10">
        <v>4</v>
      </c>
      <c r="L281" s="647">
        <v>4</v>
      </c>
      <c r="M281" s="1138"/>
      <c r="N281" s="1018"/>
      <c r="O281" s="1020"/>
      <c r="P281" s="929" t="s">
        <v>38</v>
      </c>
      <c r="Q281" s="25">
        <v>0</v>
      </c>
      <c r="R281" s="25"/>
      <c r="S281" s="25"/>
      <c r="T281" s="25">
        <v>0</v>
      </c>
      <c r="U281" s="25"/>
      <c r="V281" s="25"/>
      <c r="W281" s="25">
        <v>0</v>
      </c>
      <c r="X281" s="25"/>
      <c r="Y281" s="25"/>
      <c r="Z281" s="25">
        <v>0</v>
      </c>
      <c r="AA281" s="25"/>
      <c r="AB281" s="25"/>
      <c r="AC281" s="25">
        <v>0</v>
      </c>
      <c r="AD281" s="25"/>
      <c r="AE281" s="25"/>
      <c r="AF281" s="25">
        <v>0</v>
      </c>
      <c r="AG281" s="25"/>
      <c r="AH281" s="25"/>
      <c r="AI281" s="25">
        <v>0</v>
      </c>
      <c r="AJ281" s="25"/>
      <c r="AK281" s="25"/>
      <c r="AL281" s="25"/>
      <c r="AM281" s="25"/>
      <c r="AN281" s="25"/>
      <c r="AO281" s="25"/>
      <c r="AP281" s="25"/>
      <c r="AQ281" s="25"/>
      <c r="AR281" s="25"/>
      <c r="AS281" s="25"/>
      <c r="AT281" s="25"/>
      <c r="AU281" s="25">
        <v>0</v>
      </c>
      <c r="AV281" s="25"/>
      <c r="AW281" s="25"/>
      <c r="AX281" s="25"/>
      <c r="AY281" s="25"/>
      <c r="AZ281" s="25"/>
      <c r="BA281" s="25">
        <v>0</v>
      </c>
      <c r="BB281" s="25"/>
      <c r="BC281" s="25"/>
      <c r="BD281" s="25">
        <v>0</v>
      </c>
      <c r="BE281" s="25"/>
      <c r="BF281" s="25"/>
      <c r="BG281" s="25"/>
      <c r="BH281" s="25"/>
      <c r="BI281" s="25"/>
      <c r="BJ281" s="25"/>
      <c r="BK281" s="25"/>
      <c r="BL281" s="25"/>
      <c r="BM281" s="25"/>
      <c r="BN281" s="25"/>
      <c r="BO281" s="25"/>
      <c r="BP281" s="25"/>
      <c r="BQ281" s="25"/>
      <c r="BR281" s="25"/>
      <c r="BS281" s="25"/>
      <c r="BT281" s="25"/>
      <c r="BU281" s="25"/>
      <c r="BV281" s="25"/>
      <c r="BW281" s="25"/>
      <c r="BX281" s="25"/>
      <c r="BY281" s="25">
        <v>0</v>
      </c>
      <c r="BZ281" s="25"/>
      <c r="CA281" s="25"/>
      <c r="CB281" s="25">
        <v>0</v>
      </c>
      <c r="CC281" s="26"/>
      <c r="CD281" s="26"/>
      <c r="CE281" s="858">
        <v>17500000</v>
      </c>
      <c r="CF281" s="354">
        <v>17500000</v>
      </c>
      <c r="CG281" s="354">
        <v>17500000</v>
      </c>
      <c r="CH281" s="355"/>
      <c r="CI281" s="355"/>
      <c r="CJ281" s="355"/>
      <c r="CK281" s="25">
        <v>0</v>
      </c>
      <c r="CL281" s="26"/>
      <c r="CM281" s="26"/>
      <c r="CN281" s="26">
        <v>0</v>
      </c>
      <c r="CO281" s="26"/>
      <c r="CP281" s="26"/>
      <c r="CQ281" s="26"/>
      <c r="CR281" s="26"/>
      <c r="CS281" s="26"/>
      <c r="CT281" s="25">
        <f t="shared" si="153"/>
        <v>17500000</v>
      </c>
      <c r="CU281" s="25">
        <f t="shared" si="153"/>
        <v>17500000</v>
      </c>
      <c r="CV281" s="25">
        <f t="shared" si="153"/>
        <v>17500000</v>
      </c>
    </row>
    <row r="282" spans="1:100" s="27" customFormat="1" ht="57" x14ac:dyDescent="0.25">
      <c r="A282" s="19"/>
      <c r="B282" s="18"/>
      <c r="C282" s="915"/>
      <c r="D282" s="918"/>
      <c r="E282" s="915"/>
      <c r="F282" s="915"/>
      <c r="G282" s="100"/>
      <c r="H282" s="929">
        <v>3</v>
      </c>
      <c r="I282" s="928" t="s">
        <v>354</v>
      </c>
      <c r="J282" s="10">
        <v>1</v>
      </c>
      <c r="K282" s="10">
        <v>1</v>
      </c>
      <c r="L282" s="647">
        <v>1</v>
      </c>
      <c r="M282" s="1138"/>
      <c r="N282" s="1018"/>
      <c r="O282" s="1020"/>
      <c r="P282" s="929" t="s">
        <v>38</v>
      </c>
      <c r="Q282" s="25">
        <v>0</v>
      </c>
      <c r="R282" s="25"/>
      <c r="S282" s="25"/>
      <c r="T282" s="25">
        <v>0</v>
      </c>
      <c r="U282" s="25"/>
      <c r="V282" s="25"/>
      <c r="W282" s="25">
        <v>0</v>
      </c>
      <c r="X282" s="25"/>
      <c r="Y282" s="25"/>
      <c r="Z282" s="25">
        <v>0</v>
      </c>
      <c r="AA282" s="25"/>
      <c r="AB282" s="25"/>
      <c r="AC282" s="25">
        <v>0</v>
      </c>
      <c r="AD282" s="25"/>
      <c r="AE282" s="25"/>
      <c r="AF282" s="25">
        <v>0</v>
      </c>
      <c r="AG282" s="25"/>
      <c r="AH282" s="25"/>
      <c r="AI282" s="25">
        <v>0</v>
      </c>
      <c r="AJ282" s="25"/>
      <c r="AK282" s="25"/>
      <c r="AL282" s="25"/>
      <c r="AM282" s="25"/>
      <c r="AN282" s="25"/>
      <c r="AO282" s="25"/>
      <c r="AP282" s="25"/>
      <c r="AQ282" s="25"/>
      <c r="AR282" s="25"/>
      <c r="AS282" s="25"/>
      <c r="AT282" s="25"/>
      <c r="AU282" s="25">
        <v>0</v>
      </c>
      <c r="AV282" s="25"/>
      <c r="AW282" s="25"/>
      <c r="AX282" s="25"/>
      <c r="AY282" s="25"/>
      <c r="AZ282" s="25"/>
      <c r="BA282" s="25">
        <v>0</v>
      </c>
      <c r="BB282" s="25"/>
      <c r="BC282" s="25"/>
      <c r="BD282" s="25">
        <v>0</v>
      </c>
      <c r="BE282" s="25"/>
      <c r="BF282" s="25"/>
      <c r="BG282" s="25"/>
      <c r="BH282" s="25"/>
      <c r="BI282" s="25"/>
      <c r="BJ282" s="25"/>
      <c r="BK282" s="25"/>
      <c r="BL282" s="25"/>
      <c r="BM282" s="25"/>
      <c r="BN282" s="25"/>
      <c r="BO282" s="25"/>
      <c r="BP282" s="25"/>
      <c r="BQ282" s="25"/>
      <c r="BR282" s="25"/>
      <c r="BS282" s="25"/>
      <c r="BT282" s="25"/>
      <c r="BU282" s="25"/>
      <c r="BV282" s="25"/>
      <c r="BW282" s="25"/>
      <c r="BX282" s="25"/>
      <c r="BY282" s="25">
        <v>0</v>
      </c>
      <c r="BZ282" s="25"/>
      <c r="CA282" s="25"/>
      <c r="CB282" s="25">
        <v>0</v>
      </c>
      <c r="CC282" s="26"/>
      <c r="CD282" s="26"/>
      <c r="CE282" s="858">
        <v>11000000</v>
      </c>
      <c r="CF282" s="354">
        <v>11000000</v>
      </c>
      <c r="CG282" s="354">
        <v>11000000</v>
      </c>
      <c r="CH282" s="355"/>
      <c r="CI282" s="355"/>
      <c r="CJ282" s="355"/>
      <c r="CK282" s="25">
        <v>0</v>
      </c>
      <c r="CL282" s="26"/>
      <c r="CM282" s="26"/>
      <c r="CN282" s="26">
        <v>0</v>
      </c>
      <c r="CO282" s="26"/>
      <c r="CP282" s="26"/>
      <c r="CQ282" s="26"/>
      <c r="CR282" s="26"/>
      <c r="CS282" s="26"/>
      <c r="CT282" s="25">
        <f t="shared" si="153"/>
        <v>11000000</v>
      </c>
      <c r="CU282" s="25">
        <f t="shared" si="153"/>
        <v>11000000</v>
      </c>
      <c r="CV282" s="25">
        <f t="shared" si="153"/>
        <v>11000000</v>
      </c>
    </row>
    <row r="283" spans="1:100" s="27" customFormat="1" ht="57" x14ac:dyDescent="0.25">
      <c r="A283" s="19"/>
      <c r="B283" s="18"/>
      <c r="C283" s="915"/>
      <c r="D283" s="918"/>
      <c r="E283" s="915"/>
      <c r="F283" s="915"/>
      <c r="G283" s="100"/>
      <c r="H283" s="929">
        <v>4</v>
      </c>
      <c r="I283" s="928" t="s">
        <v>917</v>
      </c>
      <c r="J283" s="10">
        <v>0</v>
      </c>
      <c r="K283" s="10">
        <v>1</v>
      </c>
      <c r="L283" s="647">
        <v>1</v>
      </c>
      <c r="M283" s="1138"/>
      <c r="N283" s="1018"/>
      <c r="O283" s="1020"/>
      <c r="P283" s="929" t="s">
        <v>38</v>
      </c>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6"/>
      <c r="CD283" s="26"/>
      <c r="CE283" s="858">
        <v>20000000</v>
      </c>
      <c r="CF283" s="354">
        <v>19910000</v>
      </c>
      <c r="CG283" s="354">
        <v>19910000</v>
      </c>
      <c r="CH283" s="355"/>
      <c r="CI283" s="355"/>
      <c r="CJ283" s="355"/>
      <c r="CK283" s="25"/>
      <c r="CL283" s="26"/>
      <c r="CM283" s="26"/>
      <c r="CN283" s="26"/>
      <c r="CO283" s="26"/>
      <c r="CP283" s="26"/>
      <c r="CQ283" s="26"/>
      <c r="CR283" s="26"/>
      <c r="CS283" s="26"/>
      <c r="CT283" s="25">
        <f t="shared" si="153"/>
        <v>20000000</v>
      </c>
      <c r="CU283" s="25">
        <f t="shared" si="153"/>
        <v>19910000</v>
      </c>
      <c r="CV283" s="25">
        <f t="shared" si="153"/>
        <v>19910000</v>
      </c>
    </row>
    <row r="284" spans="1:100" s="27" customFormat="1" ht="81" customHeight="1" x14ac:dyDescent="0.25">
      <c r="A284" s="19"/>
      <c r="B284" s="18"/>
      <c r="C284" s="915">
        <v>3</v>
      </c>
      <c r="D284" s="918" t="s">
        <v>355</v>
      </c>
      <c r="E284" s="915" t="s">
        <v>356</v>
      </c>
      <c r="F284" s="915" t="s">
        <v>141</v>
      </c>
      <c r="G284" s="100"/>
      <c r="H284" s="929">
        <v>5</v>
      </c>
      <c r="I284" s="928" t="s">
        <v>357</v>
      </c>
      <c r="J284" s="10">
        <v>3</v>
      </c>
      <c r="K284" s="10">
        <v>2</v>
      </c>
      <c r="L284" s="647">
        <v>2</v>
      </c>
      <c r="M284" s="1138"/>
      <c r="N284" s="1018"/>
      <c r="O284" s="1020"/>
      <c r="P284" s="929" t="s">
        <v>34</v>
      </c>
      <c r="Q284" s="25">
        <v>0</v>
      </c>
      <c r="R284" s="25"/>
      <c r="S284" s="25"/>
      <c r="T284" s="25">
        <v>0</v>
      </c>
      <c r="U284" s="25"/>
      <c r="V284" s="25"/>
      <c r="W284" s="25">
        <v>0</v>
      </c>
      <c r="X284" s="25"/>
      <c r="Y284" s="25"/>
      <c r="Z284" s="25">
        <v>0</v>
      </c>
      <c r="AA284" s="25"/>
      <c r="AB284" s="25"/>
      <c r="AC284" s="25">
        <v>0</v>
      </c>
      <c r="AD284" s="25"/>
      <c r="AE284" s="25"/>
      <c r="AF284" s="25">
        <v>0</v>
      </c>
      <c r="AG284" s="25"/>
      <c r="AH284" s="25"/>
      <c r="AI284" s="25">
        <v>0</v>
      </c>
      <c r="AJ284" s="25"/>
      <c r="AK284" s="25"/>
      <c r="AL284" s="25"/>
      <c r="AM284" s="25"/>
      <c r="AN284" s="25"/>
      <c r="AO284" s="25"/>
      <c r="AP284" s="25"/>
      <c r="AQ284" s="25"/>
      <c r="AR284" s="25"/>
      <c r="AS284" s="25"/>
      <c r="AT284" s="25"/>
      <c r="AU284" s="25">
        <v>0</v>
      </c>
      <c r="AV284" s="25"/>
      <c r="AW284" s="25"/>
      <c r="AX284" s="25"/>
      <c r="AY284" s="25"/>
      <c r="AZ284" s="25"/>
      <c r="BA284" s="25">
        <v>0</v>
      </c>
      <c r="BB284" s="25"/>
      <c r="BC284" s="25"/>
      <c r="BD284" s="25">
        <v>0</v>
      </c>
      <c r="BE284" s="25"/>
      <c r="BF284" s="25"/>
      <c r="BG284" s="25"/>
      <c r="BH284" s="25"/>
      <c r="BI284" s="25"/>
      <c r="BJ284" s="25"/>
      <c r="BK284" s="25"/>
      <c r="BL284" s="25"/>
      <c r="BM284" s="25"/>
      <c r="BN284" s="25"/>
      <c r="BO284" s="25"/>
      <c r="BP284" s="25"/>
      <c r="BQ284" s="25"/>
      <c r="BR284" s="25"/>
      <c r="BS284" s="25"/>
      <c r="BT284" s="25"/>
      <c r="BU284" s="25"/>
      <c r="BV284" s="25"/>
      <c r="BW284" s="25"/>
      <c r="BX284" s="25"/>
      <c r="BY284" s="25">
        <v>0</v>
      </c>
      <c r="BZ284" s="25"/>
      <c r="CA284" s="25"/>
      <c r="CB284" s="25">
        <v>0</v>
      </c>
      <c r="CC284" s="26"/>
      <c r="CD284" s="26"/>
      <c r="CE284" s="858">
        <f>7500000+10500000+50000000</f>
        <v>68000000</v>
      </c>
      <c r="CF284" s="354">
        <v>68000216</v>
      </c>
      <c r="CG284" s="354">
        <v>67996616</v>
      </c>
      <c r="CH284" s="355"/>
      <c r="CI284" s="355"/>
      <c r="CJ284" s="355"/>
      <c r="CK284" s="25">
        <v>0</v>
      </c>
      <c r="CL284" s="26"/>
      <c r="CM284" s="26"/>
      <c r="CN284" s="26">
        <v>0</v>
      </c>
      <c r="CO284" s="26"/>
      <c r="CP284" s="26"/>
      <c r="CQ284" s="26"/>
      <c r="CR284" s="26"/>
      <c r="CS284" s="26"/>
      <c r="CT284" s="25">
        <f t="shared" si="153"/>
        <v>68000000</v>
      </c>
      <c r="CU284" s="25">
        <f t="shared" si="153"/>
        <v>68000216</v>
      </c>
      <c r="CV284" s="25">
        <f t="shared" si="153"/>
        <v>67996616</v>
      </c>
    </row>
    <row r="285" spans="1:100" s="346" customFormat="1" ht="71.25" customHeight="1" x14ac:dyDescent="0.25">
      <c r="A285" s="19"/>
      <c r="B285" s="18"/>
      <c r="C285" s="916"/>
      <c r="D285" s="29"/>
      <c r="E285" s="916"/>
      <c r="F285" s="916"/>
      <c r="G285" s="102"/>
      <c r="H285" s="929">
        <v>6</v>
      </c>
      <c r="I285" s="928" t="s">
        <v>358</v>
      </c>
      <c r="J285" s="10">
        <v>3</v>
      </c>
      <c r="K285" s="10">
        <v>12</v>
      </c>
      <c r="L285" s="647">
        <v>12</v>
      </c>
      <c r="M285" s="1139"/>
      <c r="N285" s="1019"/>
      <c r="O285" s="1013"/>
      <c r="P285" s="929" t="s">
        <v>38</v>
      </c>
      <c r="Q285" s="25">
        <v>0</v>
      </c>
      <c r="R285" s="25"/>
      <c r="S285" s="25"/>
      <c r="T285" s="25">
        <v>0</v>
      </c>
      <c r="U285" s="25"/>
      <c r="V285" s="25"/>
      <c r="W285" s="25">
        <v>0</v>
      </c>
      <c r="X285" s="25"/>
      <c r="Y285" s="25"/>
      <c r="Z285" s="25">
        <v>0</v>
      </c>
      <c r="AA285" s="25"/>
      <c r="AB285" s="25"/>
      <c r="AC285" s="25">
        <v>0</v>
      </c>
      <c r="AD285" s="25"/>
      <c r="AE285" s="25"/>
      <c r="AF285" s="25">
        <v>0</v>
      </c>
      <c r="AG285" s="25"/>
      <c r="AH285" s="25"/>
      <c r="AI285" s="25">
        <v>0</v>
      </c>
      <c r="AJ285" s="25"/>
      <c r="AK285" s="25"/>
      <c r="AL285" s="25"/>
      <c r="AM285" s="25"/>
      <c r="AN285" s="25"/>
      <c r="AO285" s="25"/>
      <c r="AP285" s="25"/>
      <c r="AQ285" s="25"/>
      <c r="AR285" s="25"/>
      <c r="AS285" s="25"/>
      <c r="AT285" s="25"/>
      <c r="AU285" s="25">
        <v>0</v>
      </c>
      <c r="AV285" s="25"/>
      <c r="AW285" s="25"/>
      <c r="AX285" s="25"/>
      <c r="AY285" s="25"/>
      <c r="AZ285" s="25"/>
      <c r="BA285" s="25">
        <v>0</v>
      </c>
      <c r="BB285" s="25"/>
      <c r="BC285" s="25"/>
      <c r="BD285" s="25">
        <v>0</v>
      </c>
      <c r="BE285" s="25"/>
      <c r="BF285" s="25"/>
      <c r="BG285" s="25"/>
      <c r="BH285" s="25"/>
      <c r="BI285" s="25"/>
      <c r="BJ285" s="25"/>
      <c r="BK285" s="25"/>
      <c r="BL285" s="25"/>
      <c r="BM285" s="25"/>
      <c r="BN285" s="25"/>
      <c r="BO285" s="25"/>
      <c r="BP285" s="25"/>
      <c r="BQ285" s="25"/>
      <c r="BR285" s="25"/>
      <c r="BS285" s="25"/>
      <c r="BT285" s="25"/>
      <c r="BU285" s="25"/>
      <c r="BV285" s="25"/>
      <c r="BW285" s="25"/>
      <c r="BX285" s="25"/>
      <c r="BY285" s="25">
        <v>0</v>
      </c>
      <c r="BZ285" s="25"/>
      <c r="CA285" s="25"/>
      <c r="CB285" s="25">
        <v>0</v>
      </c>
      <c r="CC285" s="25"/>
      <c r="CD285" s="25"/>
      <c r="CE285" s="127">
        <f>11250000-250000</f>
        <v>11000000</v>
      </c>
      <c r="CF285" s="110">
        <v>5973290</v>
      </c>
      <c r="CG285" s="110">
        <v>5973290</v>
      </c>
      <c r="CH285" s="356"/>
      <c r="CI285" s="356"/>
      <c r="CJ285" s="356"/>
      <c r="CK285" s="25">
        <v>0</v>
      </c>
      <c r="CL285" s="26"/>
      <c r="CM285" s="26"/>
      <c r="CN285" s="26">
        <v>0</v>
      </c>
      <c r="CO285" s="26"/>
      <c r="CP285" s="26"/>
      <c r="CQ285" s="26"/>
      <c r="CR285" s="26"/>
      <c r="CS285" s="26"/>
      <c r="CT285" s="25">
        <f t="shared" si="153"/>
        <v>11000000</v>
      </c>
      <c r="CU285" s="25">
        <f t="shared" si="153"/>
        <v>5973290</v>
      </c>
      <c r="CV285" s="25">
        <f t="shared" si="153"/>
        <v>5973290</v>
      </c>
    </row>
    <row r="286" spans="1:100" ht="15" x14ac:dyDescent="0.25">
      <c r="A286" s="19"/>
      <c r="B286" s="19"/>
      <c r="C286" s="927"/>
      <c r="D286" s="928"/>
      <c r="E286" s="929"/>
      <c r="F286" s="929"/>
      <c r="G286" s="154"/>
      <c r="H286" s="155"/>
      <c r="I286" s="154"/>
      <c r="J286" s="249"/>
      <c r="K286" s="249"/>
      <c r="L286" s="249"/>
      <c r="M286" s="249"/>
      <c r="N286" s="157"/>
      <c r="O286" s="154"/>
      <c r="P286" s="155"/>
      <c r="Q286" s="158">
        <f>SUM(Q280:Q285)</f>
        <v>0</v>
      </c>
      <c r="R286" s="158">
        <f t="shared" ref="R286:CC286" si="154">SUM(R280:R285)</f>
        <v>0</v>
      </c>
      <c r="S286" s="158">
        <f t="shared" si="154"/>
        <v>0</v>
      </c>
      <c r="T286" s="158">
        <f t="shared" si="154"/>
        <v>0</v>
      </c>
      <c r="U286" s="158">
        <f t="shared" si="154"/>
        <v>0</v>
      </c>
      <c r="V286" s="158">
        <f t="shared" si="154"/>
        <v>0</v>
      </c>
      <c r="W286" s="158">
        <f t="shared" si="154"/>
        <v>0</v>
      </c>
      <c r="X286" s="158">
        <f t="shared" si="154"/>
        <v>0</v>
      </c>
      <c r="Y286" s="158">
        <f t="shared" si="154"/>
        <v>0</v>
      </c>
      <c r="Z286" s="158">
        <f t="shared" si="154"/>
        <v>0</v>
      </c>
      <c r="AA286" s="158">
        <f t="shared" si="154"/>
        <v>0</v>
      </c>
      <c r="AB286" s="158">
        <f t="shared" si="154"/>
        <v>0</v>
      </c>
      <c r="AC286" s="158">
        <f t="shared" si="154"/>
        <v>0</v>
      </c>
      <c r="AD286" s="158">
        <f t="shared" si="154"/>
        <v>0</v>
      </c>
      <c r="AE286" s="158">
        <f t="shared" si="154"/>
        <v>0</v>
      </c>
      <c r="AF286" s="158">
        <f t="shared" si="154"/>
        <v>0</v>
      </c>
      <c r="AG286" s="158">
        <f t="shared" si="154"/>
        <v>0</v>
      </c>
      <c r="AH286" s="158">
        <f t="shared" si="154"/>
        <v>0</v>
      </c>
      <c r="AI286" s="158">
        <f t="shared" si="154"/>
        <v>0</v>
      </c>
      <c r="AJ286" s="158">
        <f t="shared" si="154"/>
        <v>0</v>
      </c>
      <c r="AK286" s="158">
        <f t="shared" si="154"/>
        <v>0</v>
      </c>
      <c r="AL286" s="158">
        <f t="shared" si="154"/>
        <v>0</v>
      </c>
      <c r="AM286" s="158">
        <f t="shared" si="154"/>
        <v>0</v>
      </c>
      <c r="AN286" s="158">
        <f t="shared" si="154"/>
        <v>0</v>
      </c>
      <c r="AO286" s="158">
        <f t="shared" si="154"/>
        <v>0</v>
      </c>
      <c r="AP286" s="158">
        <f t="shared" si="154"/>
        <v>0</v>
      </c>
      <c r="AQ286" s="158">
        <f t="shared" si="154"/>
        <v>0</v>
      </c>
      <c r="AR286" s="158">
        <f t="shared" si="154"/>
        <v>0</v>
      </c>
      <c r="AS286" s="158">
        <f t="shared" si="154"/>
        <v>0</v>
      </c>
      <c r="AT286" s="158">
        <f t="shared" si="154"/>
        <v>0</v>
      </c>
      <c r="AU286" s="158">
        <f t="shared" si="154"/>
        <v>0</v>
      </c>
      <c r="AV286" s="158">
        <f t="shared" si="154"/>
        <v>0</v>
      </c>
      <c r="AW286" s="158">
        <f t="shared" si="154"/>
        <v>0</v>
      </c>
      <c r="AX286" s="158">
        <f t="shared" si="154"/>
        <v>0</v>
      </c>
      <c r="AY286" s="158">
        <f t="shared" si="154"/>
        <v>0</v>
      </c>
      <c r="AZ286" s="158">
        <f t="shared" si="154"/>
        <v>0</v>
      </c>
      <c r="BA286" s="158">
        <f t="shared" si="154"/>
        <v>0</v>
      </c>
      <c r="BB286" s="158">
        <f t="shared" si="154"/>
        <v>0</v>
      </c>
      <c r="BC286" s="158">
        <f t="shared" si="154"/>
        <v>0</v>
      </c>
      <c r="BD286" s="158">
        <f t="shared" si="154"/>
        <v>0</v>
      </c>
      <c r="BE286" s="158">
        <f t="shared" si="154"/>
        <v>0</v>
      </c>
      <c r="BF286" s="158">
        <f t="shared" si="154"/>
        <v>0</v>
      </c>
      <c r="BG286" s="158">
        <f t="shared" si="154"/>
        <v>0</v>
      </c>
      <c r="BH286" s="158">
        <f t="shared" si="154"/>
        <v>0</v>
      </c>
      <c r="BI286" s="158">
        <f t="shared" si="154"/>
        <v>0</v>
      </c>
      <c r="BJ286" s="158">
        <f t="shared" si="154"/>
        <v>0</v>
      </c>
      <c r="BK286" s="158">
        <f t="shared" si="154"/>
        <v>0</v>
      </c>
      <c r="BL286" s="158">
        <f t="shared" si="154"/>
        <v>0</v>
      </c>
      <c r="BM286" s="158">
        <f t="shared" si="154"/>
        <v>0</v>
      </c>
      <c r="BN286" s="158">
        <f t="shared" si="154"/>
        <v>0</v>
      </c>
      <c r="BO286" s="158">
        <f t="shared" si="154"/>
        <v>0</v>
      </c>
      <c r="BP286" s="158">
        <f t="shared" si="154"/>
        <v>0</v>
      </c>
      <c r="BQ286" s="158">
        <f t="shared" si="154"/>
        <v>0</v>
      </c>
      <c r="BR286" s="158">
        <f t="shared" si="154"/>
        <v>0</v>
      </c>
      <c r="BS286" s="158">
        <f t="shared" si="154"/>
        <v>0</v>
      </c>
      <c r="BT286" s="158">
        <f t="shared" si="154"/>
        <v>0</v>
      </c>
      <c r="BU286" s="158">
        <f t="shared" si="154"/>
        <v>0</v>
      </c>
      <c r="BV286" s="158">
        <f t="shared" si="154"/>
        <v>0</v>
      </c>
      <c r="BW286" s="158">
        <f t="shared" si="154"/>
        <v>0</v>
      </c>
      <c r="BX286" s="158">
        <f t="shared" si="154"/>
        <v>0</v>
      </c>
      <c r="BY286" s="158">
        <f t="shared" si="154"/>
        <v>0</v>
      </c>
      <c r="BZ286" s="158">
        <f t="shared" si="154"/>
        <v>0</v>
      </c>
      <c r="CA286" s="158">
        <f t="shared" si="154"/>
        <v>0</v>
      </c>
      <c r="CB286" s="158">
        <f t="shared" si="154"/>
        <v>0</v>
      </c>
      <c r="CC286" s="158">
        <f t="shared" si="154"/>
        <v>0</v>
      </c>
      <c r="CD286" s="158">
        <f t="shared" ref="CD286:CS286" si="155">SUM(CD280:CD285)</f>
        <v>0</v>
      </c>
      <c r="CE286" s="859">
        <f t="shared" si="155"/>
        <v>160000000</v>
      </c>
      <c r="CF286" s="158">
        <f t="shared" si="155"/>
        <v>147523510</v>
      </c>
      <c r="CG286" s="158">
        <f t="shared" si="155"/>
        <v>147519910</v>
      </c>
      <c r="CH286" s="158">
        <f t="shared" si="155"/>
        <v>0</v>
      </c>
      <c r="CI286" s="158">
        <f t="shared" si="155"/>
        <v>0</v>
      </c>
      <c r="CJ286" s="158">
        <f t="shared" si="155"/>
        <v>0</v>
      </c>
      <c r="CK286" s="158">
        <f t="shared" si="155"/>
        <v>0</v>
      </c>
      <c r="CL286" s="158">
        <f t="shared" si="155"/>
        <v>0</v>
      </c>
      <c r="CM286" s="158">
        <f t="shared" si="155"/>
        <v>0</v>
      </c>
      <c r="CN286" s="158">
        <f t="shared" si="155"/>
        <v>0</v>
      </c>
      <c r="CO286" s="158">
        <f t="shared" si="155"/>
        <v>0</v>
      </c>
      <c r="CP286" s="158">
        <f t="shared" si="155"/>
        <v>0</v>
      </c>
      <c r="CQ286" s="158">
        <f t="shared" si="155"/>
        <v>0</v>
      </c>
      <c r="CR286" s="158">
        <f t="shared" si="155"/>
        <v>0</v>
      </c>
      <c r="CS286" s="158">
        <f t="shared" si="155"/>
        <v>0</v>
      </c>
      <c r="CT286" s="158">
        <f>SUM(CT280:CT285)</f>
        <v>160000000</v>
      </c>
      <c r="CU286" s="158">
        <f>SUM(CU280:CU285)</f>
        <v>147523510</v>
      </c>
      <c r="CV286" s="158">
        <f>SUM(CV280:CV285)</f>
        <v>147519910</v>
      </c>
    </row>
    <row r="287" spans="1:100" s="27" customFormat="1" ht="15" x14ac:dyDescent="0.25">
      <c r="A287" s="19"/>
      <c r="B287" s="19"/>
      <c r="C287" s="949"/>
      <c r="D287" s="177"/>
      <c r="E287" s="949"/>
      <c r="F287" s="949"/>
      <c r="G287" s="177"/>
      <c r="H287" s="949"/>
      <c r="I287" s="177"/>
      <c r="J287" s="260"/>
      <c r="K287" s="260"/>
      <c r="L287" s="260"/>
      <c r="M287" s="260"/>
      <c r="N287" s="179"/>
      <c r="O287" s="177"/>
      <c r="P287" s="949"/>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1"/>
      <c r="BH287" s="181"/>
      <c r="BI287" s="181"/>
      <c r="BJ287" s="181"/>
      <c r="BK287" s="181"/>
      <c r="BL287" s="181"/>
      <c r="BM287" s="181"/>
      <c r="BN287" s="181"/>
      <c r="BO287" s="181"/>
      <c r="BP287" s="181"/>
      <c r="BQ287" s="181"/>
      <c r="BR287" s="181"/>
      <c r="BS287" s="181"/>
      <c r="BT287" s="181"/>
      <c r="BU287" s="181"/>
      <c r="BV287" s="181"/>
      <c r="BW287" s="181"/>
      <c r="BX287" s="181"/>
      <c r="BY287" s="180"/>
      <c r="BZ287" s="180"/>
      <c r="CA287" s="180"/>
      <c r="CB287" s="180"/>
      <c r="CC287" s="180"/>
      <c r="CD287" s="180"/>
      <c r="CE287" s="860"/>
      <c r="CF287" s="182"/>
      <c r="CG287" s="182"/>
      <c r="CH287" s="183"/>
      <c r="CI287" s="183"/>
      <c r="CJ287" s="183"/>
      <c r="CK287" s="180"/>
      <c r="CL287" s="180"/>
      <c r="CM287" s="180"/>
      <c r="CN287" s="180"/>
      <c r="CO287" s="180"/>
      <c r="CP287" s="180"/>
      <c r="CQ287" s="180"/>
      <c r="CR287" s="180"/>
      <c r="CS287" s="180"/>
      <c r="CT287" s="25"/>
      <c r="CU287" s="76"/>
      <c r="CV287" s="76"/>
    </row>
    <row r="288" spans="1:100" ht="15" x14ac:dyDescent="0.25">
      <c r="A288" s="19"/>
      <c r="B288" s="19"/>
      <c r="C288" s="927"/>
      <c r="D288" s="928"/>
      <c r="E288" s="929"/>
      <c r="F288" s="929"/>
      <c r="G288" s="254">
        <v>2</v>
      </c>
      <c r="H288" s="694" t="s">
        <v>138</v>
      </c>
      <c r="I288" s="189"/>
      <c r="J288" s="189"/>
      <c r="K288" s="189"/>
      <c r="L288" s="189"/>
      <c r="M288" s="189"/>
      <c r="N288" s="678"/>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89"/>
      <c r="BR288" s="189"/>
      <c r="BS288" s="189"/>
      <c r="BT288" s="189"/>
      <c r="BU288" s="189"/>
      <c r="BV288" s="189"/>
      <c r="BW288" s="189"/>
      <c r="BX288" s="189"/>
      <c r="BY288" s="189"/>
      <c r="BZ288" s="189"/>
      <c r="CA288" s="189"/>
      <c r="CB288" s="189"/>
      <c r="CC288" s="189"/>
      <c r="CD288" s="189"/>
      <c r="CE288" s="857"/>
      <c r="CF288" s="190"/>
      <c r="CG288" s="190"/>
      <c r="CH288" s="189"/>
      <c r="CI288" s="189"/>
      <c r="CJ288" s="189"/>
      <c r="CK288" s="189"/>
      <c r="CL288" s="189"/>
      <c r="CM288" s="189"/>
      <c r="CN288" s="189"/>
      <c r="CO288" s="189"/>
      <c r="CP288" s="189"/>
      <c r="CQ288" s="189"/>
      <c r="CR288" s="189"/>
      <c r="CS288" s="189"/>
      <c r="CT288" s="522"/>
      <c r="CU288" s="522"/>
      <c r="CV288" s="522"/>
    </row>
    <row r="289" spans="1:100" s="27" customFormat="1" ht="117" customHeight="1" x14ac:dyDescent="0.25">
      <c r="A289" s="19"/>
      <c r="B289" s="19"/>
      <c r="C289" s="927">
        <v>2</v>
      </c>
      <c r="D289" s="928" t="s">
        <v>351</v>
      </c>
      <c r="E289" s="929" t="s">
        <v>352</v>
      </c>
      <c r="F289" s="929" t="s">
        <v>352</v>
      </c>
      <c r="G289" s="22"/>
      <c r="H289" s="929">
        <v>8</v>
      </c>
      <c r="I289" s="928" t="s">
        <v>359</v>
      </c>
      <c r="J289" s="10">
        <v>1</v>
      </c>
      <c r="K289" s="10">
        <v>2</v>
      </c>
      <c r="L289" s="647">
        <v>2</v>
      </c>
      <c r="M289" s="1147" t="s">
        <v>360</v>
      </c>
      <c r="N289" s="1017" t="s">
        <v>361</v>
      </c>
      <c r="O289" s="1012" t="s">
        <v>362</v>
      </c>
      <c r="P289" s="929" t="s">
        <v>34</v>
      </c>
      <c r="Q289" s="25">
        <v>0</v>
      </c>
      <c r="R289" s="25"/>
      <c r="S289" s="25"/>
      <c r="T289" s="25">
        <v>0</v>
      </c>
      <c r="U289" s="25"/>
      <c r="V289" s="25"/>
      <c r="W289" s="25">
        <v>0</v>
      </c>
      <c r="X289" s="25"/>
      <c r="Y289" s="25"/>
      <c r="Z289" s="25">
        <v>0</v>
      </c>
      <c r="AA289" s="25"/>
      <c r="AB289" s="25"/>
      <c r="AC289" s="25">
        <v>0</v>
      </c>
      <c r="AD289" s="25"/>
      <c r="AE289" s="25"/>
      <c r="AF289" s="25">
        <v>0</v>
      </c>
      <c r="AG289" s="25"/>
      <c r="AH289" s="25"/>
      <c r="AI289" s="25">
        <v>0</v>
      </c>
      <c r="AJ289" s="25"/>
      <c r="AK289" s="25"/>
      <c r="AL289" s="25"/>
      <c r="AM289" s="25"/>
      <c r="AN289" s="25"/>
      <c r="AO289" s="25"/>
      <c r="AP289" s="25"/>
      <c r="AQ289" s="25"/>
      <c r="AR289" s="25"/>
      <c r="AS289" s="25"/>
      <c r="AT289" s="25"/>
      <c r="AU289" s="25">
        <v>0</v>
      </c>
      <c r="AV289" s="25"/>
      <c r="AW289" s="25"/>
      <c r="AX289" s="25"/>
      <c r="AY289" s="25"/>
      <c r="AZ289" s="25"/>
      <c r="BA289" s="25">
        <v>0</v>
      </c>
      <c r="BB289" s="25"/>
      <c r="BC289" s="25"/>
      <c r="BD289" s="25">
        <v>0</v>
      </c>
      <c r="BE289" s="25"/>
      <c r="BF289" s="25"/>
      <c r="BG289" s="25"/>
      <c r="BH289" s="25"/>
      <c r="BI289" s="25"/>
      <c r="BJ289" s="25"/>
      <c r="BK289" s="25"/>
      <c r="BL289" s="25"/>
      <c r="BM289" s="25"/>
      <c r="BN289" s="25"/>
      <c r="BO289" s="25"/>
      <c r="BP289" s="25"/>
      <c r="BQ289" s="25"/>
      <c r="BR289" s="25"/>
      <c r="BS289" s="25"/>
      <c r="BT289" s="25"/>
      <c r="BU289" s="25"/>
      <c r="BV289" s="25"/>
      <c r="BW289" s="25"/>
      <c r="BX289" s="25"/>
      <c r="BY289" s="25">
        <v>0</v>
      </c>
      <c r="BZ289" s="25"/>
      <c r="CA289" s="25"/>
      <c r="CB289" s="25">
        <v>0</v>
      </c>
      <c r="CC289" s="25"/>
      <c r="CD289" s="25"/>
      <c r="CE289" s="127">
        <f>46600000+20000000</f>
        <v>66600000</v>
      </c>
      <c r="CF289" s="110">
        <v>66600000</v>
      </c>
      <c r="CG289" s="110">
        <v>66600000</v>
      </c>
      <c r="CH289" s="37"/>
      <c r="CI289" s="37"/>
      <c r="CJ289" s="37"/>
      <c r="CK289" s="25">
        <v>0</v>
      </c>
      <c r="CL289" s="26"/>
      <c r="CM289" s="26"/>
      <c r="CN289" s="26">
        <v>0</v>
      </c>
      <c r="CO289" s="26"/>
      <c r="CP289" s="26"/>
      <c r="CQ289" s="26"/>
      <c r="CR289" s="26"/>
      <c r="CS289" s="26"/>
      <c r="CT289" s="25">
        <f t="shared" ref="CT289:CV290" si="156">Q289+T289+W289+Z289+AC289+AF289+AI289+AL289+AO289+AR289+AU289+AX289+BA289+BD289+BG289+BJ289+BM289+BP289+BS289+BV289+BY289+CB289+CE289+CH289+CK289+CQ289+CN289</f>
        <v>66600000</v>
      </c>
      <c r="CU289" s="25">
        <f t="shared" si="156"/>
        <v>66600000</v>
      </c>
      <c r="CV289" s="25">
        <f t="shared" si="156"/>
        <v>66600000</v>
      </c>
    </row>
    <row r="290" spans="1:100" s="27" customFormat="1" ht="122.25" customHeight="1" x14ac:dyDescent="0.25">
      <c r="A290" s="19"/>
      <c r="B290" s="19"/>
      <c r="C290" s="927">
        <v>2</v>
      </c>
      <c r="D290" s="928" t="s">
        <v>351</v>
      </c>
      <c r="E290" s="929" t="s">
        <v>352</v>
      </c>
      <c r="F290" s="929" t="s">
        <v>352</v>
      </c>
      <c r="G290" s="29"/>
      <c r="H290" s="929">
        <v>7</v>
      </c>
      <c r="I290" s="928" t="s">
        <v>363</v>
      </c>
      <c r="J290" s="10">
        <v>0</v>
      </c>
      <c r="K290" s="10">
        <v>1</v>
      </c>
      <c r="L290" s="647">
        <v>1</v>
      </c>
      <c r="M290" s="1148"/>
      <c r="N290" s="1019"/>
      <c r="O290" s="1013"/>
      <c r="P290" s="929" t="s">
        <v>38</v>
      </c>
      <c r="Q290" s="25">
        <v>0</v>
      </c>
      <c r="R290" s="25"/>
      <c r="S290" s="25"/>
      <c r="T290" s="25">
        <v>0</v>
      </c>
      <c r="U290" s="25"/>
      <c r="V290" s="25"/>
      <c r="W290" s="25">
        <v>0</v>
      </c>
      <c r="X290" s="25"/>
      <c r="Y290" s="25"/>
      <c r="Z290" s="25">
        <v>0</v>
      </c>
      <c r="AA290" s="25"/>
      <c r="AB290" s="25"/>
      <c r="AC290" s="25">
        <v>0</v>
      </c>
      <c r="AD290" s="25"/>
      <c r="AE290" s="25"/>
      <c r="AF290" s="25">
        <v>0</v>
      </c>
      <c r="AG290" s="25"/>
      <c r="AH290" s="25"/>
      <c r="AI290" s="25">
        <v>0</v>
      </c>
      <c r="AJ290" s="25"/>
      <c r="AK290" s="25"/>
      <c r="AL290" s="25"/>
      <c r="AM290" s="25"/>
      <c r="AN290" s="25"/>
      <c r="AO290" s="25"/>
      <c r="AP290" s="25"/>
      <c r="AQ290" s="25"/>
      <c r="AR290" s="25"/>
      <c r="AS290" s="25"/>
      <c r="AT290" s="25"/>
      <c r="AU290" s="25">
        <v>0</v>
      </c>
      <c r="AV290" s="25"/>
      <c r="AW290" s="25"/>
      <c r="AX290" s="25"/>
      <c r="AY290" s="25"/>
      <c r="AZ290" s="25"/>
      <c r="BA290" s="25">
        <v>0</v>
      </c>
      <c r="BB290" s="25"/>
      <c r="BC290" s="25"/>
      <c r="BD290" s="25">
        <v>0</v>
      </c>
      <c r="BE290" s="25"/>
      <c r="BF290" s="25"/>
      <c r="BG290" s="25"/>
      <c r="BH290" s="25"/>
      <c r="BI290" s="25"/>
      <c r="BJ290" s="25"/>
      <c r="BK290" s="25"/>
      <c r="BL290" s="25"/>
      <c r="BM290" s="25"/>
      <c r="BN290" s="25"/>
      <c r="BO290" s="25"/>
      <c r="BP290" s="25"/>
      <c r="BQ290" s="25"/>
      <c r="BR290" s="25"/>
      <c r="BS290" s="25"/>
      <c r="BT290" s="25"/>
      <c r="BU290" s="25"/>
      <c r="BV290" s="25"/>
      <c r="BW290" s="25"/>
      <c r="BX290" s="25"/>
      <c r="BY290" s="25">
        <v>0</v>
      </c>
      <c r="BZ290" s="25"/>
      <c r="CA290" s="25"/>
      <c r="CB290" s="64">
        <v>0</v>
      </c>
      <c r="CC290" s="64"/>
      <c r="CD290" s="64"/>
      <c r="CE290" s="127">
        <f>12200000+30000000+50000000</f>
        <v>92200000</v>
      </c>
      <c r="CF290" s="110">
        <v>56482216</v>
      </c>
      <c r="CG290" s="110">
        <v>55931716</v>
      </c>
      <c r="CH290" s="37"/>
      <c r="CI290" s="37"/>
      <c r="CJ290" s="37"/>
      <c r="CK290" s="25">
        <v>0</v>
      </c>
      <c r="CL290" s="26"/>
      <c r="CM290" s="26"/>
      <c r="CN290" s="26"/>
      <c r="CO290" s="26"/>
      <c r="CP290" s="26"/>
      <c r="CQ290" s="26"/>
      <c r="CR290" s="26"/>
      <c r="CS290" s="26"/>
      <c r="CT290" s="25">
        <f t="shared" si="156"/>
        <v>92200000</v>
      </c>
      <c r="CU290" s="25">
        <f t="shared" si="156"/>
        <v>56482216</v>
      </c>
      <c r="CV290" s="25">
        <f t="shared" si="156"/>
        <v>55931716</v>
      </c>
    </row>
    <row r="291" spans="1:100" ht="15" x14ac:dyDescent="0.25">
      <c r="A291" s="19"/>
      <c r="B291" s="19"/>
      <c r="C291" s="927"/>
      <c r="D291" s="153"/>
      <c r="E291" s="330"/>
      <c r="F291" s="330"/>
      <c r="G291" s="154"/>
      <c r="H291" s="155"/>
      <c r="I291" s="154"/>
      <c r="J291" s="154"/>
      <c r="K291" s="154"/>
      <c r="L291" s="154"/>
      <c r="M291" s="154"/>
      <c r="N291" s="157"/>
      <c r="O291" s="154"/>
      <c r="P291" s="155"/>
      <c r="Q291" s="255">
        <f>SUM(Q289:Q290)</f>
        <v>0</v>
      </c>
      <c r="R291" s="255">
        <f t="shared" ref="R291:CC291" si="157">SUM(R289:R290)</f>
        <v>0</v>
      </c>
      <c r="S291" s="255">
        <f t="shared" si="157"/>
        <v>0</v>
      </c>
      <c r="T291" s="255">
        <f t="shared" si="157"/>
        <v>0</v>
      </c>
      <c r="U291" s="255">
        <f t="shared" si="157"/>
        <v>0</v>
      </c>
      <c r="V291" s="255">
        <f t="shared" si="157"/>
        <v>0</v>
      </c>
      <c r="W291" s="255">
        <f t="shared" si="157"/>
        <v>0</v>
      </c>
      <c r="X291" s="255">
        <f t="shared" si="157"/>
        <v>0</v>
      </c>
      <c r="Y291" s="255">
        <f t="shared" si="157"/>
        <v>0</v>
      </c>
      <c r="Z291" s="255">
        <f t="shared" si="157"/>
        <v>0</v>
      </c>
      <c r="AA291" s="255">
        <f t="shared" si="157"/>
        <v>0</v>
      </c>
      <c r="AB291" s="255">
        <f t="shared" si="157"/>
        <v>0</v>
      </c>
      <c r="AC291" s="255">
        <f t="shared" si="157"/>
        <v>0</v>
      </c>
      <c r="AD291" s="255">
        <f t="shared" si="157"/>
        <v>0</v>
      </c>
      <c r="AE291" s="255">
        <f t="shared" si="157"/>
        <v>0</v>
      </c>
      <c r="AF291" s="255">
        <f t="shared" si="157"/>
        <v>0</v>
      </c>
      <c r="AG291" s="255">
        <f t="shared" si="157"/>
        <v>0</v>
      </c>
      <c r="AH291" s="255">
        <f t="shared" si="157"/>
        <v>0</v>
      </c>
      <c r="AI291" s="255">
        <f t="shared" si="157"/>
        <v>0</v>
      </c>
      <c r="AJ291" s="255">
        <f t="shared" si="157"/>
        <v>0</v>
      </c>
      <c r="AK291" s="255">
        <f t="shared" si="157"/>
        <v>0</v>
      </c>
      <c r="AL291" s="255">
        <f t="shared" si="157"/>
        <v>0</v>
      </c>
      <c r="AM291" s="255">
        <f t="shared" si="157"/>
        <v>0</v>
      </c>
      <c r="AN291" s="255">
        <f t="shared" si="157"/>
        <v>0</v>
      </c>
      <c r="AO291" s="255">
        <f t="shared" si="157"/>
        <v>0</v>
      </c>
      <c r="AP291" s="255">
        <f t="shared" si="157"/>
        <v>0</v>
      </c>
      <c r="AQ291" s="255">
        <f t="shared" si="157"/>
        <v>0</v>
      </c>
      <c r="AR291" s="255">
        <f t="shared" si="157"/>
        <v>0</v>
      </c>
      <c r="AS291" s="255">
        <f t="shared" si="157"/>
        <v>0</v>
      </c>
      <c r="AT291" s="255">
        <f t="shared" si="157"/>
        <v>0</v>
      </c>
      <c r="AU291" s="255">
        <f t="shared" si="157"/>
        <v>0</v>
      </c>
      <c r="AV291" s="255">
        <f t="shared" si="157"/>
        <v>0</v>
      </c>
      <c r="AW291" s="255">
        <f t="shared" si="157"/>
        <v>0</v>
      </c>
      <c r="AX291" s="255">
        <f t="shared" si="157"/>
        <v>0</v>
      </c>
      <c r="AY291" s="255">
        <f t="shared" si="157"/>
        <v>0</v>
      </c>
      <c r="AZ291" s="255">
        <f t="shared" si="157"/>
        <v>0</v>
      </c>
      <c r="BA291" s="255">
        <f t="shared" si="157"/>
        <v>0</v>
      </c>
      <c r="BB291" s="255">
        <f t="shared" si="157"/>
        <v>0</v>
      </c>
      <c r="BC291" s="255">
        <f t="shared" si="157"/>
        <v>0</v>
      </c>
      <c r="BD291" s="255">
        <f t="shared" si="157"/>
        <v>0</v>
      </c>
      <c r="BE291" s="255">
        <f t="shared" si="157"/>
        <v>0</v>
      </c>
      <c r="BF291" s="255">
        <f t="shared" si="157"/>
        <v>0</v>
      </c>
      <c r="BG291" s="255">
        <f t="shared" si="157"/>
        <v>0</v>
      </c>
      <c r="BH291" s="255">
        <f t="shared" si="157"/>
        <v>0</v>
      </c>
      <c r="BI291" s="255">
        <f t="shared" si="157"/>
        <v>0</v>
      </c>
      <c r="BJ291" s="255">
        <f t="shared" si="157"/>
        <v>0</v>
      </c>
      <c r="BK291" s="255">
        <f t="shared" si="157"/>
        <v>0</v>
      </c>
      <c r="BL291" s="255">
        <f t="shared" si="157"/>
        <v>0</v>
      </c>
      <c r="BM291" s="255">
        <f t="shared" si="157"/>
        <v>0</v>
      </c>
      <c r="BN291" s="255">
        <f t="shared" si="157"/>
        <v>0</v>
      </c>
      <c r="BO291" s="255">
        <f t="shared" si="157"/>
        <v>0</v>
      </c>
      <c r="BP291" s="255">
        <f t="shared" si="157"/>
        <v>0</v>
      </c>
      <c r="BQ291" s="255">
        <f t="shared" si="157"/>
        <v>0</v>
      </c>
      <c r="BR291" s="255">
        <f t="shared" si="157"/>
        <v>0</v>
      </c>
      <c r="BS291" s="255">
        <f t="shared" si="157"/>
        <v>0</v>
      </c>
      <c r="BT291" s="255">
        <f t="shared" si="157"/>
        <v>0</v>
      </c>
      <c r="BU291" s="255">
        <f t="shared" si="157"/>
        <v>0</v>
      </c>
      <c r="BV291" s="255">
        <f t="shared" si="157"/>
        <v>0</v>
      </c>
      <c r="BW291" s="255">
        <f t="shared" si="157"/>
        <v>0</v>
      </c>
      <c r="BX291" s="255">
        <f t="shared" si="157"/>
        <v>0</v>
      </c>
      <c r="BY291" s="255">
        <f t="shared" si="157"/>
        <v>0</v>
      </c>
      <c r="BZ291" s="255">
        <f t="shared" si="157"/>
        <v>0</v>
      </c>
      <c r="CA291" s="255">
        <f t="shared" si="157"/>
        <v>0</v>
      </c>
      <c r="CB291" s="255">
        <f t="shared" si="157"/>
        <v>0</v>
      </c>
      <c r="CC291" s="255">
        <f t="shared" si="157"/>
        <v>0</v>
      </c>
      <c r="CD291" s="255">
        <f t="shared" ref="CD291:CS291" si="158">SUM(CD289:CD290)</f>
        <v>0</v>
      </c>
      <c r="CE291" s="861">
        <f t="shared" si="158"/>
        <v>158800000</v>
      </c>
      <c r="CF291" s="255">
        <f t="shared" si="158"/>
        <v>123082216</v>
      </c>
      <c r="CG291" s="255">
        <f t="shared" si="158"/>
        <v>122531716</v>
      </c>
      <c r="CH291" s="255">
        <f t="shared" si="158"/>
        <v>0</v>
      </c>
      <c r="CI291" s="255">
        <f t="shared" si="158"/>
        <v>0</v>
      </c>
      <c r="CJ291" s="255">
        <f t="shared" si="158"/>
        <v>0</v>
      </c>
      <c r="CK291" s="255">
        <f t="shared" si="158"/>
        <v>0</v>
      </c>
      <c r="CL291" s="255">
        <f t="shared" si="158"/>
        <v>0</v>
      </c>
      <c r="CM291" s="255">
        <f t="shared" si="158"/>
        <v>0</v>
      </c>
      <c r="CN291" s="255">
        <f t="shared" si="158"/>
        <v>0</v>
      </c>
      <c r="CO291" s="255">
        <f t="shared" si="158"/>
        <v>0</v>
      </c>
      <c r="CP291" s="255">
        <f t="shared" si="158"/>
        <v>0</v>
      </c>
      <c r="CQ291" s="255">
        <f t="shared" si="158"/>
        <v>0</v>
      </c>
      <c r="CR291" s="255">
        <f t="shared" si="158"/>
        <v>0</v>
      </c>
      <c r="CS291" s="255">
        <f t="shared" si="158"/>
        <v>0</v>
      </c>
      <c r="CT291" s="255">
        <f>SUM(CT289:CT290)</f>
        <v>158800000</v>
      </c>
      <c r="CU291" s="255">
        <f>SUM(CU289:CU290)</f>
        <v>123082216</v>
      </c>
      <c r="CV291" s="255">
        <f>SUM(CV289:CV290)</f>
        <v>122531716</v>
      </c>
    </row>
    <row r="292" spans="1:100" s="27" customFormat="1" ht="15" x14ac:dyDescent="0.25">
      <c r="A292" s="19"/>
      <c r="B292" s="19"/>
      <c r="C292" s="949"/>
      <c r="D292" s="177"/>
      <c r="E292" s="314"/>
      <c r="F292" s="314"/>
      <c r="G292" s="177"/>
      <c r="H292" s="949"/>
      <c r="I292" s="177"/>
      <c r="J292" s="177"/>
      <c r="K292" s="177"/>
      <c r="L292" s="177"/>
      <c r="M292" s="177"/>
      <c r="N292" s="179"/>
      <c r="O292" s="177"/>
      <c r="P292" s="949"/>
      <c r="Q292" s="357"/>
      <c r="R292" s="357"/>
      <c r="S292" s="357"/>
      <c r="T292" s="357"/>
      <c r="U292" s="357"/>
      <c r="V292" s="357"/>
      <c r="W292" s="357"/>
      <c r="X292" s="357"/>
      <c r="Y292" s="357"/>
      <c r="Z292" s="357"/>
      <c r="AA292" s="357"/>
      <c r="AB292" s="357"/>
      <c r="AC292" s="357"/>
      <c r="AD292" s="357"/>
      <c r="AE292" s="357"/>
      <c r="AF292" s="357"/>
      <c r="AG292" s="357"/>
      <c r="AH292" s="357"/>
      <c r="AI292" s="357"/>
      <c r="AJ292" s="357"/>
      <c r="AK292" s="357"/>
      <c r="AL292" s="357"/>
      <c r="AM292" s="357"/>
      <c r="AN292" s="357"/>
      <c r="AO292" s="357"/>
      <c r="AP292" s="357"/>
      <c r="AQ292" s="357"/>
      <c r="AR292" s="357"/>
      <c r="AS292" s="357"/>
      <c r="AT292" s="357"/>
      <c r="AU292" s="357"/>
      <c r="AV292" s="357"/>
      <c r="AW292" s="357"/>
      <c r="AX292" s="357"/>
      <c r="AY292" s="357"/>
      <c r="AZ292" s="357"/>
      <c r="BA292" s="357"/>
      <c r="BB292" s="357"/>
      <c r="BC292" s="357"/>
      <c r="BD292" s="357"/>
      <c r="BE292" s="357"/>
      <c r="BF292" s="357"/>
      <c r="BG292" s="358"/>
      <c r="BH292" s="358"/>
      <c r="BI292" s="358"/>
      <c r="BJ292" s="358"/>
      <c r="BK292" s="358"/>
      <c r="BL292" s="358"/>
      <c r="BM292" s="358"/>
      <c r="BN292" s="358"/>
      <c r="BO292" s="358"/>
      <c r="BP292" s="358"/>
      <c r="BQ292" s="358"/>
      <c r="BR292" s="358"/>
      <c r="BS292" s="358"/>
      <c r="BT292" s="358"/>
      <c r="BU292" s="358"/>
      <c r="BV292" s="358"/>
      <c r="BW292" s="358"/>
      <c r="BX292" s="358"/>
      <c r="BY292" s="357"/>
      <c r="BZ292" s="357"/>
      <c r="CA292" s="357"/>
      <c r="CB292" s="357"/>
      <c r="CC292" s="357"/>
      <c r="CD292" s="357"/>
      <c r="CE292" s="862"/>
      <c r="CF292" s="359"/>
      <c r="CG292" s="359"/>
      <c r="CH292" s="360"/>
      <c r="CI292" s="360"/>
      <c r="CJ292" s="360"/>
      <c r="CK292" s="357"/>
      <c r="CL292" s="357"/>
      <c r="CM292" s="357"/>
      <c r="CN292" s="357"/>
      <c r="CO292" s="357"/>
      <c r="CP292" s="357"/>
      <c r="CQ292" s="357"/>
      <c r="CR292" s="357"/>
      <c r="CS292" s="357"/>
      <c r="CT292" s="749"/>
      <c r="CU292" s="76"/>
      <c r="CV292" s="76"/>
    </row>
    <row r="293" spans="1:100" ht="15" x14ac:dyDescent="0.25">
      <c r="A293" s="19"/>
      <c r="B293" s="19"/>
      <c r="C293" s="927"/>
      <c r="D293" s="153"/>
      <c r="E293" s="330"/>
      <c r="F293" s="330"/>
      <c r="G293" s="254">
        <v>3</v>
      </c>
      <c r="H293" s="694" t="s">
        <v>364</v>
      </c>
      <c r="I293" s="189"/>
      <c r="J293" s="189"/>
      <c r="K293" s="189"/>
      <c r="L293" s="189"/>
      <c r="M293" s="189"/>
      <c r="N293" s="678"/>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c r="BY293" s="189"/>
      <c r="BZ293" s="189"/>
      <c r="CA293" s="189"/>
      <c r="CB293" s="189"/>
      <c r="CC293" s="189"/>
      <c r="CD293" s="189"/>
      <c r="CE293" s="857"/>
      <c r="CF293" s="190"/>
      <c r="CG293" s="190"/>
      <c r="CH293" s="189"/>
      <c r="CI293" s="189"/>
      <c r="CJ293" s="189"/>
      <c r="CK293" s="189"/>
      <c r="CL293" s="189"/>
      <c r="CM293" s="189"/>
      <c r="CN293" s="189"/>
      <c r="CO293" s="189"/>
      <c r="CP293" s="189"/>
      <c r="CQ293" s="189"/>
      <c r="CR293" s="189"/>
      <c r="CS293" s="189"/>
      <c r="CT293" s="522"/>
      <c r="CU293" s="522"/>
      <c r="CV293" s="522"/>
    </row>
    <row r="294" spans="1:100" s="27" customFormat="1" ht="299.25" customHeight="1" x14ac:dyDescent="0.25">
      <c r="A294" s="19"/>
      <c r="B294" s="19"/>
      <c r="C294" s="927" t="s">
        <v>365</v>
      </c>
      <c r="D294" s="928" t="s">
        <v>366</v>
      </c>
      <c r="E294" s="929" t="s">
        <v>367</v>
      </c>
      <c r="F294" s="929" t="s">
        <v>368</v>
      </c>
      <c r="G294" s="22"/>
      <c r="H294" s="929">
        <v>14</v>
      </c>
      <c r="I294" s="928" t="s">
        <v>369</v>
      </c>
      <c r="J294" s="10">
        <v>2</v>
      </c>
      <c r="K294" s="10">
        <v>6</v>
      </c>
      <c r="L294" s="514">
        <v>6</v>
      </c>
      <c r="M294" s="10" t="s">
        <v>348</v>
      </c>
      <c r="N294" s="36" t="s">
        <v>370</v>
      </c>
      <c r="O294" s="928" t="s">
        <v>371</v>
      </c>
      <c r="P294" s="929" t="s">
        <v>38</v>
      </c>
      <c r="Q294" s="25">
        <v>0</v>
      </c>
      <c r="R294" s="25"/>
      <c r="S294" s="25"/>
      <c r="T294" s="25">
        <v>0</v>
      </c>
      <c r="U294" s="25"/>
      <c r="V294" s="25"/>
      <c r="W294" s="25">
        <v>0</v>
      </c>
      <c r="X294" s="25"/>
      <c r="Y294" s="25"/>
      <c r="Z294" s="25">
        <v>0</v>
      </c>
      <c r="AA294" s="25"/>
      <c r="AB294" s="25"/>
      <c r="AC294" s="25">
        <v>0</v>
      </c>
      <c r="AD294" s="25"/>
      <c r="AE294" s="25"/>
      <c r="AF294" s="25">
        <v>0</v>
      </c>
      <c r="AG294" s="25"/>
      <c r="AH294" s="25"/>
      <c r="AI294" s="25">
        <v>0</v>
      </c>
      <c r="AJ294" s="25"/>
      <c r="AK294" s="25"/>
      <c r="AL294" s="25"/>
      <c r="AM294" s="25"/>
      <c r="AN294" s="25"/>
      <c r="AO294" s="25"/>
      <c r="AP294" s="25"/>
      <c r="AQ294" s="25"/>
      <c r="AR294" s="25"/>
      <c r="AS294" s="25"/>
      <c r="AT294" s="25"/>
      <c r="AU294" s="25">
        <v>0</v>
      </c>
      <c r="AV294" s="25"/>
      <c r="AW294" s="25"/>
      <c r="AX294" s="25"/>
      <c r="AY294" s="25"/>
      <c r="AZ294" s="25"/>
      <c r="BA294" s="25">
        <v>0</v>
      </c>
      <c r="BB294" s="25"/>
      <c r="BC294" s="25"/>
      <c r="BD294" s="25">
        <v>0</v>
      </c>
      <c r="BE294" s="25"/>
      <c r="BF294" s="25"/>
      <c r="BG294" s="25"/>
      <c r="BH294" s="25"/>
      <c r="BI294" s="25"/>
      <c r="BJ294" s="25"/>
      <c r="BK294" s="25"/>
      <c r="BL294" s="25"/>
      <c r="BM294" s="25"/>
      <c r="BN294" s="25"/>
      <c r="BO294" s="25"/>
      <c r="BP294" s="25"/>
      <c r="BQ294" s="25"/>
      <c r="BR294" s="25"/>
      <c r="BS294" s="25"/>
      <c r="BT294" s="25"/>
      <c r="BU294" s="25"/>
      <c r="BV294" s="25"/>
      <c r="BW294" s="25"/>
      <c r="BX294" s="25"/>
      <c r="BY294" s="25">
        <v>0</v>
      </c>
      <c r="BZ294" s="25"/>
      <c r="CA294" s="25"/>
      <c r="CB294" s="25">
        <v>0</v>
      </c>
      <c r="CC294" s="25"/>
      <c r="CD294" s="25"/>
      <c r="CE294" s="863">
        <v>691300058</v>
      </c>
      <c r="CF294" s="111">
        <v>358924668</v>
      </c>
      <c r="CG294" s="111">
        <v>358924668</v>
      </c>
      <c r="CH294" s="39"/>
      <c r="CI294" s="39"/>
      <c r="CJ294" s="39"/>
      <c r="CK294" s="25">
        <v>0</v>
      </c>
      <c r="CL294" s="26"/>
      <c r="CM294" s="26"/>
      <c r="CN294" s="58">
        <v>0</v>
      </c>
      <c r="CO294" s="58"/>
      <c r="CP294" s="58"/>
      <c r="CQ294" s="58"/>
      <c r="CR294" s="58"/>
      <c r="CS294" s="58"/>
      <c r="CT294" s="25">
        <f t="shared" ref="CT294:CV299" si="159">Q294+T294+W294+Z294+AC294+AF294+AI294+AL294+AO294+AR294+AU294+AX294+BA294+BD294+BG294+BJ294+BM294+BP294+BS294+BV294+BY294+CB294+CE294+CH294+CK294+CQ294+CN294</f>
        <v>691300058</v>
      </c>
      <c r="CU294" s="25">
        <f t="shared" si="159"/>
        <v>358924668</v>
      </c>
      <c r="CV294" s="25">
        <f t="shared" si="159"/>
        <v>358924668</v>
      </c>
    </row>
    <row r="295" spans="1:100" s="27" customFormat="1" ht="141.75" customHeight="1" x14ac:dyDescent="0.25">
      <c r="A295" s="19"/>
      <c r="B295" s="19"/>
      <c r="C295" s="927">
        <v>3</v>
      </c>
      <c r="D295" s="928" t="s">
        <v>355</v>
      </c>
      <c r="E295" s="929" t="s">
        <v>356</v>
      </c>
      <c r="F295" s="929" t="s">
        <v>141</v>
      </c>
      <c r="G295" s="28"/>
      <c r="H295" s="929">
        <v>15</v>
      </c>
      <c r="I295" s="22" t="s">
        <v>372</v>
      </c>
      <c r="J295" s="10">
        <v>0</v>
      </c>
      <c r="K295" s="10">
        <v>2</v>
      </c>
      <c r="L295" s="514">
        <v>2</v>
      </c>
      <c r="M295" s="1137" t="s">
        <v>348</v>
      </c>
      <c r="N295" s="1018" t="s">
        <v>373</v>
      </c>
      <c r="O295" s="1020" t="s">
        <v>374</v>
      </c>
      <c r="P295" s="929" t="s">
        <v>38</v>
      </c>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863">
        <f>169400000+148407115</f>
        <v>317807115</v>
      </c>
      <c r="CF295" s="111">
        <v>115000000</v>
      </c>
      <c r="CG295" s="111">
        <v>115000000</v>
      </c>
      <c r="CH295" s="39"/>
      <c r="CI295" s="39"/>
      <c r="CJ295" s="39"/>
      <c r="CK295" s="25"/>
      <c r="CL295" s="26"/>
      <c r="CM295" s="26"/>
      <c r="CN295" s="26"/>
      <c r="CO295" s="26"/>
      <c r="CP295" s="26"/>
      <c r="CQ295" s="26"/>
      <c r="CR295" s="26"/>
      <c r="CS295" s="26"/>
      <c r="CT295" s="25">
        <f t="shared" si="159"/>
        <v>317807115</v>
      </c>
      <c r="CU295" s="25">
        <f t="shared" si="159"/>
        <v>115000000</v>
      </c>
      <c r="CV295" s="25">
        <f t="shared" si="159"/>
        <v>115000000</v>
      </c>
    </row>
    <row r="296" spans="1:100" s="27" customFormat="1" ht="83.25" customHeight="1" x14ac:dyDescent="0.25">
      <c r="A296" s="19"/>
      <c r="B296" s="19"/>
      <c r="C296" s="927"/>
      <c r="D296" s="928"/>
      <c r="E296" s="929"/>
      <c r="F296" s="929"/>
      <c r="G296" s="28"/>
      <c r="H296" s="929">
        <v>16</v>
      </c>
      <c r="I296" s="22" t="s">
        <v>375</v>
      </c>
      <c r="J296" s="10">
        <v>7</v>
      </c>
      <c r="K296" s="10">
        <v>3</v>
      </c>
      <c r="L296" s="514">
        <v>3</v>
      </c>
      <c r="M296" s="1138"/>
      <c r="N296" s="1018"/>
      <c r="O296" s="1020"/>
      <c r="P296" s="929" t="s">
        <v>34</v>
      </c>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863">
        <v>6000000</v>
      </c>
      <c r="CF296" s="111">
        <v>3698310</v>
      </c>
      <c r="CG296" s="111">
        <v>3698310</v>
      </c>
      <c r="CH296" s="39"/>
      <c r="CI296" s="39"/>
      <c r="CJ296" s="39"/>
      <c r="CK296" s="25"/>
      <c r="CL296" s="26"/>
      <c r="CM296" s="26"/>
      <c r="CN296" s="26"/>
      <c r="CO296" s="26"/>
      <c r="CP296" s="26"/>
      <c r="CQ296" s="26"/>
      <c r="CR296" s="26"/>
      <c r="CS296" s="26"/>
      <c r="CT296" s="25">
        <f t="shared" si="159"/>
        <v>6000000</v>
      </c>
      <c r="CU296" s="25">
        <f t="shared" si="159"/>
        <v>3698310</v>
      </c>
      <c r="CV296" s="25">
        <f t="shared" si="159"/>
        <v>3698310</v>
      </c>
    </row>
    <row r="297" spans="1:100" s="27" customFormat="1" ht="57" customHeight="1" x14ac:dyDescent="0.25">
      <c r="A297" s="19"/>
      <c r="B297" s="19"/>
      <c r="C297" s="927"/>
      <c r="D297" s="928"/>
      <c r="E297" s="929"/>
      <c r="F297" s="929"/>
      <c r="G297" s="28"/>
      <c r="H297" s="929">
        <v>18</v>
      </c>
      <c r="I297" s="928" t="s">
        <v>376</v>
      </c>
      <c r="J297" s="10">
        <v>0</v>
      </c>
      <c r="K297" s="10">
        <v>7</v>
      </c>
      <c r="L297" s="514">
        <v>3</v>
      </c>
      <c r="M297" s="1138"/>
      <c r="N297" s="1018"/>
      <c r="O297" s="1020"/>
      <c r="P297" s="929" t="s">
        <v>34</v>
      </c>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6"/>
      <c r="CD297" s="26"/>
      <c r="CE297" s="864">
        <f>10000000-1400000+2337233</f>
        <v>10937233</v>
      </c>
      <c r="CF297" s="112">
        <v>3600000</v>
      </c>
      <c r="CG297" s="112">
        <v>3600000</v>
      </c>
      <c r="CH297" s="9"/>
      <c r="CI297" s="9"/>
      <c r="CJ297" s="9"/>
      <c r="CK297" s="25"/>
      <c r="CL297" s="26"/>
      <c r="CM297" s="26"/>
      <c r="CN297" s="26"/>
      <c r="CO297" s="26"/>
      <c r="CP297" s="26"/>
      <c r="CQ297" s="26"/>
      <c r="CR297" s="26"/>
      <c r="CS297" s="26"/>
      <c r="CT297" s="25">
        <f t="shared" si="159"/>
        <v>10937233</v>
      </c>
      <c r="CU297" s="25">
        <f t="shared" si="159"/>
        <v>3600000</v>
      </c>
      <c r="CV297" s="25">
        <f t="shared" si="159"/>
        <v>3600000</v>
      </c>
    </row>
    <row r="298" spans="1:100" s="27" customFormat="1" ht="177.75" customHeight="1" x14ac:dyDescent="0.25">
      <c r="A298" s="19"/>
      <c r="B298" s="19"/>
      <c r="C298" s="927">
        <v>4</v>
      </c>
      <c r="D298" s="928" t="s">
        <v>377</v>
      </c>
      <c r="E298" s="929" t="s">
        <v>378</v>
      </c>
      <c r="F298" s="929" t="s">
        <v>379</v>
      </c>
      <c r="G298" s="28"/>
      <c r="H298" s="929">
        <v>19</v>
      </c>
      <c r="I298" s="928" t="s">
        <v>380</v>
      </c>
      <c r="J298" s="10">
        <v>20</v>
      </c>
      <c r="K298" s="929">
        <v>9</v>
      </c>
      <c r="L298" s="514">
        <v>9</v>
      </c>
      <c r="M298" s="1138"/>
      <c r="N298" s="1018"/>
      <c r="O298" s="1020"/>
      <c r="P298" s="929" t="s">
        <v>34</v>
      </c>
      <c r="Q298" s="25">
        <v>0</v>
      </c>
      <c r="R298" s="25"/>
      <c r="S298" s="25"/>
      <c r="T298" s="25">
        <v>0</v>
      </c>
      <c r="U298" s="25"/>
      <c r="V298" s="25"/>
      <c r="W298" s="25">
        <v>0</v>
      </c>
      <c r="X298" s="25"/>
      <c r="Y298" s="25"/>
      <c r="Z298" s="25">
        <v>0</v>
      </c>
      <c r="AA298" s="25"/>
      <c r="AB298" s="25"/>
      <c r="AC298" s="25">
        <v>0</v>
      </c>
      <c r="AD298" s="25"/>
      <c r="AE298" s="25"/>
      <c r="AF298" s="25">
        <v>0</v>
      </c>
      <c r="AG298" s="25"/>
      <c r="AH298" s="25"/>
      <c r="AI298" s="25">
        <v>0</v>
      </c>
      <c r="AJ298" s="25"/>
      <c r="AK298" s="25"/>
      <c r="AL298" s="25"/>
      <c r="AM298" s="25"/>
      <c r="AN298" s="25"/>
      <c r="AO298" s="25"/>
      <c r="AP298" s="25"/>
      <c r="AQ298" s="25"/>
      <c r="AR298" s="25"/>
      <c r="AS298" s="25"/>
      <c r="AT298" s="25"/>
      <c r="AU298" s="25">
        <v>0</v>
      </c>
      <c r="AV298" s="25"/>
      <c r="AW298" s="25"/>
      <c r="AX298" s="25"/>
      <c r="AY298" s="25"/>
      <c r="AZ298" s="25"/>
      <c r="BA298" s="25">
        <v>0</v>
      </c>
      <c r="BB298" s="25"/>
      <c r="BC298" s="25"/>
      <c r="BD298" s="25">
        <v>0</v>
      </c>
      <c r="BE298" s="25"/>
      <c r="BF298" s="25"/>
      <c r="BG298" s="25"/>
      <c r="BH298" s="25"/>
      <c r="BI298" s="25"/>
      <c r="BJ298" s="25"/>
      <c r="BK298" s="25"/>
      <c r="BL298" s="25"/>
      <c r="BM298" s="25"/>
      <c r="BN298" s="25"/>
      <c r="BO298" s="25"/>
      <c r="BP298" s="25"/>
      <c r="BQ298" s="25"/>
      <c r="BR298" s="25"/>
      <c r="BS298" s="25"/>
      <c r="BT298" s="25"/>
      <c r="BU298" s="25"/>
      <c r="BV298" s="25"/>
      <c r="BW298" s="25"/>
      <c r="BX298" s="25"/>
      <c r="BY298" s="25">
        <v>0</v>
      </c>
      <c r="BZ298" s="25"/>
      <c r="CA298" s="25"/>
      <c r="CB298" s="25">
        <v>0</v>
      </c>
      <c r="CC298" s="26"/>
      <c r="CD298" s="26"/>
      <c r="CE298" s="864">
        <v>7000000</v>
      </c>
      <c r="CF298" s="112">
        <v>5751000</v>
      </c>
      <c r="CG298" s="112">
        <v>5751000</v>
      </c>
      <c r="CH298" s="9"/>
      <c r="CI298" s="9"/>
      <c r="CJ298" s="9"/>
      <c r="CK298" s="25">
        <v>0</v>
      </c>
      <c r="CL298" s="26"/>
      <c r="CM298" s="26"/>
      <c r="CN298" s="26">
        <v>0</v>
      </c>
      <c r="CO298" s="26"/>
      <c r="CP298" s="26"/>
      <c r="CQ298" s="26"/>
      <c r="CR298" s="26"/>
      <c r="CS298" s="26"/>
      <c r="CT298" s="25">
        <f t="shared" si="159"/>
        <v>7000000</v>
      </c>
      <c r="CU298" s="25">
        <f t="shared" si="159"/>
        <v>5751000</v>
      </c>
      <c r="CV298" s="25">
        <f t="shared" si="159"/>
        <v>5751000</v>
      </c>
    </row>
    <row r="299" spans="1:100" s="27" customFormat="1" ht="103.5" customHeight="1" x14ac:dyDescent="0.25">
      <c r="A299" s="19"/>
      <c r="B299" s="19"/>
      <c r="C299" s="927">
        <v>1</v>
      </c>
      <c r="D299" s="928" t="s">
        <v>346</v>
      </c>
      <c r="E299" s="74" t="s">
        <v>30</v>
      </c>
      <c r="F299" s="75">
        <v>15000</v>
      </c>
      <c r="G299" s="28"/>
      <c r="H299" s="929">
        <v>20</v>
      </c>
      <c r="I299" s="928" t="s">
        <v>381</v>
      </c>
      <c r="J299" s="10" t="s">
        <v>30</v>
      </c>
      <c r="K299" s="929">
        <v>70</v>
      </c>
      <c r="L299" s="514">
        <v>150</v>
      </c>
      <c r="M299" s="1139"/>
      <c r="N299" s="1019"/>
      <c r="O299" s="1013"/>
      <c r="P299" s="929" t="s">
        <v>34</v>
      </c>
      <c r="Q299" s="25">
        <v>0</v>
      </c>
      <c r="R299" s="25"/>
      <c r="S299" s="25"/>
      <c r="T299" s="25">
        <v>0</v>
      </c>
      <c r="U299" s="25"/>
      <c r="V299" s="25"/>
      <c r="W299" s="25">
        <v>0</v>
      </c>
      <c r="X299" s="25"/>
      <c r="Y299" s="25"/>
      <c r="Z299" s="25">
        <v>0</v>
      </c>
      <c r="AA299" s="25"/>
      <c r="AB299" s="25"/>
      <c r="AC299" s="25">
        <v>0</v>
      </c>
      <c r="AD299" s="25"/>
      <c r="AE299" s="25"/>
      <c r="AF299" s="25">
        <v>0</v>
      </c>
      <c r="AG299" s="25"/>
      <c r="AH299" s="25"/>
      <c r="AI299" s="25">
        <v>0</v>
      </c>
      <c r="AJ299" s="25"/>
      <c r="AK299" s="25"/>
      <c r="AL299" s="25"/>
      <c r="AM299" s="25"/>
      <c r="AN299" s="25"/>
      <c r="AO299" s="25"/>
      <c r="AP299" s="25"/>
      <c r="AQ299" s="25"/>
      <c r="AR299" s="25"/>
      <c r="AS299" s="25"/>
      <c r="AT299" s="25"/>
      <c r="AU299" s="25">
        <v>0</v>
      </c>
      <c r="AV299" s="25"/>
      <c r="AW299" s="25"/>
      <c r="AX299" s="25"/>
      <c r="AY299" s="25"/>
      <c r="AZ299" s="25"/>
      <c r="BA299" s="25">
        <v>0</v>
      </c>
      <c r="BB299" s="25"/>
      <c r="BC299" s="25"/>
      <c r="BD299" s="25">
        <v>0</v>
      </c>
      <c r="BE299" s="25"/>
      <c r="BF299" s="25"/>
      <c r="BG299" s="25"/>
      <c r="BH299" s="25"/>
      <c r="BI299" s="25"/>
      <c r="BJ299" s="25"/>
      <c r="BK299" s="25"/>
      <c r="BL299" s="25"/>
      <c r="BM299" s="25"/>
      <c r="BN299" s="25"/>
      <c r="BO299" s="25"/>
      <c r="BP299" s="25"/>
      <c r="BQ299" s="25"/>
      <c r="BR299" s="25"/>
      <c r="BS299" s="25"/>
      <c r="BT299" s="25"/>
      <c r="BU299" s="25"/>
      <c r="BV299" s="25"/>
      <c r="BW299" s="25"/>
      <c r="BX299" s="25"/>
      <c r="BY299" s="25">
        <v>0</v>
      </c>
      <c r="BZ299" s="25"/>
      <c r="CA299" s="25"/>
      <c r="CB299" s="25">
        <v>0</v>
      </c>
      <c r="CC299" s="26"/>
      <c r="CD299" s="26"/>
      <c r="CE299" s="864">
        <v>7000000</v>
      </c>
      <c r="CF299" s="112">
        <v>0</v>
      </c>
      <c r="CG299" s="112">
        <v>0</v>
      </c>
      <c r="CH299" s="9"/>
      <c r="CI299" s="9"/>
      <c r="CJ299" s="9"/>
      <c r="CK299" s="25">
        <v>0</v>
      </c>
      <c r="CL299" s="26"/>
      <c r="CM299" s="26"/>
      <c r="CN299" s="26">
        <v>0</v>
      </c>
      <c r="CO299" s="26"/>
      <c r="CP299" s="26"/>
      <c r="CQ299" s="26"/>
      <c r="CR299" s="26"/>
      <c r="CS299" s="26"/>
      <c r="CT299" s="25">
        <f t="shared" si="159"/>
        <v>7000000</v>
      </c>
      <c r="CU299" s="25">
        <f t="shared" si="159"/>
        <v>0</v>
      </c>
      <c r="CV299" s="25">
        <f t="shared" si="159"/>
        <v>0</v>
      </c>
    </row>
    <row r="300" spans="1:100" ht="20.25" customHeight="1" x14ac:dyDescent="0.25">
      <c r="A300" s="19"/>
      <c r="B300" s="152"/>
      <c r="C300" s="927"/>
      <c r="D300" s="928"/>
      <c r="E300" s="929"/>
      <c r="F300" s="929"/>
      <c r="G300" s="154"/>
      <c r="H300" s="155"/>
      <c r="I300" s="154"/>
      <c r="J300" s="154"/>
      <c r="K300" s="154"/>
      <c r="L300" s="154"/>
      <c r="M300" s="154"/>
      <c r="N300" s="157"/>
      <c r="O300" s="361"/>
      <c r="P300" s="155"/>
      <c r="Q300" s="255">
        <f>SUM(Q294:Q299)</f>
        <v>0</v>
      </c>
      <c r="R300" s="255">
        <f t="shared" ref="R300:CC300" si="160">SUM(R294:R299)</f>
        <v>0</v>
      </c>
      <c r="S300" s="255">
        <f t="shared" si="160"/>
        <v>0</v>
      </c>
      <c r="T300" s="255">
        <f t="shared" si="160"/>
        <v>0</v>
      </c>
      <c r="U300" s="255">
        <f t="shared" si="160"/>
        <v>0</v>
      </c>
      <c r="V300" s="255">
        <f t="shared" si="160"/>
        <v>0</v>
      </c>
      <c r="W300" s="255">
        <f t="shared" si="160"/>
        <v>0</v>
      </c>
      <c r="X300" s="255">
        <f t="shared" si="160"/>
        <v>0</v>
      </c>
      <c r="Y300" s="255">
        <f t="shared" si="160"/>
        <v>0</v>
      </c>
      <c r="Z300" s="255">
        <f t="shared" si="160"/>
        <v>0</v>
      </c>
      <c r="AA300" s="255">
        <f t="shared" si="160"/>
        <v>0</v>
      </c>
      <c r="AB300" s="255">
        <f t="shared" si="160"/>
        <v>0</v>
      </c>
      <c r="AC300" s="255">
        <f t="shared" si="160"/>
        <v>0</v>
      </c>
      <c r="AD300" s="255">
        <f t="shared" si="160"/>
        <v>0</v>
      </c>
      <c r="AE300" s="255">
        <f t="shared" si="160"/>
        <v>0</v>
      </c>
      <c r="AF300" s="255">
        <f t="shared" si="160"/>
        <v>0</v>
      </c>
      <c r="AG300" s="255">
        <f t="shared" si="160"/>
        <v>0</v>
      </c>
      <c r="AH300" s="255">
        <f t="shared" si="160"/>
        <v>0</v>
      </c>
      <c r="AI300" s="255">
        <f t="shared" si="160"/>
        <v>0</v>
      </c>
      <c r="AJ300" s="255">
        <f t="shared" si="160"/>
        <v>0</v>
      </c>
      <c r="AK300" s="255">
        <f t="shared" si="160"/>
        <v>0</v>
      </c>
      <c r="AL300" s="255">
        <f t="shared" si="160"/>
        <v>0</v>
      </c>
      <c r="AM300" s="255">
        <f t="shared" si="160"/>
        <v>0</v>
      </c>
      <c r="AN300" s="255">
        <f t="shared" si="160"/>
        <v>0</v>
      </c>
      <c r="AO300" s="255">
        <f t="shared" si="160"/>
        <v>0</v>
      </c>
      <c r="AP300" s="255">
        <f t="shared" si="160"/>
        <v>0</v>
      </c>
      <c r="AQ300" s="255">
        <f t="shared" si="160"/>
        <v>0</v>
      </c>
      <c r="AR300" s="255">
        <f t="shared" si="160"/>
        <v>0</v>
      </c>
      <c r="AS300" s="255">
        <f t="shared" si="160"/>
        <v>0</v>
      </c>
      <c r="AT300" s="255">
        <f t="shared" si="160"/>
        <v>0</v>
      </c>
      <c r="AU300" s="255">
        <f t="shared" si="160"/>
        <v>0</v>
      </c>
      <c r="AV300" s="255">
        <f t="shared" si="160"/>
        <v>0</v>
      </c>
      <c r="AW300" s="255">
        <f t="shared" si="160"/>
        <v>0</v>
      </c>
      <c r="AX300" s="255">
        <f t="shared" si="160"/>
        <v>0</v>
      </c>
      <c r="AY300" s="255">
        <f t="shared" si="160"/>
        <v>0</v>
      </c>
      <c r="AZ300" s="255">
        <f t="shared" si="160"/>
        <v>0</v>
      </c>
      <c r="BA300" s="255">
        <f t="shared" si="160"/>
        <v>0</v>
      </c>
      <c r="BB300" s="255">
        <f t="shared" si="160"/>
        <v>0</v>
      </c>
      <c r="BC300" s="255">
        <f t="shared" si="160"/>
        <v>0</v>
      </c>
      <c r="BD300" s="255">
        <f t="shared" si="160"/>
        <v>0</v>
      </c>
      <c r="BE300" s="255">
        <f t="shared" si="160"/>
        <v>0</v>
      </c>
      <c r="BF300" s="255">
        <f t="shared" si="160"/>
        <v>0</v>
      </c>
      <c r="BG300" s="255">
        <f t="shared" si="160"/>
        <v>0</v>
      </c>
      <c r="BH300" s="255">
        <f t="shared" si="160"/>
        <v>0</v>
      </c>
      <c r="BI300" s="255">
        <f t="shared" si="160"/>
        <v>0</v>
      </c>
      <c r="BJ300" s="255">
        <f t="shared" si="160"/>
        <v>0</v>
      </c>
      <c r="BK300" s="255">
        <f t="shared" si="160"/>
        <v>0</v>
      </c>
      <c r="BL300" s="255">
        <f t="shared" si="160"/>
        <v>0</v>
      </c>
      <c r="BM300" s="255">
        <f t="shared" si="160"/>
        <v>0</v>
      </c>
      <c r="BN300" s="255">
        <f t="shared" si="160"/>
        <v>0</v>
      </c>
      <c r="BO300" s="255">
        <f t="shared" si="160"/>
        <v>0</v>
      </c>
      <c r="BP300" s="255">
        <f t="shared" si="160"/>
        <v>0</v>
      </c>
      <c r="BQ300" s="255">
        <f t="shared" si="160"/>
        <v>0</v>
      </c>
      <c r="BR300" s="255">
        <f t="shared" si="160"/>
        <v>0</v>
      </c>
      <c r="BS300" s="255">
        <f t="shared" si="160"/>
        <v>0</v>
      </c>
      <c r="BT300" s="255">
        <f t="shared" si="160"/>
        <v>0</v>
      </c>
      <c r="BU300" s="255">
        <f t="shared" si="160"/>
        <v>0</v>
      </c>
      <c r="BV300" s="255">
        <f t="shared" si="160"/>
        <v>0</v>
      </c>
      <c r="BW300" s="255">
        <f t="shared" si="160"/>
        <v>0</v>
      </c>
      <c r="BX300" s="255">
        <f t="shared" si="160"/>
        <v>0</v>
      </c>
      <c r="BY300" s="255">
        <f t="shared" si="160"/>
        <v>0</v>
      </c>
      <c r="BZ300" s="255">
        <f t="shared" si="160"/>
        <v>0</v>
      </c>
      <c r="CA300" s="255">
        <f t="shared" si="160"/>
        <v>0</v>
      </c>
      <c r="CB300" s="255">
        <f t="shared" si="160"/>
        <v>0</v>
      </c>
      <c r="CC300" s="255">
        <f t="shared" si="160"/>
        <v>0</v>
      </c>
      <c r="CD300" s="255">
        <f t="shared" ref="CD300:CS300" si="161">SUM(CD294:CD299)</f>
        <v>0</v>
      </c>
      <c r="CE300" s="861">
        <f t="shared" si="161"/>
        <v>1040044406</v>
      </c>
      <c r="CF300" s="255">
        <f t="shared" si="161"/>
        <v>486973978</v>
      </c>
      <c r="CG300" s="255">
        <f t="shared" si="161"/>
        <v>486973978</v>
      </c>
      <c r="CH300" s="255">
        <f t="shared" si="161"/>
        <v>0</v>
      </c>
      <c r="CI300" s="255">
        <f t="shared" si="161"/>
        <v>0</v>
      </c>
      <c r="CJ300" s="255">
        <f t="shared" si="161"/>
        <v>0</v>
      </c>
      <c r="CK300" s="255">
        <f t="shared" si="161"/>
        <v>0</v>
      </c>
      <c r="CL300" s="255">
        <f t="shared" si="161"/>
        <v>0</v>
      </c>
      <c r="CM300" s="255">
        <f t="shared" si="161"/>
        <v>0</v>
      </c>
      <c r="CN300" s="255">
        <f t="shared" si="161"/>
        <v>0</v>
      </c>
      <c r="CO300" s="255">
        <f t="shared" si="161"/>
        <v>0</v>
      </c>
      <c r="CP300" s="255">
        <f t="shared" si="161"/>
        <v>0</v>
      </c>
      <c r="CQ300" s="255">
        <f t="shared" si="161"/>
        <v>0</v>
      </c>
      <c r="CR300" s="255">
        <f t="shared" si="161"/>
        <v>0</v>
      </c>
      <c r="CS300" s="255">
        <f t="shared" si="161"/>
        <v>0</v>
      </c>
      <c r="CT300" s="255">
        <f>SUM(CT294:CT299)</f>
        <v>1040044406</v>
      </c>
      <c r="CU300" s="255">
        <f>SUM(CU294:CU299)</f>
        <v>486973978</v>
      </c>
      <c r="CV300" s="255">
        <f>SUM(CV294:CV299)</f>
        <v>486973978</v>
      </c>
    </row>
    <row r="301" spans="1:100" ht="24" customHeight="1" x14ac:dyDescent="0.25">
      <c r="A301" s="152"/>
      <c r="B301" s="161"/>
      <c r="C301" s="218"/>
      <c r="D301" s="161"/>
      <c r="E301" s="162"/>
      <c r="F301" s="162"/>
      <c r="G301" s="161"/>
      <c r="H301" s="162"/>
      <c r="I301" s="161"/>
      <c r="J301" s="161"/>
      <c r="K301" s="161"/>
      <c r="L301" s="161"/>
      <c r="M301" s="161"/>
      <c r="N301" s="164"/>
      <c r="O301" s="161"/>
      <c r="P301" s="162"/>
      <c r="Q301" s="362">
        <f>Q300+Q291+Q286</f>
        <v>0</v>
      </c>
      <c r="R301" s="362">
        <f t="shared" ref="R301:CC301" si="162">R300+R291+R286</f>
        <v>0</v>
      </c>
      <c r="S301" s="362">
        <f t="shared" si="162"/>
        <v>0</v>
      </c>
      <c r="T301" s="362">
        <f t="shared" si="162"/>
        <v>0</v>
      </c>
      <c r="U301" s="362">
        <f t="shared" si="162"/>
        <v>0</v>
      </c>
      <c r="V301" s="362">
        <f t="shared" si="162"/>
        <v>0</v>
      </c>
      <c r="W301" s="362">
        <f t="shared" si="162"/>
        <v>0</v>
      </c>
      <c r="X301" s="362">
        <f t="shared" si="162"/>
        <v>0</v>
      </c>
      <c r="Y301" s="362">
        <f t="shared" si="162"/>
        <v>0</v>
      </c>
      <c r="Z301" s="362">
        <f t="shared" si="162"/>
        <v>0</v>
      </c>
      <c r="AA301" s="362">
        <f t="shared" si="162"/>
        <v>0</v>
      </c>
      <c r="AB301" s="362">
        <f t="shared" si="162"/>
        <v>0</v>
      </c>
      <c r="AC301" s="362">
        <f t="shared" si="162"/>
        <v>0</v>
      </c>
      <c r="AD301" s="362">
        <f t="shared" si="162"/>
        <v>0</v>
      </c>
      <c r="AE301" s="362">
        <f t="shared" si="162"/>
        <v>0</v>
      </c>
      <c r="AF301" s="362">
        <f t="shared" si="162"/>
        <v>0</v>
      </c>
      <c r="AG301" s="362">
        <f t="shared" si="162"/>
        <v>0</v>
      </c>
      <c r="AH301" s="362">
        <f t="shared" si="162"/>
        <v>0</v>
      </c>
      <c r="AI301" s="362">
        <f t="shared" si="162"/>
        <v>0</v>
      </c>
      <c r="AJ301" s="362">
        <f t="shared" si="162"/>
        <v>0</v>
      </c>
      <c r="AK301" s="362">
        <f t="shared" si="162"/>
        <v>0</v>
      </c>
      <c r="AL301" s="362">
        <f t="shared" si="162"/>
        <v>0</v>
      </c>
      <c r="AM301" s="362">
        <f t="shared" si="162"/>
        <v>0</v>
      </c>
      <c r="AN301" s="362">
        <f t="shared" si="162"/>
        <v>0</v>
      </c>
      <c r="AO301" s="362">
        <f t="shared" si="162"/>
        <v>0</v>
      </c>
      <c r="AP301" s="362">
        <f t="shared" si="162"/>
        <v>0</v>
      </c>
      <c r="AQ301" s="362">
        <f t="shared" si="162"/>
        <v>0</v>
      </c>
      <c r="AR301" s="362">
        <f t="shared" si="162"/>
        <v>0</v>
      </c>
      <c r="AS301" s="362">
        <f t="shared" si="162"/>
        <v>0</v>
      </c>
      <c r="AT301" s="362">
        <f t="shared" si="162"/>
        <v>0</v>
      </c>
      <c r="AU301" s="362">
        <f t="shared" si="162"/>
        <v>0</v>
      </c>
      <c r="AV301" s="362">
        <f t="shared" si="162"/>
        <v>0</v>
      </c>
      <c r="AW301" s="362">
        <f t="shared" si="162"/>
        <v>0</v>
      </c>
      <c r="AX301" s="362">
        <f t="shared" si="162"/>
        <v>0</v>
      </c>
      <c r="AY301" s="362">
        <f t="shared" si="162"/>
        <v>0</v>
      </c>
      <c r="AZ301" s="362">
        <f t="shared" si="162"/>
        <v>0</v>
      </c>
      <c r="BA301" s="362">
        <f t="shared" si="162"/>
        <v>0</v>
      </c>
      <c r="BB301" s="362">
        <f t="shared" si="162"/>
        <v>0</v>
      </c>
      <c r="BC301" s="362">
        <f t="shared" si="162"/>
        <v>0</v>
      </c>
      <c r="BD301" s="362">
        <f t="shared" si="162"/>
        <v>0</v>
      </c>
      <c r="BE301" s="362">
        <f t="shared" si="162"/>
        <v>0</v>
      </c>
      <c r="BF301" s="362">
        <f t="shared" si="162"/>
        <v>0</v>
      </c>
      <c r="BG301" s="362">
        <f t="shared" si="162"/>
        <v>0</v>
      </c>
      <c r="BH301" s="362">
        <f t="shared" si="162"/>
        <v>0</v>
      </c>
      <c r="BI301" s="362">
        <f t="shared" si="162"/>
        <v>0</v>
      </c>
      <c r="BJ301" s="362">
        <f t="shared" si="162"/>
        <v>0</v>
      </c>
      <c r="BK301" s="362">
        <f t="shared" si="162"/>
        <v>0</v>
      </c>
      <c r="BL301" s="362">
        <f t="shared" si="162"/>
        <v>0</v>
      </c>
      <c r="BM301" s="362">
        <f t="shared" si="162"/>
        <v>0</v>
      </c>
      <c r="BN301" s="362">
        <f t="shared" si="162"/>
        <v>0</v>
      </c>
      <c r="BO301" s="362">
        <f t="shared" si="162"/>
        <v>0</v>
      </c>
      <c r="BP301" s="362">
        <f t="shared" si="162"/>
        <v>0</v>
      </c>
      <c r="BQ301" s="362">
        <f t="shared" si="162"/>
        <v>0</v>
      </c>
      <c r="BR301" s="362">
        <f t="shared" si="162"/>
        <v>0</v>
      </c>
      <c r="BS301" s="362">
        <f t="shared" si="162"/>
        <v>0</v>
      </c>
      <c r="BT301" s="362">
        <f t="shared" si="162"/>
        <v>0</v>
      </c>
      <c r="BU301" s="362">
        <f t="shared" si="162"/>
        <v>0</v>
      </c>
      <c r="BV301" s="362">
        <f t="shared" si="162"/>
        <v>0</v>
      </c>
      <c r="BW301" s="362">
        <f t="shared" si="162"/>
        <v>0</v>
      </c>
      <c r="BX301" s="362">
        <f t="shared" si="162"/>
        <v>0</v>
      </c>
      <c r="BY301" s="362">
        <f t="shared" si="162"/>
        <v>0</v>
      </c>
      <c r="BZ301" s="362">
        <f t="shared" si="162"/>
        <v>0</v>
      </c>
      <c r="CA301" s="362">
        <f t="shared" si="162"/>
        <v>0</v>
      </c>
      <c r="CB301" s="362">
        <f t="shared" si="162"/>
        <v>0</v>
      </c>
      <c r="CC301" s="362">
        <f t="shared" si="162"/>
        <v>0</v>
      </c>
      <c r="CD301" s="362">
        <f t="shared" ref="CD301:CS301" si="163">CD300+CD291+CD286</f>
        <v>0</v>
      </c>
      <c r="CE301" s="865">
        <f t="shared" si="163"/>
        <v>1358844406</v>
      </c>
      <c r="CF301" s="362">
        <f t="shared" si="163"/>
        <v>757579704</v>
      </c>
      <c r="CG301" s="362">
        <f t="shared" si="163"/>
        <v>757025604</v>
      </c>
      <c r="CH301" s="362">
        <f t="shared" si="163"/>
        <v>0</v>
      </c>
      <c r="CI301" s="362">
        <f t="shared" si="163"/>
        <v>0</v>
      </c>
      <c r="CJ301" s="362">
        <f t="shared" si="163"/>
        <v>0</v>
      </c>
      <c r="CK301" s="362">
        <f t="shared" si="163"/>
        <v>0</v>
      </c>
      <c r="CL301" s="362">
        <f t="shared" si="163"/>
        <v>0</v>
      </c>
      <c r="CM301" s="362">
        <f t="shared" si="163"/>
        <v>0</v>
      </c>
      <c r="CN301" s="362">
        <f t="shared" si="163"/>
        <v>0</v>
      </c>
      <c r="CO301" s="362">
        <f t="shared" si="163"/>
        <v>0</v>
      </c>
      <c r="CP301" s="362">
        <f t="shared" si="163"/>
        <v>0</v>
      </c>
      <c r="CQ301" s="362">
        <f t="shared" si="163"/>
        <v>0</v>
      </c>
      <c r="CR301" s="362">
        <f t="shared" si="163"/>
        <v>0</v>
      </c>
      <c r="CS301" s="362">
        <f t="shared" si="163"/>
        <v>0</v>
      </c>
      <c r="CT301" s="362">
        <f>CT300+CT291+CT286</f>
        <v>1358844406</v>
      </c>
      <c r="CU301" s="362">
        <f>CU300+CU291+CU286</f>
        <v>757579704</v>
      </c>
      <c r="CV301" s="362">
        <f>CV300+CV291+CV286</f>
        <v>757025604</v>
      </c>
    </row>
    <row r="302" spans="1:100" s="27" customFormat="1" ht="23.25" customHeight="1" x14ac:dyDescent="0.25">
      <c r="A302" s="962"/>
      <c r="B302" s="962"/>
      <c r="C302" s="363"/>
      <c r="D302" s="364"/>
      <c r="E302" s="364"/>
      <c r="F302" s="364"/>
      <c r="G302" s="364"/>
      <c r="H302" s="363"/>
      <c r="I302" s="364"/>
      <c r="J302" s="364"/>
      <c r="K302" s="364"/>
      <c r="L302" s="364"/>
      <c r="M302" s="364"/>
      <c r="N302" s="169"/>
      <c r="O302" s="364"/>
      <c r="P302" s="364"/>
      <c r="Q302" s="364">
        <f>Q301</f>
        <v>0</v>
      </c>
      <c r="R302" s="364">
        <f t="shared" ref="R302:CC302" si="164">R301</f>
        <v>0</v>
      </c>
      <c r="S302" s="364">
        <f t="shared" si="164"/>
        <v>0</v>
      </c>
      <c r="T302" s="364">
        <f t="shared" si="164"/>
        <v>0</v>
      </c>
      <c r="U302" s="364">
        <f t="shared" si="164"/>
        <v>0</v>
      </c>
      <c r="V302" s="364">
        <f t="shared" si="164"/>
        <v>0</v>
      </c>
      <c r="W302" s="364">
        <f t="shared" si="164"/>
        <v>0</v>
      </c>
      <c r="X302" s="364">
        <f t="shared" si="164"/>
        <v>0</v>
      </c>
      <c r="Y302" s="364">
        <f t="shared" si="164"/>
        <v>0</v>
      </c>
      <c r="Z302" s="364">
        <f t="shared" si="164"/>
        <v>0</v>
      </c>
      <c r="AA302" s="364">
        <f t="shared" si="164"/>
        <v>0</v>
      </c>
      <c r="AB302" s="364">
        <f t="shared" si="164"/>
        <v>0</v>
      </c>
      <c r="AC302" s="364">
        <f t="shared" si="164"/>
        <v>0</v>
      </c>
      <c r="AD302" s="364">
        <f t="shared" si="164"/>
        <v>0</v>
      </c>
      <c r="AE302" s="364">
        <f t="shared" si="164"/>
        <v>0</v>
      </c>
      <c r="AF302" s="364">
        <f t="shared" si="164"/>
        <v>0</v>
      </c>
      <c r="AG302" s="364">
        <f t="shared" si="164"/>
        <v>0</v>
      </c>
      <c r="AH302" s="364">
        <f t="shared" si="164"/>
        <v>0</v>
      </c>
      <c r="AI302" s="364">
        <f t="shared" si="164"/>
        <v>0</v>
      </c>
      <c r="AJ302" s="364">
        <f t="shared" si="164"/>
        <v>0</v>
      </c>
      <c r="AK302" s="364">
        <f t="shared" si="164"/>
        <v>0</v>
      </c>
      <c r="AL302" s="364">
        <f t="shared" si="164"/>
        <v>0</v>
      </c>
      <c r="AM302" s="364">
        <f t="shared" si="164"/>
        <v>0</v>
      </c>
      <c r="AN302" s="364">
        <f t="shared" si="164"/>
        <v>0</v>
      </c>
      <c r="AO302" s="364">
        <f t="shared" si="164"/>
        <v>0</v>
      </c>
      <c r="AP302" s="364">
        <f t="shared" si="164"/>
        <v>0</v>
      </c>
      <c r="AQ302" s="364">
        <f t="shared" si="164"/>
        <v>0</v>
      </c>
      <c r="AR302" s="364">
        <f t="shared" si="164"/>
        <v>0</v>
      </c>
      <c r="AS302" s="364">
        <f t="shared" si="164"/>
        <v>0</v>
      </c>
      <c r="AT302" s="364">
        <f t="shared" si="164"/>
        <v>0</v>
      </c>
      <c r="AU302" s="364">
        <f t="shared" si="164"/>
        <v>0</v>
      </c>
      <c r="AV302" s="364">
        <f t="shared" si="164"/>
        <v>0</v>
      </c>
      <c r="AW302" s="364">
        <f t="shared" si="164"/>
        <v>0</v>
      </c>
      <c r="AX302" s="364">
        <f t="shared" si="164"/>
        <v>0</v>
      </c>
      <c r="AY302" s="364">
        <f t="shared" si="164"/>
        <v>0</v>
      </c>
      <c r="AZ302" s="364">
        <f t="shared" si="164"/>
        <v>0</v>
      </c>
      <c r="BA302" s="364">
        <f t="shared" si="164"/>
        <v>0</v>
      </c>
      <c r="BB302" s="364">
        <f t="shared" si="164"/>
        <v>0</v>
      </c>
      <c r="BC302" s="364">
        <f t="shared" si="164"/>
        <v>0</v>
      </c>
      <c r="BD302" s="364">
        <f t="shared" si="164"/>
        <v>0</v>
      </c>
      <c r="BE302" s="364">
        <f t="shared" si="164"/>
        <v>0</v>
      </c>
      <c r="BF302" s="364">
        <f t="shared" si="164"/>
        <v>0</v>
      </c>
      <c r="BG302" s="364">
        <f t="shared" si="164"/>
        <v>0</v>
      </c>
      <c r="BH302" s="364">
        <f t="shared" si="164"/>
        <v>0</v>
      </c>
      <c r="BI302" s="364">
        <f t="shared" si="164"/>
        <v>0</v>
      </c>
      <c r="BJ302" s="364">
        <f t="shared" si="164"/>
        <v>0</v>
      </c>
      <c r="BK302" s="364">
        <f t="shared" si="164"/>
        <v>0</v>
      </c>
      <c r="BL302" s="364">
        <f t="shared" si="164"/>
        <v>0</v>
      </c>
      <c r="BM302" s="364">
        <f t="shared" si="164"/>
        <v>0</v>
      </c>
      <c r="BN302" s="364">
        <f t="shared" si="164"/>
        <v>0</v>
      </c>
      <c r="BO302" s="364">
        <f t="shared" si="164"/>
        <v>0</v>
      </c>
      <c r="BP302" s="364">
        <f t="shared" si="164"/>
        <v>0</v>
      </c>
      <c r="BQ302" s="364">
        <f t="shared" si="164"/>
        <v>0</v>
      </c>
      <c r="BR302" s="364">
        <f t="shared" si="164"/>
        <v>0</v>
      </c>
      <c r="BS302" s="364">
        <f t="shared" si="164"/>
        <v>0</v>
      </c>
      <c r="BT302" s="364">
        <f t="shared" si="164"/>
        <v>0</v>
      </c>
      <c r="BU302" s="364">
        <f t="shared" si="164"/>
        <v>0</v>
      </c>
      <c r="BV302" s="364">
        <f t="shared" si="164"/>
        <v>0</v>
      </c>
      <c r="BW302" s="364">
        <f t="shared" si="164"/>
        <v>0</v>
      </c>
      <c r="BX302" s="364">
        <f t="shared" si="164"/>
        <v>0</v>
      </c>
      <c r="BY302" s="364">
        <f t="shared" si="164"/>
        <v>0</v>
      </c>
      <c r="BZ302" s="364">
        <f t="shared" si="164"/>
        <v>0</v>
      </c>
      <c r="CA302" s="364">
        <f t="shared" si="164"/>
        <v>0</v>
      </c>
      <c r="CB302" s="364">
        <f t="shared" si="164"/>
        <v>0</v>
      </c>
      <c r="CC302" s="364">
        <f t="shared" si="164"/>
        <v>0</v>
      </c>
      <c r="CD302" s="364">
        <f t="shared" ref="CD302:CS302" si="165">CD301</f>
        <v>0</v>
      </c>
      <c r="CE302" s="866">
        <f t="shared" si="165"/>
        <v>1358844406</v>
      </c>
      <c r="CF302" s="364">
        <f t="shared" si="165"/>
        <v>757579704</v>
      </c>
      <c r="CG302" s="364">
        <f t="shared" si="165"/>
        <v>757025604</v>
      </c>
      <c r="CH302" s="364">
        <f t="shared" si="165"/>
        <v>0</v>
      </c>
      <c r="CI302" s="364">
        <f t="shared" si="165"/>
        <v>0</v>
      </c>
      <c r="CJ302" s="364">
        <f t="shared" si="165"/>
        <v>0</v>
      </c>
      <c r="CK302" s="364">
        <f t="shared" si="165"/>
        <v>0</v>
      </c>
      <c r="CL302" s="364">
        <f t="shared" si="165"/>
        <v>0</v>
      </c>
      <c r="CM302" s="364">
        <f t="shared" si="165"/>
        <v>0</v>
      </c>
      <c r="CN302" s="364">
        <f t="shared" si="165"/>
        <v>0</v>
      </c>
      <c r="CO302" s="364">
        <f t="shared" si="165"/>
        <v>0</v>
      </c>
      <c r="CP302" s="364">
        <f t="shared" si="165"/>
        <v>0</v>
      </c>
      <c r="CQ302" s="364">
        <f t="shared" si="165"/>
        <v>0</v>
      </c>
      <c r="CR302" s="364">
        <f t="shared" si="165"/>
        <v>0</v>
      </c>
      <c r="CS302" s="364">
        <f t="shared" si="165"/>
        <v>0</v>
      </c>
      <c r="CT302" s="750">
        <f>CT301</f>
        <v>1358844406</v>
      </c>
      <c r="CU302" s="750">
        <f>CU301</f>
        <v>757579704</v>
      </c>
      <c r="CV302" s="750">
        <f>CV301</f>
        <v>757025604</v>
      </c>
    </row>
    <row r="303" spans="1:100" s="27" customFormat="1" ht="15" x14ac:dyDescent="0.25">
      <c r="A303" s="177"/>
      <c r="B303" s="177"/>
      <c r="C303" s="949"/>
      <c r="D303" s="177"/>
      <c r="E303" s="949"/>
      <c r="F303" s="949"/>
      <c r="G303" s="177"/>
      <c r="H303" s="949"/>
      <c r="I303" s="177"/>
      <c r="J303" s="177"/>
      <c r="K303" s="177"/>
      <c r="L303" s="177"/>
      <c r="M303" s="177"/>
      <c r="N303" s="179"/>
      <c r="O303" s="177"/>
      <c r="P303" s="949"/>
      <c r="Q303" s="357"/>
      <c r="R303" s="357"/>
      <c r="S303" s="357"/>
      <c r="T303" s="357"/>
      <c r="U303" s="357"/>
      <c r="V303" s="357"/>
      <c r="W303" s="357"/>
      <c r="X303" s="357"/>
      <c r="Y303" s="357"/>
      <c r="Z303" s="357"/>
      <c r="AA303" s="357"/>
      <c r="AB303" s="357"/>
      <c r="AC303" s="357"/>
      <c r="AD303" s="357"/>
      <c r="AE303" s="357"/>
      <c r="AF303" s="357"/>
      <c r="AG303" s="357"/>
      <c r="AH303" s="357"/>
      <c r="AI303" s="357"/>
      <c r="AJ303" s="357"/>
      <c r="AK303" s="357"/>
      <c r="AL303" s="357"/>
      <c r="AM303" s="357"/>
      <c r="AN303" s="357"/>
      <c r="AO303" s="357"/>
      <c r="AP303" s="357"/>
      <c r="AQ303" s="357"/>
      <c r="AR303" s="357"/>
      <c r="AS303" s="357"/>
      <c r="AT303" s="357"/>
      <c r="AU303" s="357"/>
      <c r="AV303" s="357"/>
      <c r="AW303" s="357"/>
      <c r="AX303" s="357"/>
      <c r="AY303" s="357"/>
      <c r="AZ303" s="357"/>
      <c r="BA303" s="357"/>
      <c r="BB303" s="357"/>
      <c r="BC303" s="357"/>
      <c r="BD303" s="357"/>
      <c r="BE303" s="357"/>
      <c r="BF303" s="357"/>
      <c r="BG303" s="358"/>
      <c r="BH303" s="358"/>
      <c r="BI303" s="358"/>
      <c r="BJ303" s="358"/>
      <c r="BK303" s="358"/>
      <c r="BL303" s="358"/>
      <c r="BM303" s="358"/>
      <c r="BN303" s="358"/>
      <c r="BO303" s="358"/>
      <c r="BP303" s="358"/>
      <c r="BQ303" s="358"/>
      <c r="BR303" s="358"/>
      <c r="BS303" s="358"/>
      <c r="BT303" s="358"/>
      <c r="BU303" s="358"/>
      <c r="BV303" s="358"/>
      <c r="BW303" s="358"/>
      <c r="BX303" s="358"/>
      <c r="BY303" s="357"/>
      <c r="BZ303" s="357"/>
      <c r="CA303" s="357"/>
      <c r="CB303" s="357"/>
      <c r="CC303" s="357"/>
      <c r="CD303" s="357"/>
      <c r="CE303" s="862"/>
      <c r="CF303" s="359"/>
      <c r="CG303" s="359"/>
      <c r="CH303" s="357"/>
      <c r="CI303" s="357"/>
      <c r="CJ303" s="357"/>
      <c r="CK303" s="357"/>
      <c r="CL303" s="357"/>
      <c r="CM303" s="357"/>
      <c r="CN303" s="357"/>
      <c r="CO303" s="357"/>
      <c r="CP303" s="357"/>
      <c r="CQ303" s="357"/>
      <c r="CR303" s="357"/>
      <c r="CS303" s="357"/>
      <c r="CT303" s="749"/>
      <c r="CU303" s="76"/>
      <c r="CV303" s="76"/>
    </row>
    <row r="304" spans="1:100" ht="15" x14ac:dyDescent="0.25">
      <c r="A304" s="139">
        <v>2</v>
      </c>
      <c r="B304" s="140" t="s">
        <v>113</v>
      </c>
      <c r="C304" s="141"/>
      <c r="D304" s="140"/>
      <c r="E304" s="140"/>
      <c r="F304" s="140"/>
      <c r="G304" s="140"/>
      <c r="H304" s="141"/>
      <c r="I304" s="140"/>
      <c r="J304" s="140"/>
      <c r="K304" s="140"/>
      <c r="L304" s="140"/>
      <c r="M304" s="140"/>
      <c r="N304" s="676"/>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867"/>
      <c r="CF304" s="142"/>
      <c r="CG304" s="142"/>
      <c r="CH304" s="140"/>
      <c r="CI304" s="140"/>
      <c r="CJ304" s="140"/>
      <c r="CK304" s="140"/>
      <c r="CL304" s="140"/>
      <c r="CM304" s="140"/>
      <c r="CN304" s="140"/>
      <c r="CO304" s="140"/>
      <c r="CP304" s="140"/>
      <c r="CQ304" s="140"/>
      <c r="CR304" s="140"/>
      <c r="CS304" s="140"/>
      <c r="CT304" s="540"/>
      <c r="CU304" s="540"/>
      <c r="CV304" s="540"/>
    </row>
    <row r="305" spans="1:100" ht="15" x14ac:dyDescent="0.25">
      <c r="A305" s="185"/>
      <c r="B305" s="239">
        <v>2</v>
      </c>
      <c r="C305" s="145" t="s">
        <v>290</v>
      </c>
      <c r="D305" s="146"/>
      <c r="E305" s="146"/>
      <c r="F305" s="146"/>
      <c r="G305" s="146"/>
      <c r="H305" s="147"/>
      <c r="I305" s="146"/>
      <c r="J305" s="146"/>
      <c r="K305" s="146"/>
      <c r="L305" s="146"/>
      <c r="M305" s="146"/>
      <c r="N305" s="677"/>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c r="BI305" s="146"/>
      <c r="BJ305" s="146"/>
      <c r="BK305" s="146"/>
      <c r="BL305" s="146"/>
      <c r="BM305" s="146"/>
      <c r="BN305" s="146"/>
      <c r="BO305" s="146"/>
      <c r="BP305" s="146"/>
      <c r="BQ305" s="146"/>
      <c r="BR305" s="146"/>
      <c r="BS305" s="146"/>
      <c r="BT305" s="146"/>
      <c r="BU305" s="146"/>
      <c r="BV305" s="146"/>
      <c r="BW305" s="146"/>
      <c r="BX305" s="146"/>
      <c r="BY305" s="146"/>
      <c r="BZ305" s="146"/>
      <c r="CA305" s="146"/>
      <c r="CB305" s="146"/>
      <c r="CC305" s="146"/>
      <c r="CD305" s="146"/>
      <c r="CE305" s="868"/>
      <c r="CF305" s="148"/>
      <c r="CG305" s="148"/>
      <c r="CH305" s="146"/>
      <c r="CI305" s="146"/>
      <c r="CJ305" s="146"/>
      <c r="CK305" s="146"/>
      <c r="CL305" s="146"/>
      <c r="CM305" s="146"/>
      <c r="CN305" s="146"/>
      <c r="CO305" s="146"/>
      <c r="CP305" s="146"/>
      <c r="CQ305" s="146"/>
      <c r="CR305" s="146"/>
      <c r="CS305" s="146"/>
      <c r="CT305" s="526"/>
      <c r="CU305" s="526"/>
      <c r="CV305" s="526"/>
    </row>
    <row r="306" spans="1:100" ht="23.25" customHeight="1" x14ac:dyDescent="0.25">
      <c r="A306" s="19"/>
      <c r="B306" s="185"/>
      <c r="C306" s="949"/>
      <c r="D306" s="177"/>
      <c r="E306" s="949"/>
      <c r="F306" s="927"/>
      <c r="G306" s="339">
        <v>4</v>
      </c>
      <c r="H306" s="922" t="s">
        <v>382</v>
      </c>
      <c r="I306" s="189"/>
      <c r="J306" s="189"/>
      <c r="K306" s="189"/>
      <c r="L306" s="189"/>
      <c r="M306" s="189"/>
      <c r="N306" s="678"/>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c r="BM306" s="189"/>
      <c r="BN306" s="189"/>
      <c r="BO306" s="189"/>
      <c r="BP306" s="189"/>
      <c r="BQ306" s="189"/>
      <c r="BR306" s="189"/>
      <c r="BS306" s="189"/>
      <c r="BT306" s="189"/>
      <c r="BU306" s="189"/>
      <c r="BV306" s="189"/>
      <c r="BW306" s="189"/>
      <c r="BX306" s="189"/>
      <c r="BY306" s="189"/>
      <c r="BZ306" s="189"/>
      <c r="CA306" s="189"/>
      <c r="CB306" s="189"/>
      <c r="CC306" s="189"/>
      <c r="CD306" s="189"/>
      <c r="CE306" s="857"/>
      <c r="CF306" s="190"/>
      <c r="CG306" s="190"/>
      <c r="CH306" s="189"/>
      <c r="CI306" s="189"/>
      <c r="CJ306" s="189"/>
      <c r="CK306" s="189"/>
      <c r="CL306" s="189"/>
      <c r="CM306" s="189"/>
      <c r="CN306" s="189"/>
      <c r="CO306" s="189"/>
      <c r="CP306" s="189"/>
      <c r="CQ306" s="189"/>
      <c r="CR306" s="189"/>
      <c r="CS306" s="189"/>
      <c r="CT306" s="522"/>
      <c r="CU306" s="522"/>
      <c r="CV306" s="522"/>
    </row>
    <row r="307" spans="1:100" s="27" customFormat="1" ht="82.5" customHeight="1" x14ac:dyDescent="0.25">
      <c r="A307" s="19"/>
      <c r="B307" s="19"/>
      <c r="C307" s="927" t="s">
        <v>383</v>
      </c>
      <c r="D307" s="928" t="s">
        <v>384</v>
      </c>
      <c r="E307" s="929" t="s">
        <v>385</v>
      </c>
      <c r="F307" s="929" t="s">
        <v>386</v>
      </c>
      <c r="G307" s="928"/>
      <c r="H307" s="929">
        <v>21</v>
      </c>
      <c r="I307" s="928" t="s">
        <v>387</v>
      </c>
      <c r="J307" s="10">
        <v>20</v>
      </c>
      <c r="K307" s="929">
        <v>100</v>
      </c>
      <c r="L307" s="647">
        <v>194</v>
      </c>
      <c r="M307" s="1137" t="s">
        <v>84</v>
      </c>
      <c r="N307" s="1017" t="s">
        <v>388</v>
      </c>
      <c r="O307" s="1021" t="s">
        <v>389</v>
      </c>
      <c r="P307" s="929" t="s">
        <v>34</v>
      </c>
      <c r="Q307" s="25">
        <v>0</v>
      </c>
      <c r="R307" s="25"/>
      <c r="S307" s="25"/>
      <c r="T307" s="25">
        <v>0</v>
      </c>
      <c r="U307" s="25"/>
      <c r="V307" s="25"/>
      <c r="W307" s="25">
        <v>0</v>
      </c>
      <c r="X307" s="25"/>
      <c r="Y307" s="25"/>
      <c r="Z307" s="25">
        <v>0</v>
      </c>
      <c r="AA307" s="25"/>
      <c r="AB307" s="25"/>
      <c r="AC307" s="25">
        <v>0</v>
      </c>
      <c r="AD307" s="25"/>
      <c r="AE307" s="25"/>
      <c r="AF307" s="25">
        <v>0</v>
      </c>
      <c r="AG307" s="25"/>
      <c r="AH307" s="25"/>
      <c r="AI307" s="25">
        <v>0</v>
      </c>
      <c r="AJ307" s="25"/>
      <c r="AK307" s="25"/>
      <c r="AL307" s="25"/>
      <c r="AM307" s="25"/>
      <c r="AN307" s="25"/>
      <c r="AO307" s="25"/>
      <c r="AP307" s="25"/>
      <c r="AQ307" s="25"/>
      <c r="AR307" s="25"/>
      <c r="AS307" s="25"/>
      <c r="AT307" s="25"/>
      <c r="AU307" s="25">
        <v>0</v>
      </c>
      <c r="AV307" s="25"/>
      <c r="AW307" s="25"/>
      <c r="AX307" s="25"/>
      <c r="AY307" s="25"/>
      <c r="AZ307" s="25"/>
      <c r="BA307" s="25">
        <v>0</v>
      </c>
      <c r="BB307" s="25"/>
      <c r="BC307" s="25"/>
      <c r="BD307" s="25">
        <v>0</v>
      </c>
      <c r="BE307" s="25"/>
      <c r="BF307" s="25"/>
      <c r="BG307" s="25"/>
      <c r="BH307" s="25"/>
      <c r="BI307" s="25"/>
      <c r="BJ307" s="25"/>
      <c r="BK307" s="25"/>
      <c r="BL307" s="25"/>
      <c r="BM307" s="25"/>
      <c r="BN307" s="25"/>
      <c r="BO307" s="25"/>
      <c r="BP307" s="25"/>
      <c r="BQ307" s="25"/>
      <c r="BR307" s="25"/>
      <c r="BS307" s="25"/>
      <c r="BT307" s="25"/>
      <c r="BU307" s="25"/>
      <c r="BV307" s="25"/>
      <c r="BW307" s="25"/>
      <c r="BX307" s="25"/>
      <c r="BY307" s="25">
        <v>0</v>
      </c>
      <c r="BZ307" s="25"/>
      <c r="CA307" s="25"/>
      <c r="CB307" s="25">
        <v>0</v>
      </c>
      <c r="CC307" s="26"/>
      <c r="CD307" s="26"/>
      <c r="CE307" s="864">
        <f>50000000+50000000</f>
        <v>100000000</v>
      </c>
      <c r="CF307" s="112">
        <v>71426997</v>
      </c>
      <c r="CG307" s="112">
        <v>71272597</v>
      </c>
      <c r="CH307" s="9"/>
      <c r="CI307" s="9"/>
      <c r="CJ307" s="9"/>
      <c r="CK307" s="25">
        <v>0</v>
      </c>
      <c r="CL307" s="26"/>
      <c r="CM307" s="26"/>
      <c r="CN307" s="26">
        <v>0</v>
      </c>
      <c r="CO307" s="26"/>
      <c r="CP307" s="26"/>
      <c r="CQ307" s="26"/>
      <c r="CR307" s="26"/>
      <c r="CS307" s="26"/>
      <c r="CT307" s="25">
        <f t="shared" ref="CT307:CV310" si="166">Q307+T307+W307+Z307+AC307+AF307+AI307+AL307+AO307+AR307+AU307+AX307+BA307+BD307+BG307+BJ307+BM307+BP307+BS307+BV307+BY307+CB307+CE307+CH307+CK307+CQ307+CN307</f>
        <v>100000000</v>
      </c>
      <c r="CU307" s="25">
        <f t="shared" si="166"/>
        <v>71426997</v>
      </c>
      <c r="CV307" s="25">
        <f t="shared" si="166"/>
        <v>71272597</v>
      </c>
    </row>
    <row r="308" spans="1:100" s="27" customFormat="1" ht="82.5" customHeight="1" x14ac:dyDescent="0.25">
      <c r="A308" s="19"/>
      <c r="B308" s="19"/>
      <c r="C308" s="927" t="s">
        <v>383</v>
      </c>
      <c r="D308" s="928" t="s">
        <v>384</v>
      </c>
      <c r="E308" s="929" t="s">
        <v>385</v>
      </c>
      <c r="F308" s="929" t="s">
        <v>386</v>
      </c>
      <c r="G308" s="928"/>
      <c r="H308" s="927">
        <v>22</v>
      </c>
      <c r="I308" s="928" t="s">
        <v>390</v>
      </c>
      <c r="J308" s="10">
        <v>0</v>
      </c>
      <c r="K308" s="10">
        <v>1</v>
      </c>
      <c r="L308" s="647">
        <v>2</v>
      </c>
      <c r="M308" s="1138"/>
      <c r="N308" s="1018"/>
      <c r="O308" s="1023"/>
      <c r="P308" s="929" t="s">
        <v>34</v>
      </c>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6"/>
      <c r="CD308" s="26"/>
      <c r="CE308" s="864">
        <v>50000000</v>
      </c>
      <c r="CF308" s="112">
        <v>48509333</v>
      </c>
      <c r="CG308" s="112">
        <v>48509333</v>
      </c>
      <c r="CH308" s="9"/>
      <c r="CI308" s="9"/>
      <c r="CJ308" s="9"/>
      <c r="CK308" s="25"/>
      <c r="CL308" s="26"/>
      <c r="CM308" s="26"/>
      <c r="CN308" s="26"/>
      <c r="CO308" s="26"/>
      <c r="CP308" s="26"/>
      <c r="CQ308" s="26"/>
      <c r="CR308" s="26"/>
      <c r="CS308" s="26"/>
      <c r="CT308" s="25">
        <f t="shared" si="166"/>
        <v>50000000</v>
      </c>
      <c r="CU308" s="25">
        <f t="shared" si="166"/>
        <v>48509333</v>
      </c>
      <c r="CV308" s="25">
        <f t="shared" si="166"/>
        <v>48509333</v>
      </c>
    </row>
    <row r="309" spans="1:100" s="27" customFormat="1" ht="51" customHeight="1" x14ac:dyDescent="0.25">
      <c r="A309" s="19"/>
      <c r="B309" s="19"/>
      <c r="C309" s="927" t="s">
        <v>383</v>
      </c>
      <c r="D309" s="928" t="s">
        <v>384</v>
      </c>
      <c r="E309" s="929" t="s">
        <v>385</v>
      </c>
      <c r="F309" s="929" t="s">
        <v>386</v>
      </c>
      <c r="G309" s="928"/>
      <c r="H309" s="927">
        <v>23</v>
      </c>
      <c r="I309" s="928" t="s">
        <v>391</v>
      </c>
      <c r="J309" s="10">
        <v>0</v>
      </c>
      <c r="K309" s="10">
        <v>1</v>
      </c>
      <c r="L309" s="647">
        <v>1</v>
      </c>
      <c r="M309" s="1138"/>
      <c r="N309" s="1018"/>
      <c r="O309" s="1023"/>
      <c r="P309" s="929" t="s">
        <v>38</v>
      </c>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6"/>
      <c r="CD309" s="26"/>
      <c r="CE309" s="864">
        <f>200000000-50000000</f>
        <v>150000000</v>
      </c>
      <c r="CF309" s="112">
        <v>76732570</v>
      </c>
      <c r="CG309" s="112">
        <v>76732570</v>
      </c>
      <c r="CH309" s="9"/>
      <c r="CI309" s="9"/>
      <c r="CJ309" s="9"/>
      <c r="CK309" s="25"/>
      <c r="CL309" s="26"/>
      <c r="CM309" s="26"/>
      <c r="CN309" s="26"/>
      <c r="CO309" s="26"/>
      <c r="CP309" s="26"/>
      <c r="CQ309" s="26"/>
      <c r="CR309" s="26"/>
      <c r="CS309" s="26"/>
      <c r="CT309" s="25">
        <f t="shared" si="166"/>
        <v>150000000</v>
      </c>
      <c r="CU309" s="25">
        <f t="shared" si="166"/>
        <v>76732570</v>
      </c>
      <c r="CV309" s="25">
        <f t="shared" si="166"/>
        <v>76732570</v>
      </c>
    </row>
    <row r="310" spans="1:100" s="27" customFormat="1" ht="183" customHeight="1" x14ac:dyDescent="0.25">
      <c r="A310" s="19"/>
      <c r="B310" s="19"/>
      <c r="C310" s="927" t="s">
        <v>383</v>
      </c>
      <c r="D310" s="928" t="s">
        <v>384</v>
      </c>
      <c r="E310" s="929" t="s">
        <v>385</v>
      </c>
      <c r="F310" s="929" t="s">
        <v>386</v>
      </c>
      <c r="G310" s="928"/>
      <c r="H310" s="927">
        <v>24</v>
      </c>
      <c r="I310" s="928" t="s">
        <v>392</v>
      </c>
      <c r="J310" s="10">
        <v>0</v>
      </c>
      <c r="K310" s="10">
        <v>1</v>
      </c>
      <c r="L310" s="647">
        <v>4</v>
      </c>
      <c r="M310" s="1139"/>
      <c r="N310" s="1019"/>
      <c r="O310" s="1022"/>
      <c r="P310" s="929" t="s">
        <v>34</v>
      </c>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6"/>
      <c r="CD310" s="26"/>
      <c r="CE310" s="864">
        <v>50000000</v>
      </c>
      <c r="CF310" s="112">
        <v>27925000</v>
      </c>
      <c r="CG310" s="112">
        <v>27925000</v>
      </c>
      <c r="CH310" s="9"/>
      <c r="CI310" s="9"/>
      <c r="CJ310" s="9"/>
      <c r="CK310" s="25"/>
      <c r="CL310" s="26"/>
      <c r="CM310" s="26"/>
      <c r="CN310" s="26"/>
      <c r="CO310" s="26"/>
      <c r="CP310" s="26"/>
      <c r="CQ310" s="26"/>
      <c r="CR310" s="26"/>
      <c r="CS310" s="26"/>
      <c r="CT310" s="25">
        <f t="shared" si="166"/>
        <v>50000000</v>
      </c>
      <c r="CU310" s="25">
        <f t="shared" si="166"/>
        <v>27925000</v>
      </c>
      <c r="CV310" s="25">
        <f t="shared" si="166"/>
        <v>27925000</v>
      </c>
    </row>
    <row r="311" spans="1:100" s="27" customFormat="1" ht="21" customHeight="1" x14ac:dyDescent="0.25">
      <c r="A311" s="19"/>
      <c r="B311" s="19"/>
      <c r="C311" s="927"/>
      <c r="D311" s="928"/>
      <c r="E311" s="929"/>
      <c r="F311" s="929"/>
      <c r="G311" s="119"/>
      <c r="H311" s="120"/>
      <c r="I311" s="11"/>
      <c r="J311" s="12"/>
      <c r="K311" s="12"/>
      <c r="L311" s="105"/>
      <c r="M311" s="105"/>
      <c r="N311" s="121"/>
      <c r="O311" s="122"/>
      <c r="P311" s="123"/>
      <c r="Q311" s="124">
        <f>SUM(Q307:Q310)</f>
        <v>0</v>
      </c>
      <c r="R311" s="124">
        <f t="shared" ref="R311:CC311" si="167">SUM(R307:R310)</f>
        <v>0</v>
      </c>
      <c r="S311" s="124">
        <f t="shared" si="167"/>
        <v>0</v>
      </c>
      <c r="T311" s="124">
        <f t="shared" si="167"/>
        <v>0</v>
      </c>
      <c r="U311" s="124">
        <f t="shared" si="167"/>
        <v>0</v>
      </c>
      <c r="V311" s="124">
        <f t="shared" si="167"/>
        <v>0</v>
      </c>
      <c r="W311" s="124">
        <f t="shared" si="167"/>
        <v>0</v>
      </c>
      <c r="X311" s="124">
        <f t="shared" si="167"/>
        <v>0</v>
      </c>
      <c r="Y311" s="124">
        <f t="shared" si="167"/>
        <v>0</v>
      </c>
      <c r="Z311" s="124">
        <f t="shared" si="167"/>
        <v>0</v>
      </c>
      <c r="AA311" s="124">
        <f t="shared" si="167"/>
        <v>0</v>
      </c>
      <c r="AB311" s="124">
        <f t="shared" si="167"/>
        <v>0</v>
      </c>
      <c r="AC311" s="124">
        <f t="shared" si="167"/>
        <v>0</v>
      </c>
      <c r="AD311" s="124">
        <f t="shared" si="167"/>
        <v>0</v>
      </c>
      <c r="AE311" s="124">
        <f t="shared" si="167"/>
        <v>0</v>
      </c>
      <c r="AF311" s="124">
        <f t="shared" si="167"/>
        <v>0</v>
      </c>
      <c r="AG311" s="124">
        <f t="shared" si="167"/>
        <v>0</v>
      </c>
      <c r="AH311" s="124">
        <f t="shared" si="167"/>
        <v>0</v>
      </c>
      <c r="AI311" s="124">
        <f t="shared" si="167"/>
        <v>0</v>
      </c>
      <c r="AJ311" s="124">
        <f t="shared" si="167"/>
        <v>0</v>
      </c>
      <c r="AK311" s="124">
        <f t="shared" si="167"/>
        <v>0</v>
      </c>
      <c r="AL311" s="124">
        <f t="shared" si="167"/>
        <v>0</v>
      </c>
      <c r="AM311" s="124">
        <f t="shared" si="167"/>
        <v>0</v>
      </c>
      <c r="AN311" s="124">
        <f t="shared" si="167"/>
        <v>0</v>
      </c>
      <c r="AO311" s="124">
        <f t="shared" si="167"/>
        <v>0</v>
      </c>
      <c r="AP311" s="124">
        <f t="shared" si="167"/>
        <v>0</v>
      </c>
      <c r="AQ311" s="124">
        <f t="shared" si="167"/>
        <v>0</v>
      </c>
      <c r="AR311" s="124">
        <f t="shared" si="167"/>
        <v>0</v>
      </c>
      <c r="AS311" s="124">
        <f t="shared" si="167"/>
        <v>0</v>
      </c>
      <c r="AT311" s="124">
        <f t="shared" si="167"/>
        <v>0</v>
      </c>
      <c r="AU311" s="124">
        <f t="shared" si="167"/>
        <v>0</v>
      </c>
      <c r="AV311" s="124">
        <f t="shared" si="167"/>
        <v>0</v>
      </c>
      <c r="AW311" s="124">
        <f t="shared" si="167"/>
        <v>0</v>
      </c>
      <c r="AX311" s="124">
        <f t="shared" si="167"/>
        <v>0</v>
      </c>
      <c r="AY311" s="124">
        <f t="shared" si="167"/>
        <v>0</v>
      </c>
      <c r="AZ311" s="124">
        <f t="shared" si="167"/>
        <v>0</v>
      </c>
      <c r="BA311" s="124">
        <f t="shared" si="167"/>
        <v>0</v>
      </c>
      <c r="BB311" s="124">
        <f t="shared" si="167"/>
        <v>0</v>
      </c>
      <c r="BC311" s="124">
        <f t="shared" si="167"/>
        <v>0</v>
      </c>
      <c r="BD311" s="124">
        <f t="shared" si="167"/>
        <v>0</v>
      </c>
      <c r="BE311" s="124">
        <f t="shared" si="167"/>
        <v>0</v>
      </c>
      <c r="BF311" s="124">
        <f t="shared" si="167"/>
        <v>0</v>
      </c>
      <c r="BG311" s="124">
        <f t="shared" si="167"/>
        <v>0</v>
      </c>
      <c r="BH311" s="124">
        <f t="shared" si="167"/>
        <v>0</v>
      </c>
      <c r="BI311" s="124">
        <f t="shared" si="167"/>
        <v>0</v>
      </c>
      <c r="BJ311" s="124">
        <f t="shared" si="167"/>
        <v>0</v>
      </c>
      <c r="BK311" s="124">
        <f t="shared" si="167"/>
        <v>0</v>
      </c>
      <c r="BL311" s="124">
        <f t="shared" si="167"/>
        <v>0</v>
      </c>
      <c r="BM311" s="124">
        <f t="shared" si="167"/>
        <v>0</v>
      </c>
      <c r="BN311" s="124">
        <f t="shared" si="167"/>
        <v>0</v>
      </c>
      <c r="BO311" s="124">
        <f t="shared" si="167"/>
        <v>0</v>
      </c>
      <c r="BP311" s="124">
        <f t="shared" si="167"/>
        <v>0</v>
      </c>
      <c r="BQ311" s="124">
        <f t="shared" si="167"/>
        <v>0</v>
      </c>
      <c r="BR311" s="124">
        <f t="shared" si="167"/>
        <v>0</v>
      </c>
      <c r="BS311" s="124">
        <f t="shared" si="167"/>
        <v>0</v>
      </c>
      <c r="BT311" s="124">
        <f t="shared" si="167"/>
        <v>0</v>
      </c>
      <c r="BU311" s="124">
        <f t="shared" si="167"/>
        <v>0</v>
      </c>
      <c r="BV311" s="124">
        <f t="shared" si="167"/>
        <v>0</v>
      </c>
      <c r="BW311" s="124">
        <f t="shared" si="167"/>
        <v>0</v>
      </c>
      <c r="BX311" s="124">
        <f t="shared" si="167"/>
        <v>0</v>
      </c>
      <c r="BY311" s="124">
        <f t="shared" si="167"/>
        <v>0</v>
      </c>
      <c r="BZ311" s="124">
        <f t="shared" si="167"/>
        <v>0</v>
      </c>
      <c r="CA311" s="124">
        <f t="shared" si="167"/>
        <v>0</v>
      </c>
      <c r="CB311" s="124">
        <f t="shared" si="167"/>
        <v>0</v>
      </c>
      <c r="CC311" s="124">
        <f t="shared" si="167"/>
        <v>0</v>
      </c>
      <c r="CD311" s="124">
        <f t="shared" ref="CD311:CV311" si="168">SUM(CD307:CD310)</f>
        <v>0</v>
      </c>
      <c r="CE311" s="869">
        <f t="shared" si="168"/>
        <v>350000000</v>
      </c>
      <c r="CF311" s="124">
        <f t="shared" si="168"/>
        <v>224593900</v>
      </c>
      <c r="CG311" s="124">
        <f t="shared" si="168"/>
        <v>224439500</v>
      </c>
      <c r="CH311" s="124">
        <f t="shared" si="168"/>
        <v>0</v>
      </c>
      <c r="CI311" s="124">
        <f t="shared" si="168"/>
        <v>0</v>
      </c>
      <c r="CJ311" s="124">
        <f t="shared" si="168"/>
        <v>0</v>
      </c>
      <c r="CK311" s="124">
        <f t="shared" si="168"/>
        <v>0</v>
      </c>
      <c r="CL311" s="124">
        <f t="shared" si="168"/>
        <v>0</v>
      </c>
      <c r="CM311" s="124">
        <f t="shared" si="168"/>
        <v>0</v>
      </c>
      <c r="CN311" s="124">
        <f t="shared" si="168"/>
        <v>0</v>
      </c>
      <c r="CO311" s="124">
        <f t="shared" si="168"/>
        <v>0</v>
      </c>
      <c r="CP311" s="124">
        <f t="shared" si="168"/>
        <v>0</v>
      </c>
      <c r="CQ311" s="124">
        <f t="shared" si="168"/>
        <v>0</v>
      </c>
      <c r="CR311" s="124">
        <f t="shared" si="168"/>
        <v>0</v>
      </c>
      <c r="CS311" s="124">
        <f t="shared" si="168"/>
        <v>0</v>
      </c>
      <c r="CT311" s="124">
        <f t="shared" si="168"/>
        <v>350000000</v>
      </c>
      <c r="CU311" s="124">
        <f t="shared" si="168"/>
        <v>224593900</v>
      </c>
      <c r="CV311" s="124">
        <f t="shared" si="168"/>
        <v>224439500</v>
      </c>
    </row>
    <row r="312" spans="1:100" s="27" customFormat="1" ht="21" customHeight="1" x14ac:dyDescent="0.25">
      <c r="A312" s="19"/>
      <c r="B312" s="19"/>
      <c r="C312" s="927"/>
      <c r="D312" s="928"/>
      <c r="E312" s="929"/>
      <c r="F312" s="929"/>
      <c r="G312" s="919"/>
      <c r="H312" s="931"/>
      <c r="I312" s="928"/>
      <c r="J312" s="10"/>
      <c r="K312" s="10"/>
      <c r="L312" s="925"/>
      <c r="M312" s="925"/>
      <c r="N312" s="951"/>
      <c r="O312" s="916"/>
      <c r="P312" s="929"/>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6"/>
      <c r="CD312" s="26"/>
      <c r="CE312" s="864"/>
      <c r="CF312" s="112"/>
      <c r="CG312" s="112"/>
      <c r="CH312" s="9"/>
      <c r="CI312" s="9"/>
      <c r="CJ312" s="9"/>
      <c r="CK312" s="26"/>
      <c r="CL312" s="26"/>
      <c r="CM312" s="26"/>
      <c r="CN312" s="26"/>
      <c r="CO312" s="26"/>
      <c r="CP312" s="26"/>
      <c r="CQ312" s="26"/>
      <c r="CR312" s="26"/>
      <c r="CS312" s="26"/>
      <c r="CT312" s="25"/>
      <c r="CU312" s="25"/>
      <c r="CV312" s="25"/>
    </row>
    <row r="313" spans="1:100" s="27" customFormat="1" ht="28.5" customHeight="1" x14ac:dyDescent="0.25">
      <c r="A313" s="19"/>
      <c r="B313" s="19"/>
      <c r="C313" s="927"/>
      <c r="D313" s="928"/>
      <c r="E313" s="929"/>
      <c r="F313" s="929"/>
      <c r="G313" s="125">
        <v>5</v>
      </c>
      <c r="H313" s="126" t="s">
        <v>393</v>
      </c>
      <c r="I313" s="11"/>
      <c r="J313" s="12"/>
      <c r="K313" s="12"/>
      <c r="L313" s="12"/>
      <c r="M313" s="12"/>
      <c r="N313" s="365"/>
      <c r="O313" s="123"/>
      <c r="P313" s="123"/>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c r="BY313" s="124"/>
      <c r="BZ313" s="124"/>
      <c r="CA313" s="124"/>
      <c r="CB313" s="124"/>
      <c r="CC313" s="124"/>
      <c r="CD313" s="124"/>
      <c r="CE313" s="870"/>
      <c r="CF313" s="366"/>
      <c r="CG313" s="366"/>
      <c r="CH313" s="367"/>
      <c r="CI313" s="367"/>
      <c r="CJ313" s="367"/>
      <c r="CK313" s="367">
        <f>SUM(CK307:CK310)</f>
        <v>0</v>
      </c>
      <c r="CL313" s="367"/>
      <c r="CM313" s="367"/>
      <c r="CN313" s="367">
        <f>SUM(CN307:CN310)</f>
        <v>0</v>
      </c>
      <c r="CO313" s="367"/>
      <c r="CP313" s="367"/>
      <c r="CQ313" s="367">
        <f>SUM(CQ307:CQ310)</f>
        <v>0</v>
      </c>
      <c r="CR313" s="367"/>
      <c r="CS313" s="367"/>
      <c r="CT313" s="751"/>
      <c r="CU313" s="751"/>
      <c r="CV313" s="751"/>
    </row>
    <row r="314" spans="1:100" s="27" customFormat="1" ht="190.5" customHeight="1" x14ac:dyDescent="0.25">
      <c r="A314" s="19"/>
      <c r="B314" s="19"/>
      <c r="C314" s="927" t="s">
        <v>383</v>
      </c>
      <c r="D314" s="928" t="s">
        <v>384</v>
      </c>
      <c r="E314" s="929" t="s">
        <v>385</v>
      </c>
      <c r="F314" s="929" t="s">
        <v>386</v>
      </c>
      <c r="G314" s="76"/>
      <c r="H314" s="929">
        <v>25</v>
      </c>
      <c r="I314" s="928" t="s">
        <v>394</v>
      </c>
      <c r="J314" s="10" t="s">
        <v>30</v>
      </c>
      <c r="K314" s="929">
        <v>2</v>
      </c>
      <c r="L314" s="647">
        <v>2</v>
      </c>
      <c r="M314" s="1137" t="s">
        <v>84</v>
      </c>
      <c r="N314" s="1017" t="s">
        <v>395</v>
      </c>
      <c r="O314" s="1021" t="s">
        <v>396</v>
      </c>
      <c r="P314" s="929" t="s">
        <v>34</v>
      </c>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6"/>
      <c r="CD314" s="26"/>
      <c r="CE314" s="864">
        <f>300000000+60000000</f>
        <v>360000000</v>
      </c>
      <c r="CF314" s="112">
        <v>342594597</v>
      </c>
      <c r="CG314" s="112">
        <v>322577263</v>
      </c>
      <c r="CH314" s="9"/>
      <c r="CI314" s="9"/>
      <c r="CJ314" s="9"/>
      <c r="CK314" s="25"/>
      <c r="CL314" s="26"/>
      <c r="CM314" s="26"/>
      <c r="CN314" s="26"/>
      <c r="CO314" s="26"/>
      <c r="CP314" s="26"/>
      <c r="CQ314" s="26"/>
      <c r="CR314" s="26"/>
      <c r="CS314" s="26"/>
      <c r="CT314" s="25">
        <f t="shared" ref="CT314:CV319" si="169">Q314+T314+W314+Z314+AC314+AF314+AI314+AL314+AO314+AR314+AU314+AX314+BA314+BD314+BG314+BJ314+BM314+BP314+BS314+BV314+BY314+CB314+CE314+CH314+CK314+CQ314+CN314</f>
        <v>360000000</v>
      </c>
      <c r="CU314" s="25">
        <f t="shared" si="169"/>
        <v>342594597</v>
      </c>
      <c r="CV314" s="25">
        <f t="shared" si="169"/>
        <v>322577263</v>
      </c>
    </row>
    <row r="315" spans="1:100" s="27" customFormat="1" ht="203.25" customHeight="1" x14ac:dyDescent="0.25">
      <c r="A315" s="19"/>
      <c r="B315" s="19"/>
      <c r="C315" s="927" t="s">
        <v>383</v>
      </c>
      <c r="D315" s="928" t="s">
        <v>384</v>
      </c>
      <c r="E315" s="929" t="s">
        <v>385</v>
      </c>
      <c r="F315" s="929" t="s">
        <v>386</v>
      </c>
      <c r="G315" s="76"/>
      <c r="H315" s="929">
        <v>26</v>
      </c>
      <c r="I315" s="928" t="s">
        <v>397</v>
      </c>
      <c r="J315" s="10" t="s">
        <v>30</v>
      </c>
      <c r="K315" s="929">
        <v>1</v>
      </c>
      <c r="L315" s="647">
        <v>1</v>
      </c>
      <c r="M315" s="1138"/>
      <c r="N315" s="1018"/>
      <c r="O315" s="1023"/>
      <c r="P315" s="929" t="s">
        <v>34</v>
      </c>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6"/>
      <c r="CD315" s="26"/>
      <c r="CE315" s="864">
        <v>50000000</v>
      </c>
      <c r="CF315" s="112">
        <v>36090333</v>
      </c>
      <c r="CG315" s="112">
        <v>36090333</v>
      </c>
      <c r="CH315" s="9"/>
      <c r="CI315" s="9"/>
      <c r="CJ315" s="9"/>
      <c r="CK315" s="25"/>
      <c r="CL315" s="26"/>
      <c r="CM315" s="26"/>
      <c r="CN315" s="26"/>
      <c r="CO315" s="26"/>
      <c r="CP315" s="26"/>
      <c r="CQ315" s="26"/>
      <c r="CR315" s="26"/>
      <c r="CS315" s="26"/>
      <c r="CT315" s="25">
        <f t="shared" si="169"/>
        <v>50000000</v>
      </c>
      <c r="CU315" s="25">
        <f t="shared" si="169"/>
        <v>36090333</v>
      </c>
      <c r="CV315" s="25">
        <f t="shared" si="169"/>
        <v>36090333</v>
      </c>
    </row>
    <row r="316" spans="1:100" s="27" customFormat="1" ht="189" customHeight="1" x14ac:dyDescent="0.25">
      <c r="A316" s="19"/>
      <c r="B316" s="19"/>
      <c r="C316" s="927" t="s">
        <v>383</v>
      </c>
      <c r="D316" s="928" t="s">
        <v>384</v>
      </c>
      <c r="E316" s="929" t="s">
        <v>385</v>
      </c>
      <c r="F316" s="929" t="s">
        <v>386</v>
      </c>
      <c r="G316" s="76"/>
      <c r="H316" s="929">
        <v>27</v>
      </c>
      <c r="I316" s="928" t="s">
        <v>398</v>
      </c>
      <c r="J316" s="10">
        <v>0</v>
      </c>
      <c r="K316" s="929">
        <v>2</v>
      </c>
      <c r="L316" s="647">
        <v>1</v>
      </c>
      <c r="M316" s="1138"/>
      <c r="N316" s="1018"/>
      <c r="O316" s="1023"/>
      <c r="P316" s="929" t="s">
        <v>34</v>
      </c>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6"/>
      <c r="CD316" s="26"/>
      <c r="CE316" s="864"/>
      <c r="CF316" s="112"/>
      <c r="CG316" s="112"/>
      <c r="CH316" s="9"/>
      <c r="CI316" s="9"/>
      <c r="CJ316" s="9"/>
      <c r="CK316" s="25"/>
      <c r="CL316" s="26"/>
      <c r="CM316" s="26"/>
      <c r="CN316" s="26"/>
      <c r="CO316" s="26"/>
      <c r="CP316" s="26"/>
      <c r="CQ316" s="26"/>
      <c r="CR316" s="26"/>
      <c r="CS316" s="26"/>
      <c r="CT316" s="25">
        <f t="shared" si="169"/>
        <v>0</v>
      </c>
      <c r="CU316" s="25">
        <f t="shared" si="169"/>
        <v>0</v>
      </c>
      <c r="CV316" s="25">
        <f t="shared" si="169"/>
        <v>0</v>
      </c>
    </row>
    <row r="317" spans="1:100" s="27" customFormat="1" ht="174" customHeight="1" x14ac:dyDescent="0.25">
      <c r="A317" s="19"/>
      <c r="B317" s="19"/>
      <c r="C317" s="927" t="s">
        <v>383</v>
      </c>
      <c r="D317" s="928" t="s">
        <v>384</v>
      </c>
      <c r="E317" s="929" t="s">
        <v>385</v>
      </c>
      <c r="F317" s="929" t="s">
        <v>386</v>
      </c>
      <c r="G317" s="76"/>
      <c r="H317" s="929">
        <v>28</v>
      </c>
      <c r="I317" s="928" t="s">
        <v>399</v>
      </c>
      <c r="J317" s="10" t="s">
        <v>30</v>
      </c>
      <c r="K317" s="929">
        <v>2</v>
      </c>
      <c r="L317" s="647">
        <v>2</v>
      </c>
      <c r="M317" s="1138"/>
      <c r="N317" s="1019"/>
      <c r="O317" s="1022"/>
      <c r="P317" s="929" t="s">
        <v>34</v>
      </c>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6"/>
      <c r="CD317" s="26"/>
      <c r="CE317" s="864"/>
      <c r="CF317" s="112"/>
      <c r="CG317" s="112"/>
      <c r="CH317" s="9"/>
      <c r="CI317" s="9"/>
      <c r="CJ317" s="9"/>
      <c r="CK317" s="25"/>
      <c r="CL317" s="26"/>
      <c r="CM317" s="26"/>
      <c r="CN317" s="26"/>
      <c r="CO317" s="26"/>
      <c r="CP317" s="26"/>
      <c r="CQ317" s="26"/>
      <c r="CR317" s="26"/>
      <c r="CS317" s="26"/>
      <c r="CT317" s="25">
        <f t="shared" si="169"/>
        <v>0</v>
      </c>
      <c r="CU317" s="25">
        <f t="shared" si="169"/>
        <v>0</v>
      </c>
      <c r="CV317" s="25">
        <f t="shared" si="169"/>
        <v>0</v>
      </c>
    </row>
    <row r="318" spans="1:100" s="27" customFormat="1" ht="203.25" customHeight="1" x14ac:dyDescent="0.25">
      <c r="A318" s="19"/>
      <c r="B318" s="19"/>
      <c r="C318" s="927" t="s">
        <v>383</v>
      </c>
      <c r="D318" s="928" t="s">
        <v>384</v>
      </c>
      <c r="E318" s="929" t="s">
        <v>385</v>
      </c>
      <c r="F318" s="929" t="s">
        <v>386</v>
      </c>
      <c r="G318" s="76"/>
      <c r="H318" s="929">
        <v>29</v>
      </c>
      <c r="I318" s="928" t="s">
        <v>400</v>
      </c>
      <c r="J318" s="10">
        <v>0</v>
      </c>
      <c r="K318" s="929">
        <v>1</v>
      </c>
      <c r="L318" s="647">
        <v>1</v>
      </c>
      <c r="M318" s="1138"/>
      <c r="N318" s="951" t="s">
        <v>883</v>
      </c>
      <c r="O318" s="916" t="s">
        <v>401</v>
      </c>
      <c r="P318" s="929" t="s">
        <v>38</v>
      </c>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6"/>
      <c r="CD318" s="26"/>
      <c r="CE318" s="864">
        <v>25000000</v>
      </c>
      <c r="CF318" s="112">
        <v>25000000</v>
      </c>
      <c r="CG318" s="112">
        <v>25000000</v>
      </c>
      <c r="CH318" s="9"/>
      <c r="CI318" s="9"/>
      <c r="CJ318" s="9"/>
      <c r="CK318" s="25"/>
      <c r="CL318" s="26"/>
      <c r="CM318" s="26"/>
      <c r="CN318" s="26"/>
      <c r="CO318" s="26"/>
      <c r="CP318" s="26"/>
      <c r="CQ318" s="26"/>
      <c r="CR318" s="26"/>
      <c r="CS318" s="26"/>
      <c r="CT318" s="25">
        <f t="shared" si="169"/>
        <v>25000000</v>
      </c>
      <c r="CU318" s="25">
        <f t="shared" si="169"/>
        <v>25000000</v>
      </c>
      <c r="CV318" s="25">
        <f t="shared" si="169"/>
        <v>25000000</v>
      </c>
    </row>
    <row r="319" spans="1:100" s="27" customFormat="1" ht="186.75" customHeight="1" x14ac:dyDescent="0.25">
      <c r="A319" s="19"/>
      <c r="B319" s="19"/>
      <c r="C319" s="927" t="s">
        <v>383</v>
      </c>
      <c r="D319" s="928" t="s">
        <v>384</v>
      </c>
      <c r="E319" s="929" t="s">
        <v>385</v>
      </c>
      <c r="F319" s="929" t="s">
        <v>386</v>
      </c>
      <c r="G319" s="77"/>
      <c r="H319" s="929">
        <v>30</v>
      </c>
      <c r="I319" s="928" t="s">
        <v>402</v>
      </c>
      <c r="J319" s="10">
        <v>1</v>
      </c>
      <c r="K319" s="929">
        <v>1</v>
      </c>
      <c r="L319" s="647">
        <v>1</v>
      </c>
      <c r="M319" s="1139"/>
      <c r="N319" s="968" t="s">
        <v>403</v>
      </c>
      <c r="O319" s="928" t="s">
        <v>404</v>
      </c>
      <c r="P319" s="929" t="s">
        <v>38</v>
      </c>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6"/>
      <c r="CD319" s="26"/>
      <c r="CE319" s="864">
        <f>25000000+20000000</f>
        <v>45000000</v>
      </c>
      <c r="CF319" s="112">
        <v>21323165</v>
      </c>
      <c r="CG319" s="112">
        <v>21323165</v>
      </c>
      <c r="CH319" s="9"/>
      <c r="CI319" s="9"/>
      <c r="CJ319" s="9"/>
      <c r="CK319" s="25"/>
      <c r="CL319" s="25"/>
      <c r="CM319" s="25"/>
      <c r="CN319" s="25"/>
      <c r="CO319" s="25"/>
      <c r="CP319" s="25"/>
      <c r="CQ319" s="25"/>
      <c r="CR319" s="25"/>
      <c r="CS319" s="25"/>
      <c r="CT319" s="25">
        <f t="shared" si="169"/>
        <v>45000000</v>
      </c>
      <c r="CU319" s="25">
        <f t="shared" si="169"/>
        <v>21323165</v>
      </c>
      <c r="CV319" s="25">
        <f t="shared" si="169"/>
        <v>21323165</v>
      </c>
    </row>
    <row r="320" spans="1:100" ht="24.75" customHeight="1" x14ac:dyDescent="0.25">
      <c r="A320" s="19"/>
      <c r="B320" s="19"/>
      <c r="C320" s="949"/>
      <c r="D320" s="177"/>
      <c r="E320" s="949"/>
      <c r="F320" s="949"/>
      <c r="G320" s="339"/>
      <c r="H320" s="368"/>
      <c r="I320" s="369"/>
      <c r="J320" s="370"/>
      <c r="K320" s="370"/>
      <c r="L320" s="370"/>
      <c r="M320" s="370"/>
      <c r="N320" s="371"/>
      <c r="O320" s="369"/>
      <c r="P320" s="372"/>
      <c r="Q320" s="373">
        <f>SUM(Q314:Q319)</f>
        <v>0</v>
      </c>
      <c r="R320" s="373">
        <f t="shared" ref="R320:CC320" si="170">SUM(R314:R319)</f>
        <v>0</v>
      </c>
      <c r="S320" s="373">
        <f t="shared" si="170"/>
        <v>0</v>
      </c>
      <c r="T320" s="373">
        <f t="shared" si="170"/>
        <v>0</v>
      </c>
      <c r="U320" s="373">
        <f t="shared" si="170"/>
        <v>0</v>
      </c>
      <c r="V320" s="373">
        <f t="shared" si="170"/>
        <v>0</v>
      </c>
      <c r="W320" s="373">
        <f t="shared" si="170"/>
        <v>0</v>
      </c>
      <c r="X320" s="373">
        <f t="shared" si="170"/>
        <v>0</v>
      </c>
      <c r="Y320" s="373">
        <f t="shared" si="170"/>
        <v>0</v>
      </c>
      <c r="Z320" s="373">
        <f t="shared" si="170"/>
        <v>0</v>
      </c>
      <c r="AA320" s="373">
        <f t="shared" si="170"/>
        <v>0</v>
      </c>
      <c r="AB320" s="373">
        <f t="shared" si="170"/>
        <v>0</v>
      </c>
      <c r="AC320" s="373">
        <f t="shared" si="170"/>
        <v>0</v>
      </c>
      <c r="AD320" s="373">
        <f t="shared" si="170"/>
        <v>0</v>
      </c>
      <c r="AE320" s="373">
        <f t="shared" si="170"/>
        <v>0</v>
      </c>
      <c r="AF320" s="373">
        <f t="shared" si="170"/>
        <v>0</v>
      </c>
      <c r="AG320" s="373">
        <f t="shared" si="170"/>
        <v>0</v>
      </c>
      <c r="AH320" s="373">
        <f t="shared" si="170"/>
        <v>0</v>
      </c>
      <c r="AI320" s="373">
        <f t="shared" si="170"/>
        <v>0</v>
      </c>
      <c r="AJ320" s="373">
        <f t="shared" si="170"/>
        <v>0</v>
      </c>
      <c r="AK320" s="373">
        <f t="shared" si="170"/>
        <v>0</v>
      </c>
      <c r="AL320" s="373">
        <f t="shared" si="170"/>
        <v>0</v>
      </c>
      <c r="AM320" s="373">
        <f t="shared" si="170"/>
        <v>0</v>
      </c>
      <c r="AN320" s="373">
        <f t="shared" si="170"/>
        <v>0</v>
      </c>
      <c r="AO320" s="373">
        <f t="shared" si="170"/>
        <v>0</v>
      </c>
      <c r="AP320" s="373">
        <f t="shared" si="170"/>
        <v>0</v>
      </c>
      <c r="AQ320" s="373">
        <f t="shared" si="170"/>
        <v>0</v>
      </c>
      <c r="AR320" s="373">
        <f t="shared" si="170"/>
        <v>0</v>
      </c>
      <c r="AS320" s="373">
        <f t="shared" si="170"/>
        <v>0</v>
      </c>
      <c r="AT320" s="373">
        <f t="shared" si="170"/>
        <v>0</v>
      </c>
      <c r="AU320" s="373">
        <f t="shared" si="170"/>
        <v>0</v>
      </c>
      <c r="AV320" s="373">
        <f t="shared" si="170"/>
        <v>0</v>
      </c>
      <c r="AW320" s="373">
        <f t="shared" si="170"/>
        <v>0</v>
      </c>
      <c r="AX320" s="373">
        <f t="shared" si="170"/>
        <v>0</v>
      </c>
      <c r="AY320" s="373">
        <f t="shared" si="170"/>
        <v>0</v>
      </c>
      <c r="AZ320" s="373">
        <f t="shared" si="170"/>
        <v>0</v>
      </c>
      <c r="BA320" s="373">
        <f t="shared" si="170"/>
        <v>0</v>
      </c>
      <c r="BB320" s="373">
        <f t="shared" si="170"/>
        <v>0</v>
      </c>
      <c r="BC320" s="373">
        <f t="shared" si="170"/>
        <v>0</v>
      </c>
      <c r="BD320" s="373">
        <f t="shared" si="170"/>
        <v>0</v>
      </c>
      <c r="BE320" s="373">
        <f t="shared" si="170"/>
        <v>0</v>
      </c>
      <c r="BF320" s="373">
        <f t="shared" si="170"/>
        <v>0</v>
      </c>
      <c r="BG320" s="373">
        <f t="shared" si="170"/>
        <v>0</v>
      </c>
      <c r="BH320" s="373">
        <f t="shared" si="170"/>
        <v>0</v>
      </c>
      <c r="BI320" s="373">
        <f t="shared" si="170"/>
        <v>0</v>
      </c>
      <c r="BJ320" s="373">
        <f t="shared" si="170"/>
        <v>0</v>
      </c>
      <c r="BK320" s="373">
        <f t="shared" si="170"/>
        <v>0</v>
      </c>
      <c r="BL320" s="373">
        <f t="shared" si="170"/>
        <v>0</v>
      </c>
      <c r="BM320" s="373">
        <f t="shared" si="170"/>
        <v>0</v>
      </c>
      <c r="BN320" s="373">
        <f t="shared" si="170"/>
        <v>0</v>
      </c>
      <c r="BO320" s="373">
        <f t="shared" si="170"/>
        <v>0</v>
      </c>
      <c r="BP320" s="373">
        <f t="shared" si="170"/>
        <v>0</v>
      </c>
      <c r="BQ320" s="373">
        <f t="shared" si="170"/>
        <v>0</v>
      </c>
      <c r="BR320" s="373">
        <f t="shared" si="170"/>
        <v>0</v>
      </c>
      <c r="BS320" s="373">
        <f t="shared" si="170"/>
        <v>0</v>
      </c>
      <c r="BT320" s="373">
        <f t="shared" si="170"/>
        <v>0</v>
      </c>
      <c r="BU320" s="373">
        <f t="shared" si="170"/>
        <v>0</v>
      </c>
      <c r="BV320" s="373">
        <f t="shared" si="170"/>
        <v>0</v>
      </c>
      <c r="BW320" s="373">
        <f t="shared" si="170"/>
        <v>0</v>
      </c>
      <c r="BX320" s="373">
        <f t="shared" si="170"/>
        <v>0</v>
      </c>
      <c r="BY320" s="373">
        <f t="shared" si="170"/>
        <v>0</v>
      </c>
      <c r="BZ320" s="373">
        <f t="shared" si="170"/>
        <v>0</v>
      </c>
      <c r="CA320" s="373">
        <f t="shared" si="170"/>
        <v>0</v>
      </c>
      <c r="CB320" s="373">
        <f t="shared" si="170"/>
        <v>0</v>
      </c>
      <c r="CC320" s="373">
        <f t="shared" si="170"/>
        <v>0</v>
      </c>
      <c r="CD320" s="373">
        <f t="shared" ref="CD320:CS320" si="171">SUM(CD314:CD319)</f>
        <v>0</v>
      </c>
      <c r="CE320" s="871">
        <f t="shared" si="171"/>
        <v>480000000</v>
      </c>
      <c r="CF320" s="373">
        <f t="shared" si="171"/>
        <v>425008095</v>
      </c>
      <c r="CG320" s="373">
        <f t="shared" si="171"/>
        <v>404990761</v>
      </c>
      <c r="CH320" s="373">
        <f t="shared" si="171"/>
        <v>0</v>
      </c>
      <c r="CI320" s="373">
        <f t="shared" si="171"/>
        <v>0</v>
      </c>
      <c r="CJ320" s="373">
        <f t="shared" si="171"/>
        <v>0</v>
      </c>
      <c r="CK320" s="373">
        <f t="shared" si="171"/>
        <v>0</v>
      </c>
      <c r="CL320" s="373">
        <f t="shared" si="171"/>
        <v>0</v>
      </c>
      <c r="CM320" s="373">
        <f t="shared" si="171"/>
        <v>0</v>
      </c>
      <c r="CN320" s="373">
        <f t="shared" si="171"/>
        <v>0</v>
      </c>
      <c r="CO320" s="373">
        <f t="shared" si="171"/>
        <v>0</v>
      </c>
      <c r="CP320" s="373">
        <f t="shared" si="171"/>
        <v>0</v>
      </c>
      <c r="CQ320" s="373">
        <f t="shared" si="171"/>
        <v>0</v>
      </c>
      <c r="CR320" s="373">
        <f t="shared" si="171"/>
        <v>0</v>
      </c>
      <c r="CS320" s="373">
        <f t="shared" si="171"/>
        <v>0</v>
      </c>
      <c r="CT320" s="158">
        <f>SUM(CT314:CT319)</f>
        <v>480000000</v>
      </c>
      <c r="CU320" s="158">
        <f>SUM(CU314:CU319)</f>
        <v>425008095</v>
      </c>
      <c r="CV320" s="158">
        <f>SUM(CV314:CV319)</f>
        <v>404990761</v>
      </c>
    </row>
    <row r="321" spans="1:100" s="27" customFormat="1" ht="15" x14ac:dyDescent="0.25">
      <c r="A321" s="19"/>
      <c r="B321" s="19"/>
      <c r="C321" s="949"/>
      <c r="D321" s="177"/>
      <c r="E321" s="949"/>
      <c r="F321" s="949"/>
      <c r="G321" s="374"/>
      <c r="H321" s="240"/>
      <c r="I321" s="177"/>
      <c r="J321" s="260"/>
      <c r="K321" s="260"/>
      <c r="L321" s="260"/>
      <c r="M321" s="260"/>
      <c r="N321" s="179"/>
      <c r="O321" s="177"/>
      <c r="P321" s="949"/>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c r="BZ321" s="180"/>
      <c r="CA321" s="180"/>
      <c r="CB321" s="180"/>
      <c r="CC321" s="180"/>
      <c r="CD321" s="180"/>
      <c r="CE321" s="860"/>
      <c r="CF321" s="182"/>
      <c r="CG321" s="182"/>
      <c r="CH321" s="180"/>
      <c r="CI321" s="180"/>
      <c r="CJ321" s="180"/>
      <c r="CK321" s="180"/>
      <c r="CL321" s="180"/>
      <c r="CM321" s="180"/>
      <c r="CN321" s="180"/>
      <c r="CO321" s="180"/>
      <c r="CP321" s="180"/>
      <c r="CQ321" s="180"/>
      <c r="CR321" s="180"/>
      <c r="CS321" s="180"/>
      <c r="CT321" s="25"/>
      <c r="CU321" s="25"/>
      <c r="CV321" s="25"/>
    </row>
    <row r="322" spans="1:100" ht="26.25" customHeight="1" thickBot="1" x14ac:dyDescent="0.3">
      <c r="A322" s="19"/>
      <c r="B322" s="19"/>
      <c r="C322" s="927"/>
      <c r="D322" s="928"/>
      <c r="E322" s="929"/>
      <c r="F322" s="929"/>
      <c r="G322" s="254">
        <v>6</v>
      </c>
      <c r="H322" s="694" t="s">
        <v>405</v>
      </c>
      <c r="I322" s="189"/>
      <c r="J322" s="189"/>
      <c r="K322" s="189"/>
      <c r="L322" s="189"/>
      <c r="M322" s="189"/>
      <c r="N322" s="678"/>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89"/>
      <c r="BQ322" s="189"/>
      <c r="BR322" s="189"/>
      <c r="BS322" s="189"/>
      <c r="BT322" s="189"/>
      <c r="BU322" s="189"/>
      <c r="BV322" s="189"/>
      <c r="BW322" s="189"/>
      <c r="BX322" s="189"/>
      <c r="BY322" s="189"/>
      <c r="BZ322" s="189"/>
      <c r="CA322" s="189"/>
      <c r="CB322" s="189"/>
      <c r="CC322" s="189"/>
      <c r="CD322" s="189"/>
      <c r="CE322" s="857"/>
      <c r="CF322" s="190"/>
      <c r="CG322" s="190"/>
      <c r="CH322" s="189"/>
      <c r="CI322" s="189"/>
      <c r="CJ322" s="189"/>
      <c r="CK322" s="189"/>
      <c r="CL322" s="189"/>
      <c r="CM322" s="189"/>
      <c r="CN322" s="189"/>
      <c r="CO322" s="189"/>
      <c r="CP322" s="189"/>
      <c r="CQ322" s="189"/>
      <c r="CR322" s="189"/>
      <c r="CS322" s="189"/>
      <c r="CT322" s="522"/>
      <c r="CU322" s="522"/>
      <c r="CV322" s="522"/>
    </row>
    <row r="323" spans="1:100" ht="66" customHeight="1" x14ac:dyDescent="0.25">
      <c r="A323" s="19"/>
      <c r="B323" s="19"/>
      <c r="C323" s="926">
        <v>5</v>
      </c>
      <c r="D323" s="917" t="s">
        <v>406</v>
      </c>
      <c r="E323" s="914">
        <v>12.9</v>
      </c>
      <c r="F323" s="914">
        <v>8.9</v>
      </c>
      <c r="G323" s="375"/>
      <c r="H323" s="8">
        <v>31</v>
      </c>
      <c r="I323" s="153" t="s">
        <v>407</v>
      </c>
      <c r="J323" s="10" t="s">
        <v>30</v>
      </c>
      <c r="K323" s="648">
        <v>4</v>
      </c>
      <c r="L323" s="647">
        <v>4</v>
      </c>
      <c r="M323" s="1140" t="s">
        <v>84</v>
      </c>
      <c r="N323" s="1017" t="s">
        <v>408</v>
      </c>
      <c r="O323" s="1012" t="s">
        <v>409</v>
      </c>
      <c r="P323" s="929" t="s">
        <v>38</v>
      </c>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0"/>
      <c r="BH323" s="250"/>
      <c r="BI323" s="250"/>
      <c r="BJ323" s="250"/>
      <c r="BK323" s="250"/>
      <c r="BL323" s="250"/>
      <c r="BM323" s="250"/>
      <c r="BN323" s="250"/>
      <c r="BO323" s="250"/>
      <c r="BP323" s="250"/>
      <c r="BQ323" s="250"/>
      <c r="BR323" s="250"/>
      <c r="BS323" s="250"/>
      <c r="BT323" s="250"/>
      <c r="BU323" s="250"/>
      <c r="BV323" s="250"/>
      <c r="BW323" s="250"/>
      <c r="BX323" s="250"/>
      <c r="BY323" s="25"/>
      <c r="BZ323" s="25"/>
      <c r="CA323" s="25"/>
      <c r="CB323" s="25"/>
      <c r="CC323" s="25"/>
      <c r="CD323" s="25"/>
      <c r="CE323" s="872">
        <f>95900000+10000000</f>
        <v>105900000</v>
      </c>
      <c r="CF323" s="114">
        <v>104164332</v>
      </c>
      <c r="CG323" s="114">
        <v>104164332</v>
      </c>
      <c r="CH323" s="3"/>
      <c r="CI323" s="3"/>
      <c r="CJ323" s="3"/>
      <c r="CK323" s="25"/>
      <c r="CL323" s="26"/>
      <c r="CM323" s="26"/>
      <c r="CN323" s="288"/>
      <c r="CO323" s="288"/>
      <c r="CP323" s="288"/>
      <c r="CQ323" s="288"/>
      <c r="CR323" s="288"/>
      <c r="CS323" s="288"/>
      <c r="CT323" s="25">
        <f t="shared" ref="CT323:CV326" si="172">Q323+T323+W323+Z323+AC323+AF323+AI323+AL323+AO323+AR323+AU323+AX323+BA323+BD323+BG323+BJ323+BM323+BP323+BS323+BV323+BY323+CB323+CE323+CH323+CK323+CQ323+CN323</f>
        <v>105900000</v>
      </c>
      <c r="CU323" s="25">
        <f t="shared" si="172"/>
        <v>104164332</v>
      </c>
      <c r="CV323" s="25">
        <f t="shared" si="172"/>
        <v>104164332</v>
      </c>
    </row>
    <row r="324" spans="1:100" ht="57" customHeight="1" x14ac:dyDescent="0.25">
      <c r="A324" s="19"/>
      <c r="B324" s="19"/>
      <c r="C324" s="920">
        <v>6</v>
      </c>
      <c r="D324" s="918" t="s">
        <v>410</v>
      </c>
      <c r="E324" s="915">
        <v>3.4</v>
      </c>
      <c r="F324" s="915">
        <v>4.5999999999999996</v>
      </c>
      <c r="G324" s="375"/>
      <c r="H324" s="8">
        <v>32</v>
      </c>
      <c r="I324" s="928" t="s">
        <v>411</v>
      </c>
      <c r="J324" s="10" t="s">
        <v>30</v>
      </c>
      <c r="K324" s="929">
        <v>30</v>
      </c>
      <c r="L324" s="647">
        <v>30</v>
      </c>
      <c r="M324" s="1141"/>
      <c r="N324" s="1018"/>
      <c r="O324" s="1020"/>
      <c r="P324" s="929" t="s">
        <v>34</v>
      </c>
      <c r="Q324" s="25">
        <v>0</v>
      </c>
      <c r="R324" s="25"/>
      <c r="S324" s="25"/>
      <c r="T324" s="25">
        <v>0</v>
      </c>
      <c r="U324" s="25"/>
      <c r="V324" s="25"/>
      <c r="W324" s="25">
        <v>0</v>
      </c>
      <c r="X324" s="25"/>
      <c r="Y324" s="25"/>
      <c r="Z324" s="25">
        <v>0</v>
      </c>
      <c r="AA324" s="25"/>
      <c r="AB324" s="25"/>
      <c r="AC324" s="25">
        <v>0</v>
      </c>
      <c r="AD324" s="25"/>
      <c r="AE324" s="25"/>
      <c r="AF324" s="25">
        <v>0</v>
      </c>
      <c r="AG324" s="25"/>
      <c r="AH324" s="25"/>
      <c r="AI324" s="25">
        <v>0</v>
      </c>
      <c r="AJ324" s="25"/>
      <c r="AK324" s="25"/>
      <c r="AL324" s="25"/>
      <c r="AM324" s="25"/>
      <c r="AN324" s="25"/>
      <c r="AO324" s="25"/>
      <c r="AP324" s="25"/>
      <c r="AQ324" s="25"/>
      <c r="AR324" s="25"/>
      <c r="AS324" s="25"/>
      <c r="AT324" s="25"/>
      <c r="AU324" s="25">
        <v>0</v>
      </c>
      <c r="AV324" s="25"/>
      <c r="AW324" s="25"/>
      <c r="AX324" s="25"/>
      <c r="AY324" s="25"/>
      <c r="AZ324" s="25"/>
      <c r="BA324" s="25">
        <v>0</v>
      </c>
      <c r="BB324" s="25"/>
      <c r="BC324" s="25"/>
      <c r="BD324" s="25">
        <v>0</v>
      </c>
      <c r="BE324" s="25"/>
      <c r="BF324" s="25"/>
      <c r="BG324" s="250"/>
      <c r="BH324" s="250"/>
      <c r="BI324" s="250"/>
      <c r="BJ324" s="250"/>
      <c r="BK324" s="250"/>
      <c r="BL324" s="250"/>
      <c r="BM324" s="250"/>
      <c r="BN324" s="250"/>
      <c r="BO324" s="250"/>
      <c r="BP324" s="250"/>
      <c r="BQ324" s="250"/>
      <c r="BR324" s="250"/>
      <c r="BS324" s="250"/>
      <c r="BT324" s="250"/>
      <c r="BU324" s="250"/>
      <c r="BV324" s="250"/>
      <c r="BW324" s="250"/>
      <c r="BX324" s="250"/>
      <c r="BY324" s="25">
        <v>0</v>
      </c>
      <c r="BZ324" s="25"/>
      <c r="CA324" s="25"/>
      <c r="CB324" s="25">
        <v>0</v>
      </c>
      <c r="CC324" s="25"/>
      <c r="CD324" s="25"/>
      <c r="CE324" s="127">
        <f>86900000+100000000+15000000</f>
        <v>201900000</v>
      </c>
      <c r="CF324" s="110">
        <v>183693591</v>
      </c>
      <c r="CG324" s="110">
        <v>183693591</v>
      </c>
      <c r="CH324" s="3"/>
      <c r="CI324" s="3"/>
      <c r="CJ324" s="3"/>
      <c r="CK324" s="25">
        <v>0</v>
      </c>
      <c r="CL324" s="26"/>
      <c r="CM324" s="26"/>
      <c r="CN324" s="288">
        <v>0</v>
      </c>
      <c r="CO324" s="288"/>
      <c r="CP324" s="288"/>
      <c r="CQ324" s="288"/>
      <c r="CR324" s="288"/>
      <c r="CS324" s="288"/>
      <c r="CT324" s="25">
        <f t="shared" si="172"/>
        <v>201900000</v>
      </c>
      <c r="CU324" s="25">
        <f t="shared" si="172"/>
        <v>183693591</v>
      </c>
      <c r="CV324" s="25">
        <f t="shared" si="172"/>
        <v>183693591</v>
      </c>
    </row>
    <row r="325" spans="1:100" ht="60.75" customHeight="1" x14ac:dyDescent="0.25">
      <c r="A325" s="19"/>
      <c r="B325" s="19"/>
      <c r="C325" s="921">
        <v>7</v>
      </c>
      <c r="D325" s="919" t="s">
        <v>412</v>
      </c>
      <c r="E325" s="916">
        <v>31.7</v>
      </c>
      <c r="F325" s="916">
        <v>27</v>
      </c>
      <c r="G325" s="375"/>
      <c r="H325" s="8">
        <v>33</v>
      </c>
      <c r="I325" s="153" t="s">
        <v>413</v>
      </c>
      <c r="J325" s="10" t="s">
        <v>30</v>
      </c>
      <c r="K325" s="929">
        <v>400</v>
      </c>
      <c r="L325" s="647">
        <v>400</v>
      </c>
      <c r="M325" s="1141"/>
      <c r="N325" s="1018"/>
      <c r="O325" s="1020"/>
      <c r="P325" s="929" t="s">
        <v>34</v>
      </c>
      <c r="Q325" s="376">
        <v>0</v>
      </c>
      <c r="R325" s="376"/>
      <c r="S325" s="376"/>
      <c r="T325" s="25">
        <v>0</v>
      </c>
      <c r="U325" s="25"/>
      <c r="V325" s="25"/>
      <c r="W325" s="25">
        <v>0</v>
      </c>
      <c r="X325" s="25"/>
      <c r="Y325" s="25"/>
      <c r="Z325" s="25">
        <v>0</v>
      </c>
      <c r="AA325" s="25"/>
      <c r="AB325" s="25"/>
      <c r="AC325" s="25">
        <v>0</v>
      </c>
      <c r="AD325" s="25"/>
      <c r="AE325" s="25"/>
      <c r="AF325" s="25">
        <v>0</v>
      </c>
      <c r="AG325" s="25"/>
      <c r="AH325" s="25"/>
      <c r="AI325" s="25">
        <v>0</v>
      </c>
      <c r="AJ325" s="25"/>
      <c r="AK325" s="25"/>
      <c r="AL325" s="25"/>
      <c r="AM325" s="25"/>
      <c r="AN325" s="25"/>
      <c r="AO325" s="25"/>
      <c r="AP325" s="25"/>
      <c r="AQ325" s="25"/>
      <c r="AR325" s="25"/>
      <c r="AS325" s="25"/>
      <c r="AT325" s="25"/>
      <c r="AU325" s="25">
        <v>0</v>
      </c>
      <c r="AV325" s="25"/>
      <c r="AW325" s="25"/>
      <c r="AX325" s="25"/>
      <c r="AY325" s="25"/>
      <c r="AZ325" s="25"/>
      <c r="BA325" s="25">
        <v>0</v>
      </c>
      <c r="BB325" s="25"/>
      <c r="BC325" s="25"/>
      <c r="BD325" s="25">
        <v>0</v>
      </c>
      <c r="BE325" s="25"/>
      <c r="BF325" s="25"/>
      <c r="BG325" s="250"/>
      <c r="BH325" s="250"/>
      <c r="BI325" s="250"/>
      <c r="BJ325" s="250"/>
      <c r="BK325" s="250"/>
      <c r="BL325" s="250"/>
      <c r="BM325" s="250"/>
      <c r="BN325" s="250"/>
      <c r="BO325" s="250"/>
      <c r="BP325" s="250"/>
      <c r="BQ325" s="250"/>
      <c r="BR325" s="250"/>
      <c r="BS325" s="250"/>
      <c r="BT325" s="250"/>
      <c r="BU325" s="250"/>
      <c r="BV325" s="250"/>
      <c r="BW325" s="250"/>
      <c r="BX325" s="250"/>
      <c r="BY325" s="25">
        <v>0</v>
      </c>
      <c r="BZ325" s="25"/>
      <c r="CA325" s="25"/>
      <c r="CB325" s="25">
        <v>0</v>
      </c>
      <c r="CC325" s="25"/>
      <c r="CD325" s="25"/>
      <c r="CE325" s="872">
        <f>8600000+20000000</f>
        <v>28600000</v>
      </c>
      <c r="CF325" s="114">
        <v>27930000</v>
      </c>
      <c r="CG325" s="114">
        <v>26930000</v>
      </c>
      <c r="CH325" s="3"/>
      <c r="CI325" s="3"/>
      <c r="CJ325" s="3"/>
      <c r="CK325" s="25">
        <v>0</v>
      </c>
      <c r="CL325" s="26"/>
      <c r="CM325" s="26"/>
      <c r="CN325" s="288">
        <v>0</v>
      </c>
      <c r="CO325" s="288"/>
      <c r="CP325" s="288"/>
      <c r="CQ325" s="288"/>
      <c r="CR325" s="288"/>
      <c r="CS325" s="288"/>
      <c r="CT325" s="25">
        <f t="shared" si="172"/>
        <v>28600000</v>
      </c>
      <c r="CU325" s="25">
        <f t="shared" si="172"/>
        <v>27930000</v>
      </c>
      <c r="CV325" s="25">
        <f t="shared" si="172"/>
        <v>26930000</v>
      </c>
    </row>
    <row r="326" spans="1:100" ht="88.5" customHeight="1" thickBot="1" x14ac:dyDescent="0.3">
      <c r="A326" s="19"/>
      <c r="B326" s="19"/>
      <c r="C326" s="927"/>
      <c r="D326" s="5"/>
      <c r="E326" s="929"/>
      <c r="F326" s="929"/>
      <c r="G326" s="377"/>
      <c r="H326" s="8">
        <v>34</v>
      </c>
      <c r="I326" s="153" t="s">
        <v>414</v>
      </c>
      <c r="J326" s="10" t="s">
        <v>30</v>
      </c>
      <c r="K326" s="649">
        <v>800</v>
      </c>
      <c r="L326" s="647">
        <v>800</v>
      </c>
      <c r="M326" s="1142"/>
      <c r="N326" s="1019"/>
      <c r="O326" s="1013"/>
      <c r="P326" s="929" t="s">
        <v>34</v>
      </c>
      <c r="Q326" s="25">
        <v>0</v>
      </c>
      <c r="R326" s="25"/>
      <c r="S326" s="25"/>
      <c r="T326" s="25">
        <v>0</v>
      </c>
      <c r="U326" s="25"/>
      <c r="V326" s="25"/>
      <c r="W326" s="25">
        <v>0</v>
      </c>
      <c r="X326" s="25"/>
      <c r="Y326" s="25"/>
      <c r="Z326" s="25">
        <v>0</v>
      </c>
      <c r="AA326" s="25"/>
      <c r="AB326" s="25"/>
      <c r="AC326" s="25">
        <v>0</v>
      </c>
      <c r="AD326" s="25"/>
      <c r="AE326" s="25"/>
      <c r="AF326" s="25">
        <v>0</v>
      </c>
      <c r="AG326" s="25"/>
      <c r="AH326" s="25"/>
      <c r="AI326" s="25">
        <v>0</v>
      </c>
      <c r="AJ326" s="25"/>
      <c r="AK326" s="25"/>
      <c r="AL326" s="25"/>
      <c r="AM326" s="25"/>
      <c r="AN326" s="25"/>
      <c r="AO326" s="25"/>
      <c r="AP326" s="25"/>
      <c r="AQ326" s="25"/>
      <c r="AR326" s="25"/>
      <c r="AS326" s="25"/>
      <c r="AT326" s="25"/>
      <c r="AU326" s="25">
        <v>0</v>
      </c>
      <c r="AV326" s="25"/>
      <c r="AW326" s="25"/>
      <c r="AX326" s="25"/>
      <c r="AY326" s="25"/>
      <c r="AZ326" s="25"/>
      <c r="BA326" s="25">
        <v>0</v>
      </c>
      <c r="BB326" s="25"/>
      <c r="BC326" s="25"/>
      <c r="BD326" s="25">
        <v>0</v>
      </c>
      <c r="BE326" s="25"/>
      <c r="BF326" s="25"/>
      <c r="BG326" s="250"/>
      <c r="BH326" s="250"/>
      <c r="BI326" s="250"/>
      <c r="BJ326" s="250"/>
      <c r="BK326" s="250"/>
      <c r="BL326" s="250"/>
      <c r="BM326" s="250"/>
      <c r="BN326" s="250"/>
      <c r="BO326" s="250"/>
      <c r="BP326" s="250"/>
      <c r="BQ326" s="250"/>
      <c r="BR326" s="250"/>
      <c r="BS326" s="250"/>
      <c r="BT326" s="250"/>
      <c r="BU326" s="250"/>
      <c r="BV326" s="250"/>
      <c r="BW326" s="250"/>
      <c r="BX326" s="250"/>
      <c r="BY326" s="25">
        <v>0</v>
      </c>
      <c r="BZ326" s="25"/>
      <c r="CA326" s="25"/>
      <c r="CB326" s="25">
        <v>0</v>
      </c>
      <c r="CC326" s="25"/>
      <c r="CD326" s="25"/>
      <c r="CE326" s="872">
        <f>8600000+20000000</f>
        <v>28600000</v>
      </c>
      <c r="CF326" s="114">
        <v>24760000</v>
      </c>
      <c r="CG326" s="114">
        <v>23780000</v>
      </c>
      <c r="CH326" s="3"/>
      <c r="CI326" s="3"/>
      <c r="CJ326" s="3"/>
      <c r="CK326" s="25">
        <v>0</v>
      </c>
      <c r="CL326" s="26"/>
      <c r="CM326" s="26"/>
      <c r="CN326" s="288">
        <v>0</v>
      </c>
      <c r="CO326" s="288"/>
      <c r="CP326" s="288"/>
      <c r="CQ326" s="288"/>
      <c r="CR326" s="288"/>
      <c r="CS326" s="288"/>
      <c r="CT326" s="25">
        <f t="shared" si="172"/>
        <v>28600000</v>
      </c>
      <c r="CU326" s="25">
        <f t="shared" si="172"/>
        <v>24760000</v>
      </c>
      <c r="CV326" s="25">
        <f t="shared" si="172"/>
        <v>23780000</v>
      </c>
    </row>
    <row r="327" spans="1:100" s="27" customFormat="1" ht="26.25" customHeight="1" x14ac:dyDescent="0.25">
      <c r="A327" s="19"/>
      <c r="B327" s="19"/>
      <c r="C327" s="1143"/>
      <c r="D327" s="1143"/>
      <c r="E327" s="1143"/>
      <c r="F327" s="1144"/>
      <c r="G327" s="298"/>
      <c r="H327" s="311"/>
      <c r="I327" s="298"/>
      <c r="J327" s="298"/>
      <c r="K327" s="298"/>
      <c r="L327" s="298"/>
      <c r="M327" s="298"/>
      <c r="N327" s="378"/>
      <c r="O327" s="298"/>
      <c r="P327" s="311"/>
      <c r="Q327" s="379">
        <f>SUM(Q323:Q326)</f>
        <v>0</v>
      </c>
      <c r="R327" s="379">
        <f t="shared" ref="R327:CC327" si="173">SUM(R323:R326)</f>
        <v>0</v>
      </c>
      <c r="S327" s="379">
        <f t="shared" si="173"/>
        <v>0</v>
      </c>
      <c r="T327" s="379">
        <f t="shared" si="173"/>
        <v>0</v>
      </c>
      <c r="U327" s="379">
        <f t="shared" si="173"/>
        <v>0</v>
      </c>
      <c r="V327" s="379">
        <f t="shared" si="173"/>
        <v>0</v>
      </c>
      <c r="W327" s="379">
        <f t="shared" si="173"/>
        <v>0</v>
      </c>
      <c r="X327" s="379">
        <f t="shared" si="173"/>
        <v>0</v>
      </c>
      <c r="Y327" s="379">
        <f t="shared" si="173"/>
        <v>0</v>
      </c>
      <c r="Z327" s="379">
        <f t="shared" si="173"/>
        <v>0</v>
      </c>
      <c r="AA327" s="379">
        <f t="shared" si="173"/>
        <v>0</v>
      </c>
      <c r="AB327" s="379">
        <f t="shared" si="173"/>
        <v>0</v>
      </c>
      <c r="AC327" s="379">
        <f t="shared" si="173"/>
        <v>0</v>
      </c>
      <c r="AD327" s="379">
        <f t="shared" si="173"/>
        <v>0</v>
      </c>
      <c r="AE327" s="379">
        <f t="shared" si="173"/>
        <v>0</v>
      </c>
      <c r="AF327" s="379">
        <f t="shared" si="173"/>
        <v>0</v>
      </c>
      <c r="AG327" s="379">
        <f t="shared" si="173"/>
        <v>0</v>
      </c>
      <c r="AH327" s="379">
        <f t="shared" si="173"/>
        <v>0</v>
      </c>
      <c r="AI327" s="379">
        <f t="shared" si="173"/>
        <v>0</v>
      </c>
      <c r="AJ327" s="379">
        <f t="shared" si="173"/>
        <v>0</v>
      </c>
      <c r="AK327" s="379">
        <f t="shared" si="173"/>
        <v>0</v>
      </c>
      <c r="AL327" s="379">
        <f t="shared" si="173"/>
        <v>0</v>
      </c>
      <c r="AM327" s="379">
        <f t="shared" si="173"/>
        <v>0</v>
      </c>
      <c r="AN327" s="379">
        <f t="shared" si="173"/>
        <v>0</v>
      </c>
      <c r="AO327" s="379">
        <f t="shared" si="173"/>
        <v>0</v>
      </c>
      <c r="AP327" s="379">
        <f t="shared" si="173"/>
        <v>0</v>
      </c>
      <c r="AQ327" s="379">
        <f t="shared" si="173"/>
        <v>0</v>
      </c>
      <c r="AR327" s="379">
        <f t="shared" si="173"/>
        <v>0</v>
      </c>
      <c r="AS327" s="379">
        <f t="shared" si="173"/>
        <v>0</v>
      </c>
      <c r="AT327" s="379">
        <f t="shared" si="173"/>
        <v>0</v>
      </c>
      <c r="AU327" s="379">
        <f t="shared" si="173"/>
        <v>0</v>
      </c>
      <c r="AV327" s="379">
        <f t="shared" si="173"/>
        <v>0</v>
      </c>
      <c r="AW327" s="379">
        <f t="shared" si="173"/>
        <v>0</v>
      </c>
      <c r="AX327" s="379">
        <f t="shared" si="173"/>
        <v>0</v>
      </c>
      <c r="AY327" s="379">
        <f t="shared" si="173"/>
        <v>0</v>
      </c>
      <c r="AZ327" s="379">
        <f t="shared" si="173"/>
        <v>0</v>
      </c>
      <c r="BA327" s="379">
        <f t="shared" si="173"/>
        <v>0</v>
      </c>
      <c r="BB327" s="379">
        <f t="shared" si="173"/>
        <v>0</v>
      </c>
      <c r="BC327" s="379">
        <f t="shared" si="173"/>
        <v>0</v>
      </c>
      <c r="BD327" s="379">
        <f t="shared" si="173"/>
        <v>0</v>
      </c>
      <c r="BE327" s="379">
        <f t="shared" si="173"/>
        <v>0</v>
      </c>
      <c r="BF327" s="379">
        <f t="shared" si="173"/>
        <v>0</v>
      </c>
      <c r="BG327" s="379">
        <f t="shared" si="173"/>
        <v>0</v>
      </c>
      <c r="BH327" s="379">
        <f t="shared" si="173"/>
        <v>0</v>
      </c>
      <c r="BI327" s="379">
        <f t="shared" si="173"/>
        <v>0</v>
      </c>
      <c r="BJ327" s="379">
        <f t="shared" si="173"/>
        <v>0</v>
      </c>
      <c r="BK327" s="379">
        <f t="shared" si="173"/>
        <v>0</v>
      </c>
      <c r="BL327" s="379">
        <f t="shared" si="173"/>
        <v>0</v>
      </c>
      <c r="BM327" s="379">
        <f t="shared" si="173"/>
        <v>0</v>
      </c>
      <c r="BN327" s="379">
        <f t="shared" si="173"/>
        <v>0</v>
      </c>
      <c r="BO327" s="379">
        <f t="shared" si="173"/>
        <v>0</v>
      </c>
      <c r="BP327" s="379">
        <f t="shared" si="173"/>
        <v>0</v>
      </c>
      <c r="BQ327" s="379">
        <f t="shared" si="173"/>
        <v>0</v>
      </c>
      <c r="BR327" s="379">
        <f t="shared" si="173"/>
        <v>0</v>
      </c>
      <c r="BS327" s="379">
        <f t="shared" si="173"/>
        <v>0</v>
      </c>
      <c r="BT327" s="379">
        <f t="shared" si="173"/>
        <v>0</v>
      </c>
      <c r="BU327" s="379">
        <f t="shared" si="173"/>
        <v>0</v>
      </c>
      <c r="BV327" s="379">
        <f t="shared" si="173"/>
        <v>0</v>
      </c>
      <c r="BW327" s="379">
        <f t="shared" si="173"/>
        <v>0</v>
      </c>
      <c r="BX327" s="379">
        <f t="shared" si="173"/>
        <v>0</v>
      </c>
      <c r="BY327" s="379">
        <f t="shared" si="173"/>
        <v>0</v>
      </c>
      <c r="BZ327" s="379">
        <f t="shared" si="173"/>
        <v>0</v>
      </c>
      <c r="CA327" s="379">
        <f t="shared" si="173"/>
        <v>0</v>
      </c>
      <c r="CB327" s="379">
        <f t="shared" si="173"/>
        <v>0</v>
      </c>
      <c r="CC327" s="379">
        <f t="shared" si="173"/>
        <v>0</v>
      </c>
      <c r="CD327" s="379">
        <f t="shared" ref="CD327:CS327" si="174">SUM(CD323:CD326)</f>
        <v>0</v>
      </c>
      <c r="CE327" s="873">
        <f t="shared" si="174"/>
        <v>365000000</v>
      </c>
      <c r="CF327" s="379">
        <f t="shared" si="174"/>
        <v>340547923</v>
      </c>
      <c r="CG327" s="379">
        <f t="shared" si="174"/>
        <v>338567923</v>
      </c>
      <c r="CH327" s="379">
        <f t="shared" si="174"/>
        <v>0</v>
      </c>
      <c r="CI327" s="379">
        <f t="shared" si="174"/>
        <v>0</v>
      </c>
      <c r="CJ327" s="379">
        <f t="shared" si="174"/>
        <v>0</v>
      </c>
      <c r="CK327" s="379">
        <f t="shared" si="174"/>
        <v>0</v>
      </c>
      <c r="CL327" s="379">
        <f t="shared" si="174"/>
        <v>0</v>
      </c>
      <c r="CM327" s="379">
        <f t="shared" si="174"/>
        <v>0</v>
      </c>
      <c r="CN327" s="379">
        <f t="shared" si="174"/>
        <v>0</v>
      </c>
      <c r="CO327" s="379">
        <f t="shared" si="174"/>
        <v>0</v>
      </c>
      <c r="CP327" s="379">
        <f t="shared" si="174"/>
        <v>0</v>
      </c>
      <c r="CQ327" s="379">
        <f t="shared" si="174"/>
        <v>0</v>
      </c>
      <c r="CR327" s="379">
        <f t="shared" si="174"/>
        <v>0</v>
      </c>
      <c r="CS327" s="379">
        <f t="shared" si="174"/>
        <v>0</v>
      </c>
      <c r="CT327" s="379">
        <f>SUM(CT323:CT326)</f>
        <v>365000000</v>
      </c>
      <c r="CU327" s="379">
        <f>SUM(CU323:CU326)</f>
        <v>340547923</v>
      </c>
      <c r="CV327" s="379">
        <f>SUM(CV323:CV326)</f>
        <v>338567923</v>
      </c>
    </row>
    <row r="328" spans="1:100" s="27" customFormat="1" ht="15" x14ac:dyDescent="0.25">
      <c r="A328" s="19"/>
      <c r="B328" s="19"/>
      <c r="C328" s="949"/>
      <c r="D328" s="949"/>
      <c r="E328" s="949"/>
      <c r="F328" s="949"/>
      <c r="G328" s="299"/>
      <c r="H328" s="314"/>
      <c r="I328" s="299"/>
      <c r="J328" s="299"/>
      <c r="K328" s="299"/>
      <c r="L328" s="299"/>
      <c r="M328" s="299"/>
      <c r="N328" s="380"/>
      <c r="O328" s="299"/>
      <c r="P328" s="314"/>
      <c r="Q328" s="381"/>
      <c r="R328" s="381"/>
      <c r="S328" s="381"/>
      <c r="T328" s="381"/>
      <c r="U328" s="381"/>
      <c r="V328" s="381"/>
      <c r="W328" s="381"/>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c r="AS328" s="381"/>
      <c r="AT328" s="381"/>
      <c r="AU328" s="381"/>
      <c r="AV328" s="381"/>
      <c r="AW328" s="381"/>
      <c r="AX328" s="381"/>
      <c r="AY328" s="381"/>
      <c r="AZ328" s="381"/>
      <c r="BA328" s="381"/>
      <c r="BB328" s="381"/>
      <c r="BC328" s="381"/>
      <c r="BD328" s="381"/>
      <c r="BE328" s="381"/>
      <c r="BF328" s="381"/>
      <c r="BG328" s="381"/>
      <c r="BH328" s="381"/>
      <c r="BI328" s="381"/>
      <c r="BJ328" s="381"/>
      <c r="BK328" s="381"/>
      <c r="BL328" s="381"/>
      <c r="BM328" s="381"/>
      <c r="BN328" s="381"/>
      <c r="BO328" s="381"/>
      <c r="BP328" s="381"/>
      <c r="BQ328" s="381"/>
      <c r="BR328" s="381"/>
      <c r="BS328" s="381"/>
      <c r="BT328" s="381"/>
      <c r="BU328" s="381"/>
      <c r="BV328" s="381"/>
      <c r="BW328" s="381"/>
      <c r="BX328" s="381"/>
      <c r="BY328" s="381"/>
      <c r="BZ328" s="381"/>
      <c r="CA328" s="381"/>
      <c r="CB328" s="381"/>
      <c r="CC328" s="381"/>
      <c r="CD328" s="381"/>
      <c r="CE328" s="860"/>
      <c r="CF328" s="182"/>
      <c r="CG328" s="182"/>
      <c r="CH328" s="382"/>
      <c r="CI328" s="382"/>
      <c r="CJ328" s="382"/>
      <c r="CK328" s="381"/>
      <c r="CL328" s="381"/>
      <c r="CM328" s="381"/>
      <c r="CN328" s="381"/>
      <c r="CO328" s="381"/>
      <c r="CP328" s="381"/>
      <c r="CQ328" s="381"/>
      <c r="CR328" s="381"/>
      <c r="CS328" s="381"/>
      <c r="CT328" s="752"/>
      <c r="CU328" s="76"/>
      <c r="CV328" s="76"/>
    </row>
    <row r="329" spans="1:100" s="27" customFormat="1" ht="24.75" customHeight="1" x14ac:dyDescent="0.25">
      <c r="A329" s="19"/>
      <c r="B329" s="19"/>
      <c r="C329" s="949"/>
      <c r="D329" s="949"/>
      <c r="E329" s="949"/>
      <c r="F329" s="927"/>
      <c r="G329" s="383">
        <v>7</v>
      </c>
      <c r="H329" s="694" t="s">
        <v>415</v>
      </c>
      <c r="I329" s="189"/>
      <c r="J329" s="189"/>
      <c r="K329" s="189"/>
      <c r="L329" s="189"/>
      <c r="M329" s="189"/>
      <c r="N329" s="678"/>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c r="BR329" s="189"/>
      <c r="BS329" s="189"/>
      <c r="BT329" s="189"/>
      <c r="BU329" s="189"/>
      <c r="BV329" s="189"/>
      <c r="BW329" s="189"/>
      <c r="BX329" s="189"/>
      <c r="BY329" s="189"/>
      <c r="BZ329" s="189"/>
      <c r="CA329" s="189"/>
      <c r="CB329" s="189"/>
      <c r="CC329" s="189"/>
      <c r="CD329" s="189"/>
      <c r="CE329" s="857"/>
      <c r="CF329" s="190"/>
      <c r="CG329" s="190"/>
      <c r="CH329" s="189"/>
      <c r="CI329" s="189"/>
      <c r="CJ329" s="189"/>
      <c r="CK329" s="189"/>
      <c r="CL329" s="189"/>
      <c r="CM329" s="189"/>
      <c r="CN329" s="189"/>
      <c r="CO329" s="189"/>
      <c r="CP329" s="189"/>
      <c r="CQ329" s="189"/>
      <c r="CR329" s="189"/>
      <c r="CS329" s="189"/>
      <c r="CT329" s="522"/>
      <c r="CU329" s="522"/>
      <c r="CV329" s="522"/>
    </row>
    <row r="330" spans="1:100" ht="192.75" customHeight="1" x14ac:dyDescent="0.25">
      <c r="A330" s="19"/>
      <c r="B330" s="19"/>
      <c r="C330" s="927" t="s">
        <v>383</v>
      </c>
      <c r="D330" s="928" t="s">
        <v>384</v>
      </c>
      <c r="E330" s="929" t="s">
        <v>385</v>
      </c>
      <c r="F330" s="929" t="s">
        <v>915</v>
      </c>
      <c r="G330" s="28"/>
      <c r="H330" s="4">
        <v>35</v>
      </c>
      <c r="I330" s="153" t="s">
        <v>416</v>
      </c>
      <c r="J330" s="10">
        <v>0</v>
      </c>
      <c r="K330" s="916">
        <v>5</v>
      </c>
      <c r="L330" s="647">
        <v>5</v>
      </c>
      <c r="M330" s="1145" t="s">
        <v>84</v>
      </c>
      <c r="N330" s="1017" t="s">
        <v>417</v>
      </c>
      <c r="O330" s="1012" t="s">
        <v>418</v>
      </c>
      <c r="P330" s="929" t="s">
        <v>38</v>
      </c>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0"/>
      <c r="BH330" s="250"/>
      <c r="BI330" s="250"/>
      <c r="BJ330" s="250"/>
      <c r="BK330" s="250"/>
      <c r="BL330" s="250"/>
      <c r="BM330" s="250"/>
      <c r="BN330" s="250"/>
      <c r="BO330" s="250"/>
      <c r="BP330" s="250"/>
      <c r="BQ330" s="250"/>
      <c r="BR330" s="250"/>
      <c r="BS330" s="250"/>
      <c r="BT330" s="250"/>
      <c r="BU330" s="250"/>
      <c r="BV330" s="250"/>
      <c r="BW330" s="250"/>
      <c r="BX330" s="250"/>
      <c r="BY330" s="25"/>
      <c r="BZ330" s="25"/>
      <c r="CA330" s="25"/>
      <c r="CB330" s="25"/>
      <c r="CC330" s="25"/>
      <c r="CD330" s="25"/>
      <c r="CE330" s="127">
        <f>90000000-30000000</f>
        <v>60000000</v>
      </c>
      <c r="CF330" s="110">
        <v>49811998</v>
      </c>
      <c r="CG330" s="110">
        <v>49811998</v>
      </c>
      <c r="CH330" s="13"/>
      <c r="CI330" s="13"/>
      <c r="CJ330" s="13"/>
      <c r="CK330" s="25"/>
      <c r="CL330" s="26"/>
      <c r="CM330" s="26"/>
      <c r="CN330" s="288"/>
      <c r="CO330" s="288"/>
      <c r="CP330" s="288"/>
      <c r="CQ330" s="288"/>
      <c r="CR330" s="288"/>
      <c r="CS330" s="288"/>
      <c r="CT330" s="25">
        <f t="shared" ref="CT330:CV332" si="175">Q330+T330+W330+Z330+AC330+AF330+AI330+AL330+AO330+AR330+AU330+AX330+BA330+BD330+BG330+BJ330+BM330+BP330+BS330+BV330+BY330+CB330+CE330+CH330+CK330+CQ330+CN330</f>
        <v>60000000</v>
      </c>
      <c r="CU330" s="25">
        <f t="shared" si="175"/>
        <v>49811998</v>
      </c>
      <c r="CV330" s="25">
        <f t="shared" si="175"/>
        <v>49811998</v>
      </c>
    </row>
    <row r="331" spans="1:100" ht="168.75" customHeight="1" x14ac:dyDescent="0.25">
      <c r="A331" s="19"/>
      <c r="B331" s="19"/>
      <c r="C331" s="927" t="s">
        <v>383</v>
      </c>
      <c r="D331" s="928" t="s">
        <v>384</v>
      </c>
      <c r="E331" s="929" t="s">
        <v>385</v>
      </c>
      <c r="F331" s="929" t="s">
        <v>915</v>
      </c>
      <c r="G331" s="29"/>
      <c r="H331" s="4">
        <v>36</v>
      </c>
      <c r="I331" s="928" t="s">
        <v>419</v>
      </c>
      <c r="J331" s="10">
        <v>0</v>
      </c>
      <c r="K331" s="929">
        <v>1</v>
      </c>
      <c r="L331" s="647">
        <v>1</v>
      </c>
      <c r="M331" s="1146"/>
      <c r="N331" s="1018"/>
      <c r="O331" s="1020"/>
      <c r="P331" s="929" t="s">
        <v>34</v>
      </c>
      <c r="Q331" s="25">
        <v>0</v>
      </c>
      <c r="R331" s="25"/>
      <c r="S331" s="25"/>
      <c r="T331" s="25">
        <v>0</v>
      </c>
      <c r="U331" s="25"/>
      <c r="V331" s="25"/>
      <c r="W331" s="25">
        <v>0</v>
      </c>
      <c r="X331" s="25"/>
      <c r="Y331" s="25"/>
      <c r="Z331" s="25">
        <v>0</v>
      </c>
      <c r="AA331" s="25"/>
      <c r="AB331" s="25"/>
      <c r="AC331" s="25">
        <v>0</v>
      </c>
      <c r="AD331" s="25"/>
      <c r="AE331" s="25"/>
      <c r="AF331" s="25">
        <v>0</v>
      </c>
      <c r="AG331" s="25"/>
      <c r="AH331" s="25"/>
      <c r="AI331" s="25">
        <v>0</v>
      </c>
      <c r="AJ331" s="25"/>
      <c r="AK331" s="25"/>
      <c r="AL331" s="25"/>
      <c r="AM331" s="25"/>
      <c r="AN331" s="25"/>
      <c r="AO331" s="25"/>
      <c r="AP331" s="25"/>
      <c r="AQ331" s="25"/>
      <c r="AR331" s="25"/>
      <c r="AS331" s="25"/>
      <c r="AT331" s="25"/>
      <c r="AU331" s="25">
        <v>0</v>
      </c>
      <c r="AV331" s="25"/>
      <c r="AW331" s="25"/>
      <c r="AX331" s="25"/>
      <c r="AY331" s="25"/>
      <c r="AZ331" s="25"/>
      <c r="BA331" s="25">
        <v>0</v>
      </c>
      <c r="BB331" s="25"/>
      <c r="BC331" s="25"/>
      <c r="BD331" s="25">
        <v>0</v>
      </c>
      <c r="BE331" s="25"/>
      <c r="BF331" s="25"/>
      <c r="BG331" s="250"/>
      <c r="BH331" s="250"/>
      <c r="BI331" s="250"/>
      <c r="BJ331" s="250"/>
      <c r="BK331" s="250"/>
      <c r="BL331" s="250"/>
      <c r="BM331" s="250"/>
      <c r="BN331" s="250"/>
      <c r="BO331" s="250"/>
      <c r="BP331" s="250"/>
      <c r="BQ331" s="250"/>
      <c r="BR331" s="250"/>
      <c r="BS331" s="250"/>
      <c r="BT331" s="250"/>
      <c r="BU331" s="250"/>
      <c r="BV331" s="250"/>
      <c r="BW331" s="250"/>
      <c r="BX331" s="250"/>
      <c r="BY331" s="25">
        <v>0</v>
      </c>
      <c r="BZ331" s="25"/>
      <c r="CA331" s="25"/>
      <c r="CB331" s="25">
        <v>0</v>
      </c>
      <c r="CC331" s="25"/>
      <c r="CD331" s="25"/>
      <c r="CE331" s="127">
        <f>3500000+30000000</f>
        <v>33500000</v>
      </c>
      <c r="CF331" s="110">
        <v>26750666</v>
      </c>
      <c r="CG331" s="110">
        <v>26598316</v>
      </c>
      <c r="CH331" s="13"/>
      <c r="CI331" s="13"/>
      <c r="CJ331" s="13"/>
      <c r="CK331" s="25">
        <v>0</v>
      </c>
      <c r="CL331" s="26"/>
      <c r="CM331" s="26"/>
      <c r="CN331" s="288">
        <v>0</v>
      </c>
      <c r="CO331" s="288"/>
      <c r="CP331" s="288"/>
      <c r="CQ331" s="288"/>
      <c r="CR331" s="288"/>
      <c r="CS331" s="288"/>
      <c r="CT331" s="25">
        <f t="shared" si="175"/>
        <v>33500000</v>
      </c>
      <c r="CU331" s="25">
        <f t="shared" si="175"/>
        <v>26750666</v>
      </c>
      <c r="CV331" s="25">
        <f t="shared" si="175"/>
        <v>26598316</v>
      </c>
    </row>
    <row r="332" spans="1:100" ht="197.25" customHeight="1" x14ac:dyDescent="0.25">
      <c r="A332" s="19"/>
      <c r="B332" s="19"/>
      <c r="C332" s="927" t="s">
        <v>383</v>
      </c>
      <c r="D332" s="928" t="s">
        <v>384</v>
      </c>
      <c r="E332" s="929" t="s">
        <v>385</v>
      </c>
      <c r="F332" s="929" t="s">
        <v>915</v>
      </c>
      <c r="G332" s="29"/>
      <c r="H332" s="4">
        <v>37</v>
      </c>
      <c r="I332" s="5" t="s">
        <v>420</v>
      </c>
      <c r="J332" s="340">
        <v>0</v>
      </c>
      <c r="K332" s="929">
        <v>1</v>
      </c>
      <c r="L332" s="647">
        <v>1</v>
      </c>
      <c r="M332" s="384"/>
      <c r="N332" s="1019"/>
      <c r="O332" s="1013"/>
      <c r="P332" s="929" t="s">
        <v>38</v>
      </c>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0"/>
      <c r="BH332" s="250"/>
      <c r="BI332" s="250"/>
      <c r="BJ332" s="250"/>
      <c r="BK332" s="250"/>
      <c r="BL332" s="250"/>
      <c r="BM332" s="250"/>
      <c r="BN332" s="250"/>
      <c r="BO332" s="250"/>
      <c r="BP332" s="250"/>
      <c r="BQ332" s="250"/>
      <c r="BR332" s="250"/>
      <c r="BS332" s="250"/>
      <c r="BT332" s="250"/>
      <c r="BU332" s="250"/>
      <c r="BV332" s="250"/>
      <c r="BW332" s="250"/>
      <c r="BX332" s="250"/>
      <c r="BY332" s="25"/>
      <c r="BZ332" s="25"/>
      <c r="CA332" s="25"/>
      <c r="CB332" s="25"/>
      <c r="CC332" s="25"/>
      <c r="CD332" s="25"/>
      <c r="CE332" s="874">
        <f>6500000+20000000+30000000</f>
        <v>56500000</v>
      </c>
      <c r="CF332" s="25">
        <v>54830000</v>
      </c>
      <c r="CG332" s="25">
        <v>54830000</v>
      </c>
      <c r="CH332" s="25"/>
      <c r="CI332" s="25"/>
      <c r="CJ332" s="25"/>
      <c r="CK332" s="25"/>
      <c r="CL332" s="26"/>
      <c r="CM332" s="26"/>
      <c r="CN332" s="288"/>
      <c r="CO332" s="288"/>
      <c r="CP332" s="288"/>
      <c r="CQ332" s="288"/>
      <c r="CR332" s="288"/>
      <c r="CS332" s="288"/>
      <c r="CT332" s="25">
        <f t="shared" si="175"/>
        <v>56500000</v>
      </c>
      <c r="CU332" s="25">
        <f t="shared" si="175"/>
        <v>54830000</v>
      </c>
      <c r="CV332" s="25">
        <f t="shared" si="175"/>
        <v>54830000</v>
      </c>
    </row>
    <row r="333" spans="1:100" s="27" customFormat="1" ht="26.25" customHeight="1" x14ac:dyDescent="0.25">
      <c r="A333" s="19"/>
      <c r="B333" s="152"/>
      <c r="C333" s="927"/>
      <c r="D333" s="928"/>
      <c r="E333" s="929"/>
      <c r="F333" s="929"/>
      <c r="G333" s="154"/>
      <c r="H333" s="155"/>
      <c r="I333" s="154"/>
      <c r="J333" s="249"/>
      <c r="K333" s="249"/>
      <c r="L333" s="249"/>
      <c r="M333" s="249"/>
      <c r="N333" s="157"/>
      <c r="O333" s="154"/>
      <c r="P333" s="155"/>
      <c r="Q333" s="158">
        <f>SUM(Q330:Q332)</f>
        <v>0</v>
      </c>
      <c r="R333" s="158">
        <f t="shared" ref="R333:CC333" si="176">SUM(R330:R332)</f>
        <v>0</v>
      </c>
      <c r="S333" s="158">
        <f t="shared" si="176"/>
        <v>0</v>
      </c>
      <c r="T333" s="158">
        <f t="shared" si="176"/>
        <v>0</v>
      </c>
      <c r="U333" s="158">
        <f t="shared" si="176"/>
        <v>0</v>
      </c>
      <c r="V333" s="158">
        <f t="shared" si="176"/>
        <v>0</v>
      </c>
      <c r="W333" s="158">
        <f t="shared" si="176"/>
        <v>0</v>
      </c>
      <c r="X333" s="158">
        <f t="shared" si="176"/>
        <v>0</v>
      </c>
      <c r="Y333" s="158">
        <f t="shared" si="176"/>
        <v>0</v>
      </c>
      <c r="Z333" s="158">
        <f t="shared" si="176"/>
        <v>0</v>
      </c>
      <c r="AA333" s="158">
        <f t="shared" si="176"/>
        <v>0</v>
      </c>
      <c r="AB333" s="158">
        <f t="shared" si="176"/>
        <v>0</v>
      </c>
      <c r="AC333" s="158">
        <f t="shared" si="176"/>
        <v>0</v>
      </c>
      <c r="AD333" s="158">
        <f t="shared" si="176"/>
        <v>0</v>
      </c>
      <c r="AE333" s="158">
        <f t="shared" si="176"/>
        <v>0</v>
      </c>
      <c r="AF333" s="158">
        <f t="shared" si="176"/>
        <v>0</v>
      </c>
      <c r="AG333" s="158">
        <f t="shared" si="176"/>
        <v>0</v>
      </c>
      <c r="AH333" s="158">
        <f t="shared" si="176"/>
        <v>0</v>
      </c>
      <c r="AI333" s="158">
        <f t="shared" si="176"/>
        <v>0</v>
      </c>
      <c r="AJ333" s="158">
        <f t="shared" si="176"/>
        <v>0</v>
      </c>
      <c r="AK333" s="158">
        <f t="shared" si="176"/>
        <v>0</v>
      </c>
      <c r="AL333" s="158">
        <f t="shared" si="176"/>
        <v>0</v>
      </c>
      <c r="AM333" s="158">
        <f t="shared" si="176"/>
        <v>0</v>
      </c>
      <c r="AN333" s="158">
        <f t="shared" si="176"/>
        <v>0</v>
      </c>
      <c r="AO333" s="158">
        <f t="shared" si="176"/>
        <v>0</v>
      </c>
      <c r="AP333" s="158">
        <f t="shared" si="176"/>
        <v>0</v>
      </c>
      <c r="AQ333" s="158">
        <f t="shared" si="176"/>
        <v>0</v>
      </c>
      <c r="AR333" s="158">
        <f t="shared" si="176"/>
        <v>0</v>
      </c>
      <c r="AS333" s="158">
        <f t="shared" si="176"/>
        <v>0</v>
      </c>
      <c r="AT333" s="158">
        <f t="shared" si="176"/>
        <v>0</v>
      </c>
      <c r="AU333" s="158">
        <f t="shared" si="176"/>
        <v>0</v>
      </c>
      <c r="AV333" s="158">
        <f t="shared" si="176"/>
        <v>0</v>
      </c>
      <c r="AW333" s="158">
        <f t="shared" si="176"/>
        <v>0</v>
      </c>
      <c r="AX333" s="158">
        <f t="shared" si="176"/>
        <v>0</v>
      </c>
      <c r="AY333" s="158">
        <f t="shared" si="176"/>
        <v>0</v>
      </c>
      <c r="AZ333" s="158">
        <f t="shared" si="176"/>
        <v>0</v>
      </c>
      <c r="BA333" s="158">
        <f t="shared" si="176"/>
        <v>0</v>
      </c>
      <c r="BB333" s="158">
        <f t="shared" si="176"/>
        <v>0</v>
      </c>
      <c r="BC333" s="158">
        <f t="shared" si="176"/>
        <v>0</v>
      </c>
      <c r="BD333" s="158">
        <f t="shared" si="176"/>
        <v>0</v>
      </c>
      <c r="BE333" s="158">
        <f t="shared" si="176"/>
        <v>0</v>
      </c>
      <c r="BF333" s="158">
        <f t="shared" si="176"/>
        <v>0</v>
      </c>
      <c r="BG333" s="158">
        <f t="shared" si="176"/>
        <v>0</v>
      </c>
      <c r="BH333" s="158">
        <f t="shared" si="176"/>
        <v>0</v>
      </c>
      <c r="BI333" s="158">
        <f t="shared" si="176"/>
        <v>0</v>
      </c>
      <c r="BJ333" s="158">
        <f t="shared" si="176"/>
        <v>0</v>
      </c>
      <c r="BK333" s="158">
        <f t="shared" si="176"/>
        <v>0</v>
      </c>
      <c r="BL333" s="158">
        <f t="shared" si="176"/>
        <v>0</v>
      </c>
      <c r="BM333" s="158">
        <f t="shared" si="176"/>
        <v>0</v>
      </c>
      <c r="BN333" s="158">
        <f t="shared" si="176"/>
        <v>0</v>
      </c>
      <c r="BO333" s="158">
        <f t="shared" si="176"/>
        <v>0</v>
      </c>
      <c r="BP333" s="158">
        <f t="shared" si="176"/>
        <v>0</v>
      </c>
      <c r="BQ333" s="158">
        <f t="shared" si="176"/>
        <v>0</v>
      </c>
      <c r="BR333" s="158">
        <f t="shared" si="176"/>
        <v>0</v>
      </c>
      <c r="BS333" s="158">
        <f t="shared" si="176"/>
        <v>0</v>
      </c>
      <c r="BT333" s="158">
        <f t="shared" si="176"/>
        <v>0</v>
      </c>
      <c r="BU333" s="158">
        <f t="shared" si="176"/>
        <v>0</v>
      </c>
      <c r="BV333" s="158">
        <f t="shared" si="176"/>
        <v>0</v>
      </c>
      <c r="BW333" s="158">
        <f t="shared" si="176"/>
        <v>0</v>
      </c>
      <c r="BX333" s="158">
        <f t="shared" si="176"/>
        <v>0</v>
      </c>
      <c r="BY333" s="158">
        <f t="shared" si="176"/>
        <v>0</v>
      </c>
      <c r="BZ333" s="158">
        <f t="shared" si="176"/>
        <v>0</v>
      </c>
      <c r="CA333" s="158">
        <f t="shared" si="176"/>
        <v>0</v>
      </c>
      <c r="CB333" s="158">
        <f t="shared" si="176"/>
        <v>0</v>
      </c>
      <c r="CC333" s="158">
        <f t="shared" si="176"/>
        <v>0</v>
      </c>
      <c r="CD333" s="158">
        <f t="shared" ref="CD333:CS333" si="177">SUM(CD330:CD332)</f>
        <v>0</v>
      </c>
      <c r="CE333" s="859">
        <f t="shared" si="177"/>
        <v>150000000</v>
      </c>
      <c r="CF333" s="158">
        <f t="shared" si="177"/>
        <v>131392664</v>
      </c>
      <c r="CG333" s="158">
        <f t="shared" si="177"/>
        <v>131240314</v>
      </c>
      <c r="CH333" s="158">
        <f t="shared" si="177"/>
        <v>0</v>
      </c>
      <c r="CI333" s="158">
        <f t="shared" si="177"/>
        <v>0</v>
      </c>
      <c r="CJ333" s="158">
        <f t="shared" si="177"/>
        <v>0</v>
      </c>
      <c r="CK333" s="158">
        <f t="shared" si="177"/>
        <v>0</v>
      </c>
      <c r="CL333" s="158">
        <f t="shared" si="177"/>
        <v>0</v>
      </c>
      <c r="CM333" s="158">
        <f t="shared" si="177"/>
        <v>0</v>
      </c>
      <c r="CN333" s="158">
        <f t="shared" si="177"/>
        <v>0</v>
      </c>
      <c r="CO333" s="158">
        <f t="shared" si="177"/>
        <v>0</v>
      </c>
      <c r="CP333" s="158">
        <f t="shared" si="177"/>
        <v>0</v>
      </c>
      <c r="CQ333" s="158">
        <f t="shared" si="177"/>
        <v>0</v>
      </c>
      <c r="CR333" s="158">
        <f t="shared" si="177"/>
        <v>0</v>
      </c>
      <c r="CS333" s="158">
        <f t="shared" si="177"/>
        <v>0</v>
      </c>
      <c r="CT333" s="158">
        <f>SUM(CT330:CT332)</f>
        <v>150000000</v>
      </c>
      <c r="CU333" s="158">
        <f>SUM(CU330:CU332)</f>
        <v>131392664</v>
      </c>
      <c r="CV333" s="158">
        <f>SUM(CV330:CV332)</f>
        <v>131240314</v>
      </c>
    </row>
    <row r="334" spans="1:100" ht="24" customHeight="1" x14ac:dyDescent="0.25">
      <c r="A334" s="152"/>
      <c r="B334" s="216"/>
      <c r="C334" s="162"/>
      <c r="D334" s="161"/>
      <c r="E334" s="162"/>
      <c r="F334" s="162" t="s">
        <v>421</v>
      </c>
      <c r="G334" s="161"/>
      <c r="H334" s="162"/>
      <c r="I334" s="161"/>
      <c r="J334" s="257"/>
      <c r="K334" s="257"/>
      <c r="L334" s="257"/>
      <c r="M334" s="257"/>
      <c r="N334" s="164"/>
      <c r="O334" s="161"/>
      <c r="P334" s="162"/>
      <c r="Q334" s="165">
        <f>Q333+Q327+Q320+Q311</f>
        <v>0</v>
      </c>
      <c r="R334" s="165">
        <f t="shared" ref="R334:CC334" si="178">R333+R327+R320+R311</f>
        <v>0</v>
      </c>
      <c r="S334" s="165">
        <f t="shared" si="178"/>
        <v>0</v>
      </c>
      <c r="T334" s="165">
        <f t="shared" si="178"/>
        <v>0</v>
      </c>
      <c r="U334" s="165">
        <f t="shared" si="178"/>
        <v>0</v>
      </c>
      <c r="V334" s="165">
        <f t="shared" si="178"/>
        <v>0</v>
      </c>
      <c r="W334" s="165">
        <f t="shared" si="178"/>
        <v>0</v>
      </c>
      <c r="X334" s="165">
        <f t="shared" si="178"/>
        <v>0</v>
      </c>
      <c r="Y334" s="165">
        <f t="shared" si="178"/>
        <v>0</v>
      </c>
      <c r="Z334" s="165">
        <f t="shared" si="178"/>
        <v>0</v>
      </c>
      <c r="AA334" s="165">
        <f t="shared" si="178"/>
        <v>0</v>
      </c>
      <c r="AB334" s="165">
        <f t="shared" si="178"/>
        <v>0</v>
      </c>
      <c r="AC334" s="165">
        <f t="shared" si="178"/>
        <v>0</v>
      </c>
      <c r="AD334" s="165">
        <f t="shared" si="178"/>
        <v>0</v>
      </c>
      <c r="AE334" s="165">
        <f t="shared" si="178"/>
        <v>0</v>
      </c>
      <c r="AF334" s="165">
        <f t="shared" si="178"/>
        <v>0</v>
      </c>
      <c r="AG334" s="165">
        <f t="shared" si="178"/>
        <v>0</v>
      </c>
      <c r="AH334" s="165">
        <f t="shared" si="178"/>
        <v>0</v>
      </c>
      <c r="AI334" s="165">
        <f t="shared" si="178"/>
        <v>0</v>
      </c>
      <c r="AJ334" s="165">
        <f t="shared" si="178"/>
        <v>0</v>
      </c>
      <c r="AK334" s="165">
        <f t="shared" si="178"/>
        <v>0</v>
      </c>
      <c r="AL334" s="165">
        <f t="shared" si="178"/>
        <v>0</v>
      </c>
      <c r="AM334" s="165">
        <f t="shared" si="178"/>
        <v>0</v>
      </c>
      <c r="AN334" s="165">
        <f t="shared" si="178"/>
        <v>0</v>
      </c>
      <c r="AO334" s="165">
        <f t="shared" si="178"/>
        <v>0</v>
      </c>
      <c r="AP334" s="165">
        <f t="shared" si="178"/>
        <v>0</v>
      </c>
      <c r="AQ334" s="165">
        <f t="shared" si="178"/>
        <v>0</v>
      </c>
      <c r="AR334" s="165">
        <f t="shared" si="178"/>
        <v>0</v>
      </c>
      <c r="AS334" s="165">
        <f t="shared" si="178"/>
        <v>0</v>
      </c>
      <c r="AT334" s="165">
        <f t="shared" si="178"/>
        <v>0</v>
      </c>
      <c r="AU334" s="165">
        <f t="shared" si="178"/>
        <v>0</v>
      </c>
      <c r="AV334" s="165">
        <f t="shared" si="178"/>
        <v>0</v>
      </c>
      <c r="AW334" s="165">
        <f t="shared" si="178"/>
        <v>0</v>
      </c>
      <c r="AX334" s="165">
        <f t="shared" si="178"/>
        <v>0</v>
      </c>
      <c r="AY334" s="165">
        <f t="shared" si="178"/>
        <v>0</v>
      </c>
      <c r="AZ334" s="165">
        <f t="shared" si="178"/>
        <v>0</v>
      </c>
      <c r="BA334" s="165">
        <f t="shared" si="178"/>
        <v>0</v>
      </c>
      <c r="BB334" s="165">
        <f t="shared" si="178"/>
        <v>0</v>
      </c>
      <c r="BC334" s="165">
        <f t="shared" si="178"/>
        <v>0</v>
      </c>
      <c r="BD334" s="165">
        <f t="shared" si="178"/>
        <v>0</v>
      </c>
      <c r="BE334" s="165">
        <f t="shared" si="178"/>
        <v>0</v>
      </c>
      <c r="BF334" s="165">
        <f t="shared" si="178"/>
        <v>0</v>
      </c>
      <c r="BG334" s="165">
        <f t="shared" si="178"/>
        <v>0</v>
      </c>
      <c r="BH334" s="165">
        <f t="shared" si="178"/>
        <v>0</v>
      </c>
      <c r="BI334" s="165">
        <f t="shared" si="178"/>
        <v>0</v>
      </c>
      <c r="BJ334" s="165">
        <f t="shared" si="178"/>
        <v>0</v>
      </c>
      <c r="BK334" s="165">
        <f t="shared" si="178"/>
        <v>0</v>
      </c>
      <c r="BL334" s="165">
        <f t="shared" si="178"/>
        <v>0</v>
      </c>
      <c r="BM334" s="165">
        <f t="shared" si="178"/>
        <v>0</v>
      </c>
      <c r="BN334" s="165">
        <f t="shared" si="178"/>
        <v>0</v>
      </c>
      <c r="BO334" s="165">
        <f t="shared" si="178"/>
        <v>0</v>
      </c>
      <c r="BP334" s="165">
        <f t="shared" si="178"/>
        <v>0</v>
      </c>
      <c r="BQ334" s="165">
        <f t="shared" si="178"/>
        <v>0</v>
      </c>
      <c r="BR334" s="165">
        <f t="shared" si="178"/>
        <v>0</v>
      </c>
      <c r="BS334" s="165">
        <f t="shared" si="178"/>
        <v>0</v>
      </c>
      <c r="BT334" s="165">
        <f t="shared" si="178"/>
        <v>0</v>
      </c>
      <c r="BU334" s="165">
        <f t="shared" si="178"/>
        <v>0</v>
      </c>
      <c r="BV334" s="165">
        <f t="shared" si="178"/>
        <v>0</v>
      </c>
      <c r="BW334" s="165">
        <f t="shared" si="178"/>
        <v>0</v>
      </c>
      <c r="BX334" s="165">
        <f t="shared" si="178"/>
        <v>0</v>
      </c>
      <c r="BY334" s="165">
        <f t="shared" si="178"/>
        <v>0</v>
      </c>
      <c r="BZ334" s="165">
        <f t="shared" si="178"/>
        <v>0</v>
      </c>
      <c r="CA334" s="165">
        <f t="shared" si="178"/>
        <v>0</v>
      </c>
      <c r="CB334" s="165">
        <f t="shared" si="178"/>
        <v>0</v>
      </c>
      <c r="CC334" s="165">
        <f t="shared" si="178"/>
        <v>0</v>
      </c>
      <c r="CD334" s="165">
        <f t="shared" ref="CD334:CS334" si="179">CD333+CD327+CD320+CD311</f>
        <v>0</v>
      </c>
      <c r="CE334" s="875">
        <f t="shared" si="179"/>
        <v>1345000000</v>
      </c>
      <c r="CF334" s="165">
        <f t="shared" si="179"/>
        <v>1121542582</v>
      </c>
      <c r="CG334" s="165">
        <f t="shared" si="179"/>
        <v>1099238498</v>
      </c>
      <c r="CH334" s="165">
        <f t="shared" si="179"/>
        <v>0</v>
      </c>
      <c r="CI334" s="165">
        <f t="shared" si="179"/>
        <v>0</v>
      </c>
      <c r="CJ334" s="165">
        <f t="shared" si="179"/>
        <v>0</v>
      </c>
      <c r="CK334" s="165">
        <f t="shared" si="179"/>
        <v>0</v>
      </c>
      <c r="CL334" s="165">
        <f t="shared" si="179"/>
        <v>0</v>
      </c>
      <c r="CM334" s="165">
        <f t="shared" si="179"/>
        <v>0</v>
      </c>
      <c r="CN334" s="165">
        <f t="shared" si="179"/>
        <v>0</v>
      </c>
      <c r="CO334" s="165">
        <f t="shared" si="179"/>
        <v>0</v>
      </c>
      <c r="CP334" s="165">
        <f t="shared" si="179"/>
        <v>0</v>
      </c>
      <c r="CQ334" s="165">
        <f t="shared" si="179"/>
        <v>0</v>
      </c>
      <c r="CR334" s="165">
        <f t="shared" si="179"/>
        <v>0</v>
      </c>
      <c r="CS334" s="165">
        <f t="shared" si="179"/>
        <v>0</v>
      </c>
      <c r="CT334" s="165">
        <f>CT333+CT327+CT320+CT311</f>
        <v>1345000000</v>
      </c>
      <c r="CU334" s="165">
        <f>CU333+CU327+CU320+CU311</f>
        <v>1121542582</v>
      </c>
      <c r="CV334" s="165">
        <f>CV333+CV327+CV320+CV311</f>
        <v>1099238498</v>
      </c>
    </row>
    <row r="335" spans="1:100" s="46" customFormat="1" ht="29.25" customHeight="1" x14ac:dyDescent="0.25">
      <c r="A335" s="258"/>
      <c r="B335" s="166"/>
      <c r="C335" s="167"/>
      <c r="D335" s="166"/>
      <c r="E335" s="167"/>
      <c r="F335" s="167"/>
      <c r="G335" s="166"/>
      <c r="H335" s="167"/>
      <c r="I335" s="166"/>
      <c r="J335" s="259"/>
      <c r="K335" s="259"/>
      <c r="L335" s="259"/>
      <c r="M335" s="259"/>
      <c r="N335" s="169"/>
      <c r="O335" s="166"/>
      <c r="P335" s="167"/>
      <c r="Q335" s="170">
        <f>Q334</f>
        <v>0</v>
      </c>
      <c r="R335" s="170">
        <f t="shared" ref="R335:CC335" si="180">R334</f>
        <v>0</v>
      </c>
      <c r="S335" s="170">
        <f t="shared" si="180"/>
        <v>0</v>
      </c>
      <c r="T335" s="170">
        <f t="shared" si="180"/>
        <v>0</v>
      </c>
      <c r="U335" s="170">
        <f t="shared" si="180"/>
        <v>0</v>
      </c>
      <c r="V335" s="170">
        <f t="shared" si="180"/>
        <v>0</v>
      </c>
      <c r="W335" s="170">
        <f t="shared" si="180"/>
        <v>0</v>
      </c>
      <c r="X335" s="170">
        <f t="shared" si="180"/>
        <v>0</v>
      </c>
      <c r="Y335" s="170">
        <f t="shared" si="180"/>
        <v>0</v>
      </c>
      <c r="Z335" s="170">
        <f t="shared" si="180"/>
        <v>0</v>
      </c>
      <c r="AA335" s="170">
        <f t="shared" si="180"/>
        <v>0</v>
      </c>
      <c r="AB335" s="170">
        <f t="shared" si="180"/>
        <v>0</v>
      </c>
      <c r="AC335" s="170">
        <f t="shared" si="180"/>
        <v>0</v>
      </c>
      <c r="AD335" s="170">
        <f t="shared" si="180"/>
        <v>0</v>
      </c>
      <c r="AE335" s="170">
        <f t="shared" si="180"/>
        <v>0</v>
      </c>
      <c r="AF335" s="170">
        <f t="shared" si="180"/>
        <v>0</v>
      </c>
      <c r="AG335" s="170">
        <f t="shared" si="180"/>
        <v>0</v>
      </c>
      <c r="AH335" s="170">
        <f t="shared" si="180"/>
        <v>0</v>
      </c>
      <c r="AI335" s="170">
        <f t="shared" si="180"/>
        <v>0</v>
      </c>
      <c r="AJ335" s="170">
        <f t="shared" si="180"/>
        <v>0</v>
      </c>
      <c r="AK335" s="170">
        <f t="shared" si="180"/>
        <v>0</v>
      </c>
      <c r="AL335" s="170">
        <f t="shared" si="180"/>
        <v>0</v>
      </c>
      <c r="AM335" s="170">
        <f t="shared" si="180"/>
        <v>0</v>
      </c>
      <c r="AN335" s="170">
        <f t="shared" si="180"/>
        <v>0</v>
      </c>
      <c r="AO335" s="170">
        <f t="shared" si="180"/>
        <v>0</v>
      </c>
      <c r="AP335" s="170">
        <f t="shared" si="180"/>
        <v>0</v>
      </c>
      <c r="AQ335" s="170">
        <f t="shared" si="180"/>
        <v>0</v>
      </c>
      <c r="AR335" s="170">
        <f t="shared" si="180"/>
        <v>0</v>
      </c>
      <c r="AS335" s="170">
        <f t="shared" si="180"/>
        <v>0</v>
      </c>
      <c r="AT335" s="170">
        <f t="shared" si="180"/>
        <v>0</v>
      </c>
      <c r="AU335" s="170">
        <f t="shared" si="180"/>
        <v>0</v>
      </c>
      <c r="AV335" s="170">
        <f t="shared" si="180"/>
        <v>0</v>
      </c>
      <c r="AW335" s="170">
        <f t="shared" si="180"/>
        <v>0</v>
      </c>
      <c r="AX335" s="170">
        <f t="shared" si="180"/>
        <v>0</v>
      </c>
      <c r="AY335" s="170">
        <f t="shared" si="180"/>
        <v>0</v>
      </c>
      <c r="AZ335" s="170">
        <f t="shared" si="180"/>
        <v>0</v>
      </c>
      <c r="BA335" s="170">
        <f t="shared" si="180"/>
        <v>0</v>
      </c>
      <c r="BB335" s="170">
        <f t="shared" si="180"/>
        <v>0</v>
      </c>
      <c r="BC335" s="170">
        <f t="shared" si="180"/>
        <v>0</v>
      </c>
      <c r="BD335" s="170">
        <f t="shared" si="180"/>
        <v>0</v>
      </c>
      <c r="BE335" s="170">
        <f t="shared" si="180"/>
        <v>0</v>
      </c>
      <c r="BF335" s="170">
        <f t="shared" si="180"/>
        <v>0</v>
      </c>
      <c r="BG335" s="170">
        <f t="shared" si="180"/>
        <v>0</v>
      </c>
      <c r="BH335" s="170">
        <f t="shared" si="180"/>
        <v>0</v>
      </c>
      <c r="BI335" s="170">
        <f t="shared" si="180"/>
        <v>0</v>
      </c>
      <c r="BJ335" s="170">
        <f t="shared" si="180"/>
        <v>0</v>
      </c>
      <c r="BK335" s="170">
        <f t="shared" si="180"/>
        <v>0</v>
      </c>
      <c r="BL335" s="170">
        <f t="shared" si="180"/>
        <v>0</v>
      </c>
      <c r="BM335" s="170">
        <f t="shared" si="180"/>
        <v>0</v>
      </c>
      <c r="BN335" s="170">
        <f t="shared" si="180"/>
        <v>0</v>
      </c>
      <c r="BO335" s="170">
        <f t="shared" si="180"/>
        <v>0</v>
      </c>
      <c r="BP335" s="170">
        <f t="shared" si="180"/>
        <v>0</v>
      </c>
      <c r="BQ335" s="170">
        <f t="shared" si="180"/>
        <v>0</v>
      </c>
      <c r="BR335" s="170">
        <f t="shared" si="180"/>
        <v>0</v>
      </c>
      <c r="BS335" s="170">
        <f t="shared" si="180"/>
        <v>0</v>
      </c>
      <c r="BT335" s="170">
        <f t="shared" si="180"/>
        <v>0</v>
      </c>
      <c r="BU335" s="170">
        <f t="shared" si="180"/>
        <v>0</v>
      </c>
      <c r="BV335" s="170">
        <f t="shared" si="180"/>
        <v>0</v>
      </c>
      <c r="BW335" s="170">
        <f t="shared" si="180"/>
        <v>0</v>
      </c>
      <c r="BX335" s="170">
        <f t="shared" si="180"/>
        <v>0</v>
      </c>
      <c r="BY335" s="170">
        <f t="shared" si="180"/>
        <v>0</v>
      </c>
      <c r="BZ335" s="170">
        <f t="shared" si="180"/>
        <v>0</v>
      </c>
      <c r="CA335" s="170">
        <f t="shared" si="180"/>
        <v>0</v>
      </c>
      <c r="CB335" s="170">
        <f t="shared" si="180"/>
        <v>0</v>
      </c>
      <c r="CC335" s="170">
        <f t="shared" si="180"/>
        <v>0</v>
      </c>
      <c r="CD335" s="170">
        <f t="shared" ref="CD335:CS335" si="181">CD334</f>
        <v>0</v>
      </c>
      <c r="CE335" s="876">
        <f t="shared" si="181"/>
        <v>1345000000</v>
      </c>
      <c r="CF335" s="170">
        <f t="shared" si="181"/>
        <v>1121542582</v>
      </c>
      <c r="CG335" s="170">
        <f t="shared" si="181"/>
        <v>1099238498</v>
      </c>
      <c r="CH335" s="170">
        <f t="shared" si="181"/>
        <v>0</v>
      </c>
      <c r="CI335" s="170">
        <f t="shared" si="181"/>
        <v>0</v>
      </c>
      <c r="CJ335" s="170">
        <f t="shared" si="181"/>
        <v>0</v>
      </c>
      <c r="CK335" s="170">
        <f t="shared" si="181"/>
        <v>0</v>
      </c>
      <c r="CL335" s="170">
        <f t="shared" si="181"/>
        <v>0</v>
      </c>
      <c r="CM335" s="170">
        <f t="shared" si="181"/>
        <v>0</v>
      </c>
      <c r="CN335" s="170">
        <f t="shared" si="181"/>
        <v>0</v>
      </c>
      <c r="CO335" s="170">
        <f t="shared" si="181"/>
        <v>0</v>
      </c>
      <c r="CP335" s="170">
        <f t="shared" si="181"/>
        <v>0</v>
      </c>
      <c r="CQ335" s="170">
        <f t="shared" si="181"/>
        <v>0</v>
      </c>
      <c r="CR335" s="170">
        <f t="shared" si="181"/>
        <v>0</v>
      </c>
      <c r="CS335" s="170">
        <f t="shared" si="181"/>
        <v>0</v>
      </c>
      <c r="CT335" s="170">
        <f>CT334</f>
        <v>1345000000</v>
      </c>
      <c r="CU335" s="170">
        <f>CU334</f>
        <v>1121542582</v>
      </c>
      <c r="CV335" s="170">
        <f>CV334</f>
        <v>1099238498</v>
      </c>
    </row>
    <row r="336" spans="1:100" s="46" customFormat="1" ht="20.25" x14ac:dyDescent="0.25">
      <c r="A336" s="177"/>
      <c r="B336" s="177"/>
      <c r="C336" s="949"/>
      <c r="D336" s="177"/>
      <c r="E336" s="949"/>
      <c r="F336" s="949"/>
      <c r="G336" s="177"/>
      <c r="H336" s="949"/>
      <c r="I336" s="177"/>
      <c r="J336" s="260"/>
      <c r="K336" s="260"/>
      <c r="L336" s="260"/>
      <c r="M336" s="260"/>
      <c r="N336" s="230"/>
      <c r="O336" s="221"/>
      <c r="P336" s="949"/>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T336" s="180"/>
      <c r="BU336" s="180"/>
      <c r="BV336" s="180"/>
      <c r="BW336" s="180"/>
      <c r="BX336" s="180"/>
      <c r="BY336" s="180"/>
      <c r="BZ336" s="180"/>
      <c r="CA336" s="180"/>
      <c r="CB336" s="180"/>
      <c r="CC336" s="180"/>
      <c r="CD336" s="180"/>
      <c r="CE336" s="860"/>
      <c r="CF336" s="182"/>
      <c r="CG336" s="182"/>
      <c r="CH336" s="180"/>
      <c r="CI336" s="180"/>
      <c r="CJ336" s="180"/>
      <c r="CK336" s="180"/>
      <c r="CL336" s="180"/>
      <c r="CM336" s="180"/>
      <c r="CN336" s="180"/>
      <c r="CO336" s="180"/>
      <c r="CP336" s="180"/>
      <c r="CQ336" s="180"/>
      <c r="CR336" s="180"/>
      <c r="CS336" s="180"/>
      <c r="CT336" s="25"/>
      <c r="CU336" s="743"/>
      <c r="CV336" s="743"/>
    </row>
    <row r="337" spans="1:100" s="46" customFormat="1" ht="20.25" x14ac:dyDescent="0.25">
      <c r="A337" s="139">
        <v>3</v>
      </c>
      <c r="B337" s="140" t="s">
        <v>422</v>
      </c>
      <c r="C337" s="141"/>
      <c r="D337" s="140"/>
      <c r="E337" s="140"/>
      <c r="F337" s="140"/>
      <c r="G337" s="140"/>
      <c r="H337" s="141"/>
      <c r="I337" s="140"/>
      <c r="J337" s="140"/>
      <c r="K337" s="140"/>
      <c r="L337" s="140"/>
      <c r="M337" s="140"/>
      <c r="N337" s="676"/>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867"/>
      <c r="CF337" s="142"/>
      <c r="CG337" s="142"/>
      <c r="CH337" s="140"/>
      <c r="CI337" s="140"/>
      <c r="CJ337" s="140"/>
      <c r="CK337" s="140"/>
      <c r="CL337" s="140"/>
      <c r="CM337" s="140"/>
      <c r="CN337" s="140"/>
      <c r="CO337" s="140"/>
      <c r="CP337" s="140"/>
      <c r="CQ337" s="140"/>
      <c r="CR337" s="140"/>
      <c r="CS337" s="140"/>
      <c r="CT337" s="540"/>
      <c r="CU337" s="540"/>
      <c r="CV337" s="540"/>
    </row>
    <row r="338" spans="1:100" s="46" customFormat="1" ht="20.25" x14ac:dyDescent="0.25">
      <c r="A338" s="185"/>
      <c r="B338" s="239">
        <v>11</v>
      </c>
      <c r="C338" s="147" t="s">
        <v>423</v>
      </c>
      <c r="D338" s="146"/>
      <c r="E338" s="146"/>
      <c r="F338" s="146"/>
      <c r="G338" s="146"/>
      <c r="H338" s="147"/>
      <c r="I338" s="146"/>
      <c r="J338" s="146"/>
      <c r="K338" s="146"/>
      <c r="L338" s="146"/>
      <c r="M338" s="146"/>
      <c r="N338" s="677"/>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c r="BV338" s="146"/>
      <c r="BW338" s="146"/>
      <c r="BX338" s="146"/>
      <c r="BY338" s="146"/>
      <c r="BZ338" s="146"/>
      <c r="CA338" s="146"/>
      <c r="CB338" s="146"/>
      <c r="CC338" s="146"/>
      <c r="CD338" s="146"/>
      <c r="CE338" s="868"/>
      <c r="CF338" s="148"/>
      <c r="CG338" s="148"/>
      <c r="CH338" s="146"/>
      <c r="CI338" s="146"/>
      <c r="CJ338" s="146"/>
      <c r="CK338" s="146"/>
      <c r="CL338" s="146"/>
      <c r="CM338" s="146"/>
      <c r="CN338" s="146"/>
      <c r="CO338" s="146"/>
      <c r="CP338" s="146"/>
      <c r="CQ338" s="146"/>
      <c r="CR338" s="146"/>
      <c r="CS338" s="146"/>
      <c r="CT338" s="526"/>
      <c r="CU338" s="526"/>
      <c r="CV338" s="526"/>
    </row>
    <row r="339" spans="1:100" s="46" customFormat="1" ht="20.25" x14ac:dyDescent="0.25">
      <c r="A339" s="19"/>
      <c r="B339" s="324"/>
      <c r="C339" s="949"/>
      <c r="D339" s="177"/>
      <c r="E339" s="949"/>
      <c r="F339" s="927"/>
      <c r="G339" s="339">
        <v>34</v>
      </c>
      <c r="H339" s="922" t="s">
        <v>424</v>
      </c>
      <c r="I339" s="189"/>
      <c r="J339" s="189"/>
      <c r="K339" s="189"/>
      <c r="L339" s="189"/>
      <c r="M339" s="189"/>
      <c r="N339" s="678"/>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c r="BY339" s="189"/>
      <c r="BZ339" s="189"/>
      <c r="CA339" s="189"/>
      <c r="CB339" s="189"/>
      <c r="CC339" s="189"/>
      <c r="CD339" s="189"/>
      <c r="CE339" s="857"/>
      <c r="CF339" s="190"/>
      <c r="CG339" s="190"/>
      <c r="CH339" s="189"/>
      <c r="CI339" s="189"/>
      <c r="CJ339" s="189"/>
      <c r="CK339" s="189"/>
      <c r="CL339" s="189"/>
      <c r="CM339" s="189"/>
      <c r="CN339" s="189"/>
      <c r="CO339" s="189"/>
      <c r="CP339" s="189"/>
      <c r="CQ339" s="189"/>
      <c r="CR339" s="189"/>
      <c r="CS339" s="189"/>
      <c r="CT339" s="522"/>
      <c r="CU339" s="522"/>
      <c r="CV339" s="522"/>
    </row>
    <row r="340" spans="1:100" s="27" customFormat="1" ht="97.5" customHeight="1" x14ac:dyDescent="0.25">
      <c r="A340" s="19"/>
      <c r="B340" s="18"/>
      <c r="C340" s="929">
        <v>23</v>
      </c>
      <c r="D340" s="928" t="s">
        <v>425</v>
      </c>
      <c r="E340" s="79">
        <v>0.92</v>
      </c>
      <c r="F340" s="79">
        <v>0.85</v>
      </c>
      <c r="G340" s="22"/>
      <c r="H340" s="929">
        <v>122</v>
      </c>
      <c r="I340" s="928" t="s">
        <v>426</v>
      </c>
      <c r="J340" s="10">
        <v>0</v>
      </c>
      <c r="K340" s="10">
        <v>1</v>
      </c>
      <c r="L340" s="647">
        <v>1</v>
      </c>
      <c r="M340" s="1137" t="s">
        <v>427</v>
      </c>
      <c r="N340" s="1017" t="s">
        <v>428</v>
      </c>
      <c r="O340" s="1021" t="s">
        <v>429</v>
      </c>
      <c r="P340" s="14" t="s">
        <v>38</v>
      </c>
      <c r="Q340" s="25">
        <v>0</v>
      </c>
      <c r="R340" s="25"/>
      <c r="S340" s="25"/>
      <c r="T340" s="25">
        <v>0</v>
      </c>
      <c r="U340" s="25"/>
      <c r="V340" s="25"/>
      <c r="W340" s="25">
        <v>0</v>
      </c>
      <c r="X340" s="25"/>
      <c r="Y340" s="25"/>
      <c r="Z340" s="25">
        <v>0</v>
      </c>
      <c r="AA340" s="25"/>
      <c r="AB340" s="25"/>
      <c r="AC340" s="25">
        <v>0</v>
      </c>
      <c r="AD340" s="25"/>
      <c r="AE340" s="25"/>
      <c r="AF340" s="25">
        <v>0</v>
      </c>
      <c r="AG340" s="25"/>
      <c r="AH340" s="25"/>
      <c r="AI340" s="25">
        <v>0</v>
      </c>
      <c r="AJ340" s="25"/>
      <c r="AK340" s="25"/>
      <c r="AL340" s="25"/>
      <c r="AM340" s="25"/>
      <c r="AN340" s="25"/>
      <c r="AO340" s="25"/>
      <c r="AP340" s="25"/>
      <c r="AQ340" s="25"/>
      <c r="AR340" s="25"/>
      <c r="AS340" s="25"/>
      <c r="AT340" s="25"/>
      <c r="AU340" s="25">
        <v>0</v>
      </c>
      <c r="AV340" s="25"/>
      <c r="AW340" s="25"/>
      <c r="AX340" s="25"/>
      <c r="AY340" s="25"/>
      <c r="AZ340" s="25"/>
      <c r="BA340" s="25">
        <v>0</v>
      </c>
      <c r="BB340" s="25"/>
      <c r="BC340" s="25"/>
      <c r="BD340" s="25">
        <v>0</v>
      </c>
      <c r="BE340" s="25"/>
      <c r="BF340" s="25"/>
      <c r="BG340" s="25"/>
      <c r="BH340" s="25"/>
      <c r="BI340" s="25"/>
      <c r="BJ340" s="25"/>
      <c r="BK340" s="25"/>
      <c r="BL340" s="25"/>
      <c r="BM340" s="25"/>
      <c r="BN340" s="25"/>
      <c r="BO340" s="25"/>
      <c r="BP340" s="25"/>
      <c r="BQ340" s="25"/>
      <c r="BR340" s="25"/>
      <c r="BS340" s="25"/>
      <c r="BT340" s="25"/>
      <c r="BU340" s="25"/>
      <c r="BV340" s="25"/>
      <c r="BW340" s="25"/>
      <c r="BX340" s="25"/>
      <c r="BY340" s="25">
        <v>0</v>
      </c>
      <c r="BZ340" s="25"/>
      <c r="CA340" s="25"/>
      <c r="CB340" s="25">
        <v>0</v>
      </c>
      <c r="CC340" s="25"/>
      <c r="CD340" s="25"/>
      <c r="CE340" s="127">
        <f>10000000+20000000+25000000</f>
        <v>55000000</v>
      </c>
      <c r="CF340" s="110">
        <v>11684761</v>
      </c>
      <c r="CG340" s="110">
        <v>11684761</v>
      </c>
      <c r="CH340" s="13"/>
      <c r="CI340" s="13"/>
      <c r="CJ340" s="13"/>
      <c r="CK340" s="25">
        <v>0</v>
      </c>
      <c r="CL340" s="26"/>
      <c r="CM340" s="26"/>
      <c r="CN340" s="26">
        <v>0</v>
      </c>
      <c r="CO340" s="26"/>
      <c r="CP340" s="26"/>
      <c r="CQ340" s="26"/>
      <c r="CR340" s="26"/>
      <c r="CS340" s="26"/>
      <c r="CT340" s="25">
        <f t="shared" ref="CT340:CV344" si="182">Q340+T340+W340+Z340+AC340+AF340+AI340+AL340+AO340+AR340+AU340+AX340+BA340+BD340+BG340+BJ340+BM340+BP340+BS340+BV340+BY340+CB340+CE340+CH340+CK340+CQ340+CN340</f>
        <v>55000000</v>
      </c>
      <c r="CU340" s="25">
        <f t="shared" si="182"/>
        <v>11684761</v>
      </c>
      <c r="CV340" s="25">
        <f t="shared" si="182"/>
        <v>11684761</v>
      </c>
    </row>
    <row r="341" spans="1:100" s="27" customFormat="1" ht="71.25" x14ac:dyDescent="0.25">
      <c r="A341" s="19"/>
      <c r="B341" s="18"/>
      <c r="C341" s="929"/>
      <c r="D341" s="928"/>
      <c r="E341" s="79"/>
      <c r="F341" s="79"/>
      <c r="G341" s="28"/>
      <c r="H341" s="929">
        <v>123</v>
      </c>
      <c r="I341" s="928" t="s">
        <v>430</v>
      </c>
      <c r="J341" s="10" t="s">
        <v>30</v>
      </c>
      <c r="K341" s="10">
        <v>4</v>
      </c>
      <c r="L341" s="647">
        <v>4</v>
      </c>
      <c r="M341" s="1138"/>
      <c r="N341" s="1018"/>
      <c r="O341" s="1023"/>
      <c r="P341" s="14" t="s">
        <v>38</v>
      </c>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711"/>
      <c r="CD341" s="711"/>
      <c r="CE341" s="864">
        <f>20000000+60000000-10000000</f>
        <v>70000000</v>
      </c>
      <c r="CF341" s="112">
        <f>20000000+60000000-10000000</f>
        <v>70000000</v>
      </c>
      <c r="CG341" s="112">
        <f>20000000+60000000-10000000</f>
        <v>70000000</v>
      </c>
      <c r="CH341" s="78"/>
      <c r="CI341" s="712"/>
      <c r="CJ341" s="712"/>
      <c r="CK341" s="80"/>
      <c r="CL341" s="711"/>
      <c r="CM341" s="711"/>
      <c r="CN341" s="81"/>
      <c r="CO341" s="711"/>
      <c r="CP341" s="711"/>
      <c r="CQ341" s="81"/>
      <c r="CR341" s="711"/>
      <c r="CS341" s="711"/>
      <c r="CT341" s="25">
        <f t="shared" si="182"/>
        <v>70000000</v>
      </c>
      <c r="CU341" s="25">
        <f t="shared" si="182"/>
        <v>70000000</v>
      </c>
      <c r="CV341" s="25">
        <f t="shared" si="182"/>
        <v>70000000</v>
      </c>
    </row>
    <row r="342" spans="1:100" s="27" customFormat="1" ht="57" x14ac:dyDescent="0.25">
      <c r="A342" s="19"/>
      <c r="B342" s="18"/>
      <c r="C342" s="929"/>
      <c r="D342" s="928"/>
      <c r="E342" s="79"/>
      <c r="F342" s="79"/>
      <c r="G342" s="28"/>
      <c r="H342" s="929">
        <v>124</v>
      </c>
      <c r="I342" s="928" t="s">
        <v>431</v>
      </c>
      <c r="J342" s="10">
        <v>40</v>
      </c>
      <c r="K342" s="10">
        <v>150</v>
      </c>
      <c r="L342" s="647">
        <v>48</v>
      </c>
      <c r="M342" s="1138"/>
      <c r="N342" s="1018"/>
      <c r="O342" s="1023"/>
      <c r="P342" s="14" t="s">
        <v>34</v>
      </c>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711"/>
      <c r="CD342" s="711"/>
      <c r="CE342" s="864">
        <f>20000000+35000000-19000000+50000000</f>
        <v>86000000</v>
      </c>
      <c r="CF342" s="719">
        <v>35757000</v>
      </c>
      <c r="CG342" s="719">
        <v>35757000</v>
      </c>
      <c r="CH342" s="78"/>
      <c r="CI342" s="712"/>
      <c r="CJ342" s="712"/>
      <c r="CK342" s="80"/>
      <c r="CL342" s="711"/>
      <c r="CM342" s="711"/>
      <c r="CN342" s="81"/>
      <c r="CO342" s="711"/>
      <c r="CP342" s="711"/>
      <c r="CQ342" s="81"/>
      <c r="CR342" s="711"/>
      <c r="CS342" s="711"/>
      <c r="CT342" s="25">
        <f t="shared" si="182"/>
        <v>86000000</v>
      </c>
      <c r="CU342" s="25">
        <f t="shared" si="182"/>
        <v>35757000</v>
      </c>
      <c r="CV342" s="25">
        <f t="shared" si="182"/>
        <v>35757000</v>
      </c>
    </row>
    <row r="343" spans="1:100" s="27" customFormat="1" ht="108" customHeight="1" x14ac:dyDescent="0.25">
      <c r="A343" s="19"/>
      <c r="B343" s="18"/>
      <c r="C343" s="929"/>
      <c r="D343" s="928"/>
      <c r="E343" s="79"/>
      <c r="F343" s="79"/>
      <c r="G343" s="28"/>
      <c r="H343" s="929">
        <v>126</v>
      </c>
      <c r="I343" s="928" t="s">
        <v>432</v>
      </c>
      <c r="J343" s="10" t="s">
        <v>30</v>
      </c>
      <c r="K343" s="10" t="s">
        <v>923</v>
      </c>
      <c r="L343" s="647">
        <v>700</v>
      </c>
      <c r="M343" s="1138"/>
      <c r="N343" s="1018"/>
      <c r="O343" s="1023"/>
      <c r="P343" s="14" t="s">
        <v>38</v>
      </c>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711"/>
      <c r="CD343" s="711"/>
      <c r="CE343" s="864">
        <f>10000000+15000000+19000000</f>
        <v>44000000</v>
      </c>
      <c r="CF343" s="719">
        <v>14966332</v>
      </c>
      <c r="CG343" s="719">
        <v>14966332</v>
      </c>
      <c r="CH343" s="78"/>
      <c r="CI343" s="712"/>
      <c r="CJ343" s="712"/>
      <c r="CK343" s="80"/>
      <c r="CL343" s="711"/>
      <c r="CM343" s="711"/>
      <c r="CN343" s="81"/>
      <c r="CO343" s="711"/>
      <c r="CP343" s="711"/>
      <c r="CQ343" s="81"/>
      <c r="CR343" s="711"/>
      <c r="CS343" s="711"/>
      <c r="CT343" s="25">
        <f t="shared" si="182"/>
        <v>44000000</v>
      </c>
      <c r="CU343" s="25">
        <f t="shared" si="182"/>
        <v>14966332</v>
      </c>
      <c r="CV343" s="25">
        <f t="shared" si="182"/>
        <v>14966332</v>
      </c>
    </row>
    <row r="344" spans="1:100" s="27" customFormat="1" ht="65.25" customHeight="1" x14ac:dyDescent="0.25">
      <c r="A344" s="19"/>
      <c r="B344" s="18"/>
      <c r="C344" s="929">
        <v>23</v>
      </c>
      <c r="D344" s="928" t="s">
        <v>425</v>
      </c>
      <c r="E344" s="79">
        <v>0.92</v>
      </c>
      <c r="F344" s="79">
        <v>0.85</v>
      </c>
      <c r="G344" s="29"/>
      <c r="H344" s="929">
        <v>125</v>
      </c>
      <c r="I344" s="928" t="s">
        <v>433</v>
      </c>
      <c r="J344" s="23">
        <v>1200</v>
      </c>
      <c r="K344" s="23">
        <v>750</v>
      </c>
      <c r="L344" s="650">
        <v>774</v>
      </c>
      <c r="M344" s="1139"/>
      <c r="N344" s="1019"/>
      <c r="O344" s="1022"/>
      <c r="P344" s="914" t="s">
        <v>34</v>
      </c>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77">
        <f>20000000+20000000+15000000-15000000</f>
        <v>40000000</v>
      </c>
      <c r="CF344" s="115">
        <f>20000000+20000000+15000000-15000000</f>
        <v>40000000</v>
      </c>
      <c r="CG344" s="115">
        <f>20000000+20000000+15000000-15000000</f>
        <v>40000000</v>
      </c>
      <c r="CH344" s="82"/>
      <c r="CI344" s="82"/>
      <c r="CJ344" s="82"/>
      <c r="CK344" s="80"/>
      <c r="CL344" s="711"/>
      <c r="CM344" s="711"/>
      <c r="CN344" s="81"/>
      <c r="CO344" s="711"/>
      <c r="CP344" s="711"/>
      <c r="CQ344" s="81"/>
      <c r="CR344" s="711"/>
      <c r="CS344" s="711"/>
      <c r="CT344" s="25">
        <f t="shared" si="182"/>
        <v>40000000</v>
      </c>
      <c r="CU344" s="25">
        <f t="shared" si="182"/>
        <v>40000000</v>
      </c>
      <c r="CV344" s="25">
        <f t="shared" si="182"/>
        <v>40000000</v>
      </c>
    </row>
    <row r="345" spans="1:100" ht="15" x14ac:dyDescent="0.25">
      <c r="A345" s="19"/>
      <c r="B345" s="331"/>
      <c r="C345" s="914"/>
      <c r="D345" s="917"/>
      <c r="E345" s="914"/>
      <c r="F345" s="914"/>
      <c r="G345" s="214"/>
      <c r="H345" s="215"/>
      <c r="I345" s="214"/>
      <c r="J345" s="385"/>
      <c r="K345" s="385"/>
      <c r="L345" s="385"/>
      <c r="M345" s="385"/>
      <c r="N345" s="294"/>
      <c r="O345" s="214"/>
      <c r="P345" s="215"/>
      <c r="Q345" s="295">
        <f>SUM(Q340:Q344)</f>
        <v>0</v>
      </c>
      <c r="R345" s="295">
        <f t="shared" ref="R345:CC345" si="183">SUM(R340:R344)</f>
        <v>0</v>
      </c>
      <c r="S345" s="295">
        <f t="shared" si="183"/>
        <v>0</v>
      </c>
      <c r="T345" s="295">
        <f t="shared" si="183"/>
        <v>0</v>
      </c>
      <c r="U345" s="295">
        <f t="shared" si="183"/>
        <v>0</v>
      </c>
      <c r="V345" s="295">
        <f t="shared" si="183"/>
        <v>0</v>
      </c>
      <c r="W345" s="295">
        <f t="shared" si="183"/>
        <v>0</v>
      </c>
      <c r="X345" s="295">
        <f t="shared" si="183"/>
        <v>0</v>
      </c>
      <c r="Y345" s="295">
        <f t="shared" si="183"/>
        <v>0</v>
      </c>
      <c r="Z345" s="295">
        <f t="shared" si="183"/>
        <v>0</v>
      </c>
      <c r="AA345" s="295">
        <f t="shared" si="183"/>
        <v>0</v>
      </c>
      <c r="AB345" s="295">
        <f t="shared" si="183"/>
        <v>0</v>
      </c>
      <c r="AC345" s="295">
        <f t="shared" si="183"/>
        <v>0</v>
      </c>
      <c r="AD345" s="295">
        <f t="shared" si="183"/>
        <v>0</v>
      </c>
      <c r="AE345" s="295">
        <f t="shared" si="183"/>
        <v>0</v>
      </c>
      <c r="AF345" s="295">
        <f t="shared" si="183"/>
        <v>0</v>
      </c>
      <c r="AG345" s="295">
        <f t="shared" si="183"/>
        <v>0</v>
      </c>
      <c r="AH345" s="295">
        <f t="shared" si="183"/>
        <v>0</v>
      </c>
      <c r="AI345" s="295">
        <f t="shared" si="183"/>
        <v>0</v>
      </c>
      <c r="AJ345" s="295">
        <f t="shared" si="183"/>
        <v>0</v>
      </c>
      <c r="AK345" s="295">
        <f t="shared" si="183"/>
        <v>0</v>
      </c>
      <c r="AL345" s="295">
        <f t="shared" si="183"/>
        <v>0</v>
      </c>
      <c r="AM345" s="295">
        <f t="shared" si="183"/>
        <v>0</v>
      </c>
      <c r="AN345" s="295">
        <f t="shared" si="183"/>
        <v>0</v>
      </c>
      <c r="AO345" s="295">
        <f t="shared" si="183"/>
        <v>0</v>
      </c>
      <c r="AP345" s="295">
        <f t="shared" si="183"/>
        <v>0</v>
      </c>
      <c r="AQ345" s="295">
        <f t="shared" si="183"/>
        <v>0</v>
      </c>
      <c r="AR345" s="295">
        <f t="shared" si="183"/>
        <v>0</v>
      </c>
      <c r="AS345" s="295">
        <f t="shared" si="183"/>
        <v>0</v>
      </c>
      <c r="AT345" s="295">
        <f t="shared" si="183"/>
        <v>0</v>
      </c>
      <c r="AU345" s="295">
        <f t="shared" si="183"/>
        <v>0</v>
      </c>
      <c r="AV345" s="295">
        <f t="shared" si="183"/>
        <v>0</v>
      </c>
      <c r="AW345" s="295">
        <f t="shared" si="183"/>
        <v>0</v>
      </c>
      <c r="AX345" s="295">
        <f t="shared" si="183"/>
        <v>0</v>
      </c>
      <c r="AY345" s="295">
        <f t="shared" si="183"/>
        <v>0</v>
      </c>
      <c r="AZ345" s="295">
        <f t="shared" si="183"/>
        <v>0</v>
      </c>
      <c r="BA345" s="295">
        <f t="shared" si="183"/>
        <v>0</v>
      </c>
      <c r="BB345" s="295">
        <f t="shared" si="183"/>
        <v>0</v>
      </c>
      <c r="BC345" s="295">
        <f t="shared" si="183"/>
        <v>0</v>
      </c>
      <c r="BD345" s="295">
        <f t="shared" si="183"/>
        <v>0</v>
      </c>
      <c r="BE345" s="295">
        <f t="shared" si="183"/>
        <v>0</v>
      </c>
      <c r="BF345" s="295">
        <f t="shared" si="183"/>
        <v>0</v>
      </c>
      <c r="BG345" s="295">
        <f t="shared" si="183"/>
        <v>0</v>
      </c>
      <c r="BH345" s="295">
        <f t="shared" si="183"/>
        <v>0</v>
      </c>
      <c r="BI345" s="295">
        <f t="shared" si="183"/>
        <v>0</v>
      </c>
      <c r="BJ345" s="295">
        <f t="shared" si="183"/>
        <v>0</v>
      </c>
      <c r="BK345" s="295">
        <f t="shared" si="183"/>
        <v>0</v>
      </c>
      <c r="BL345" s="295">
        <f t="shared" si="183"/>
        <v>0</v>
      </c>
      <c r="BM345" s="295">
        <f t="shared" si="183"/>
        <v>0</v>
      </c>
      <c r="BN345" s="295">
        <f t="shared" si="183"/>
        <v>0</v>
      </c>
      <c r="BO345" s="295">
        <f t="shared" si="183"/>
        <v>0</v>
      </c>
      <c r="BP345" s="295">
        <f t="shared" si="183"/>
        <v>0</v>
      </c>
      <c r="BQ345" s="295">
        <f t="shared" si="183"/>
        <v>0</v>
      </c>
      <c r="BR345" s="295">
        <f t="shared" si="183"/>
        <v>0</v>
      </c>
      <c r="BS345" s="295">
        <f t="shared" si="183"/>
        <v>0</v>
      </c>
      <c r="BT345" s="295">
        <f t="shared" si="183"/>
        <v>0</v>
      </c>
      <c r="BU345" s="295">
        <f t="shared" si="183"/>
        <v>0</v>
      </c>
      <c r="BV345" s="295">
        <f t="shared" si="183"/>
        <v>0</v>
      </c>
      <c r="BW345" s="295">
        <f t="shared" si="183"/>
        <v>0</v>
      </c>
      <c r="BX345" s="295">
        <f t="shared" si="183"/>
        <v>0</v>
      </c>
      <c r="BY345" s="295">
        <f t="shared" si="183"/>
        <v>0</v>
      </c>
      <c r="BZ345" s="295">
        <f t="shared" si="183"/>
        <v>0</v>
      </c>
      <c r="CA345" s="295">
        <f t="shared" si="183"/>
        <v>0</v>
      </c>
      <c r="CB345" s="295">
        <f t="shared" si="183"/>
        <v>0</v>
      </c>
      <c r="CC345" s="295">
        <f t="shared" si="183"/>
        <v>0</v>
      </c>
      <c r="CD345" s="295">
        <f t="shared" ref="CD345:CV345" si="184">SUM(CD340:CD344)</f>
        <v>0</v>
      </c>
      <c r="CE345" s="295">
        <f t="shared" si="184"/>
        <v>295000000</v>
      </c>
      <c r="CF345" s="295">
        <f t="shared" si="184"/>
        <v>172408093</v>
      </c>
      <c r="CG345" s="295">
        <f t="shared" si="184"/>
        <v>172408093</v>
      </c>
      <c r="CH345" s="295">
        <f t="shared" si="184"/>
        <v>0</v>
      </c>
      <c r="CI345" s="295">
        <f t="shared" si="184"/>
        <v>0</v>
      </c>
      <c r="CJ345" s="295">
        <f t="shared" si="184"/>
        <v>0</v>
      </c>
      <c r="CK345" s="295">
        <f t="shared" si="184"/>
        <v>0</v>
      </c>
      <c r="CL345" s="295">
        <f t="shared" si="184"/>
        <v>0</v>
      </c>
      <c r="CM345" s="295">
        <f t="shared" si="184"/>
        <v>0</v>
      </c>
      <c r="CN345" s="295">
        <f t="shared" si="184"/>
        <v>0</v>
      </c>
      <c r="CO345" s="295">
        <f t="shared" si="184"/>
        <v>0</v>
      </c>
      <c r="CP345" s="295">
        <f t="shared" si="184"/>
        <v>0</v>
      </c>
      <c r="CQ345" s="295">
        <f t="shared" si="184"/>
        <v>0</v>
      </c>
      <c r="CR345" s="295">
        <f t="shared" si="184"/>
        <v>0</v>
      </c>
      <c r="CS345" s="295">
        <f t="shared" si="184"/>
        <v>0</v>
      </c>
      <c r="CT345" s="295">
        <f t="shared" si="184"/>
        <v>295000000</v>
      </c>
      <c r="CU345" s="295">
        <f t="shared" si="184"/>
        <v>172408093</v>
      </c>
      <c r="CV345" s="295">
        <f t="shared" si="184"/>
        <v>172408093</v>
      </c>
    </row>
    <row r="346" spans="1:100" ht="15" x14ac:dyDescent="0.25">
      <c r="A346" s="152"/>
      <c r="B346" s="386"/>
      <c r="C346" s="220"/>
      <c r="D346" s="219"/>
      <c r="E346" s="220"/>
      <c r="F346" s="220"/>
      <c r="G346" s="219"/>
      <c r="H346" s="220"/>
      <c r="I346" s="219"/>
      <c r="J346" s="387"/>
      <c r="K346" s="387"/>
      <c r="L346" s="387"/>
      <c r="M346" s="387"/>
      <c r="N346" s="388"/>
      <c r="O346" s="219"/>
      <c r="P346" s="220"/>
      <c r="Q346" s="389">
        <f>Q345</f>
        <v>0</v>
      </c>
      <c r="R346" s="389">
        <f t="shared" ref="R346:CC347" si="185">R345</f>
        <v>0</v>
      </c>
      <c r="S346" s="389">
        <f t="shared" si="185"/>
        <v>0</v>
      </c>
      <c r="T346" s="389">
        <f t="shared" si="185"/>
        <v>0</v>
      </c>
      <c r="U346" s="389">
        <f t="shared" si="185"/>
        <v>0</v>
      </c>
      <c r="V346" s="389">
        <f t="shared" si="185"/>
        <v>0</v>
      </c>
      <c r="W346" s="389">
        <f t="shared" si="185"/>
        <v>0</v>
      </c>
      <c r="X346" s="389">
        <f t="shared" si="185"/>
        <v>0</v>
      </c>
      <c r="Y346" s="389">
        <f t="shared" si="185"/>
        <v>0</v>
      </c>
      <c r="Z346" s="389">
        <f t="shared" si="185"/>
        <v>0</v>
      </c>
      <c r="AA346" s="389">
        <f t="shared" si="185"/>
        <v>0</v>
      </c>
      <c r="AB346" s="389">
        <f t="shared" si="185"/>
        <v>0</v>
      </c>
      <c r="AC346" s="389">
        <f t="shared" si="185"/>
        <v>0</v>
      </c>
      <c r="AD346" s="389">
        <f t="shared" si="185"/>
        <v>0</v>
      </c>
      <c r="AE346" s="389">
        <f t="shared" si="185"/>
        <v>0</v>
      </c>
      <c r="AF346" s="389">
        <f t="shared" si="185"/>
        <v>0</v>
      </c>
      <c r="AG346" s="389">
        <f t="shared" si="185"/>
        <v>0</v>
      </c>
      <c r="AH346" s="389">
        <f t="shared" si="185"/>
        <v>0</v>
      </c>
      <c r="AI346" s="389">
        <f t="shared" si="185"/>
        <v>0</v>
      </c>
      <c r="AJ346" s="389">
        <f t="shared" si="185"/>
        <v>0</v>
      </c>
      <c r="AK346" s="389">
        <f t="shared" si="185"/>
        <v>0</v>
      </c>
      <c r="AL346" s="389">
        <f t="shared" si="185"/>
        <v>0</v>
      </c>
      <c r="AM346" s="389">
        <f t="shared" si="185"/>
        <v>0</v>
      </c>
      <c r="AN346" s="389">
        <f t="shared" si="185"/>
        <v>0</v>
      </c>
      <c r="AO346" s="389">
        <f t="shared" si="185"/>
        <v>0</v>
      </c>
      <c r="AP346" s="389">
        <f t="shared" si="185"/>
        <v>0</v>
      </c>
      <c r="AQ346" s="389">
        <f t="shared" si="185"/>
        <v>0</v>
      </c>
      <c r="AR346" s="389">
        <f t="shared" si="185"/>
        <v>0</v>
      </c>
      <c r="AS346" s="389">
        <f t="shared" si="185"/>
        <v>0</v>
      </c>
      <c r="AT346" s="389">
        <f t="shared" si="185"/>
        <v>0</v>
      </c>
      <c r="AU346" s="389">
        <f t="shared" si="185"/>
        <v>0</v>
      </c>
      <c r="AV346" s="389">
        <f t="shared" si="185"/>
        <v>0</v>
      </c>
      <c r="AW346" s="389">
        <f t="shared" si="185"/>
        <v>0</v>
      </c>
      <c r="AX346" s="389">
        <f t="shared" si="185"/>
        <v>0</v>
      </c>
      <c r="AY346" s="389">
        <f t="shared" si="185"/>
        <v>0</v>
      </c>
      <c r="AZ346" s="389">
        <f t="shared" si="185"/>
        <v>0</v>
      </c>
      <c r="BA346" s="389">
        <f t="shared" si="185"/>
        <v>0</v>
      </c>
      <c r="BB346" s="389">
        <f t="shared" si="185"/>
        <v>0</v>
      </c>
      <c r="BC346" s="389">
        <f t="shared" si="185"/>
        <v>0</v>
      </c>
      <c r="BD346" s="389">
        <f t="shared" si="185"/>
        <v>0</v>
      </c>
      <c r="BE346" s="389">
        <f t="shared" si="185"/>
        <v>0</v>
      </c>
      <c r="BF346" s="389">
        <f t="shared" si="185"/>
        <v>0</v>
      </c>
      <c r="BG346" s="389">
        <f t="shared" si="185"/>
        <v>0</v>
      </c>
      <c r="BH346" s="389">
        <f t="shared" si="185"/>
        <v>0</v>
      </c>
      <c r="BI346" s="389">
        <f t="shared" si="185"/>
        <v>0</v>
      </c>
      <c r="BJ346" s="389">
        <f t="shared" si="185"/>
        <v>0</v>
      </c>
      <c r="BK346" s="389">
        <f t="shared" si="185"/>
        <v>0</v>
      </c>
      <c r="BL346" s="389">
        <f t="shared" si="185"/>
        <v>0</v>
      </c>
      <c r="BM346" s="389">
        <f t="shared" si="185"/>
        <v>0</v>
      </c>
      <c r="BN346" s="389">
        <f t="shared" si="185"/>
        <v>0</v>
      </c>
      <c r="BO346" s="389">
        <f t="shared" si="185"/>
        <v>0</v>
      </c>
      <c r="BP346" s="389">
        <f t="shared" si="185"/>
        <v>0</v>
      </c>
      <c r="BQ346" s="389">
        <f t="shared" si="185"/>
        <v>0</v>
      </c>
      <c r="BR346" s="389">
        <f t="shared" si="185"/>
        <v>0</v>
      </c>
      <c r="BS346" s="389">
        <f t="shared" si="185"/>
        <v>0</v>
      </c>
      <c r="BT346" s="389">
        <f t="shared" si="185"/>
        <v>0</v>
      </c>
      <c r="BU346" s="389">
        <f t="shared" si="185"/>
        <v>0</v>
      </c>
      <c r="BV346" s="389">
        <f t="shared" si="185"/>
        <v>0</v>
      </c>
      <c r="BW346" s="389">
        <f t="shared" si="185"/>
        <v>0</v>
      </c>
      <c r="BX346" s="389">
        <f t="shared" si="185"/>
        <v>0</v>
      </c>
      <c r="BY346" s="389">
        <f t="shared" si="185"/>
        <v>0</v>
      </c>
      <c r="BZ346" s="389">
        <f t="shared" si="185"/>
        <v>0</v>
      </c>
      <c r="CA346" s="389">
        <f t="shared" si="185"/>
        <v>0</v>
      </c>
      <c r="CB346" s="389">
        <f t="shared" si="185"/>
        <v>0</v>
      </c>
      <c r="CC346" s="389">
        <f t="shared" si="185"/>
        <v>0</v>
      </c>
      <c r="CD346" s="389">
        <f t="shared" ref="CD346:CV347" si="186">CD345</f>
        <v>0</v>
      </c>
      <c r="CE346" s="389">
        <f t="shared" si="186"/>
        <v>295000000</v>
      </c>
      <c r="CF346" s="389">
        <f t="shared" si="186"/>
        <v>172408093</v>
      </c>
      <c r="CG346" s="389">
        <f t="shared" si="186"/>
        <v>172408093</v>
      </c>
      <c r="CH346" s="389">
        <f t="shared" si="186"/>
        <v>0</v>
      </c>
      <c r="CI346" s="389">
        <f t="shared" si="186"/>
        <v>0</v>
      </c>
      <c r="CJ346" s="389">
        <f t="shared" si="186"/>
        <v>0</v>
      </c>
      <c r="CK346" s="389">
        <f t="shared" si="186"/>
        <v>0</v>
      </c>
      <c r="CL346" s="389">
        <f t="shared" si="186"/>
        <v>0</v>
      </c>
      <c r="CM346" s="389">
        <f t="shared" si="186"/>
        <v>0</v>
      </c>
      <c r="CN346" s="389">
        <f t="shared" si="186"/>
        <v>0</v>
      </c>
      <c r="CO346" s="389">
        <f t="shared" si="186"/>
        <v>0</v>
      </c>
      <c r="CP346" s="389">
        <f t="shared" si="186"/>
        <v>0</v>
      </c>
      <c r="CQ346" s="389">
        <f t="shared" si="186"/>
        <v>0</v>
      </c>
      <c r="CR346" s="389">
        <f t="shared" si="186"/>
        <v>0</v>
      </c>
      <c r="CS346" s="389">
        <f t="shared" si="186"/>
        <v>0</v>
      </c>
      <c r="CT346" s="389">
        <f t="shared" si="186"/>
        <v>295000000</v>
      </c>
      <c r="CU346" s="389">
        <f t="shared" si="186"/>
        <v>172408093</v>
      </c>
      <c r="CV346" s="389">
        <f t="shared" si="186"/>
        <v>172408093</v>
      </c>
    </row>
    <row r="347" spans="1:100" ht="15" x14ac:dyDescent="0.25">
      <c r="A347" s="390"/>
      <c r="B347" s="289"/>
      <c r="C347" s="290"/>
      <c r="D347" s="289"/>
      <c r="E347" s="290"/>
      <c r="F347" s="290"/>
      <c r="G347" s="289"/>
      <c r="H347" s="290"/>
      <c r="I347" s="289"/>
      <c r="J347" s="391"/>
      <c r="K347" s="391"/>
      <c r="L347" s="391"/>
      <c r="M347" s="391"/>
      <c r="N347" s="392"/>
      <c r="O347" s="289"/>
      <c r="P347" s="290"/>
      <c r="Q347" s="393">
        <f>Q346</f>
        <v>0</v>
      </c>
      <c r="R347" s="393">
        <f t="shared" si="185"/>
        <v>0</v>
      </c>
      <c r="S347" s="393">
        <f t="shared" si="185"/>
        <v>0</v>
      </c>
      <c r="T347" s="393">
        <f t="shared" si="185"/>
        <v>0</v>
      </c>
      <c r="U347" s="393">
        <f t="shared" si="185"/>
        <v>0</v>
      </c>
      <c r="V347" s="393">
        <f t="shared" si="185"/>
        <v>0</v>
      </c>
      <c r="W347" s="393">
        <f t="shared" si="185"/>
        <v>0</v>
      </c>
      <c r="X347" s="393">
        <f t="shared" si="185"/>
        <v>0</v>
      </c>
      <c r="Y347" s="393">
        <f t="shared" si="185"/>
        <v>0</v>
      </c>
      <c r="Z347" s="393">
        <f t="shared" si="185"/>
        <v>0</v>
      </c>
      <c r="AA347" s="393">
        <f t="shared" si="185"/>
        <v>0</v>
      </c>
      <c r="AB347" s="393">
        <f t="shared" si="185"/>
        <v>0</v>
      </c>
      <c r="AC347" s="393">
        <f t="shared" si="185"/>
        <v>0</v>
      </c>
      <c r="AD347" s="393">
        <f t="shared" si="185"/>
        <v>0</v>
      </c>
      <c r="AE347" s="393">
        <f t="shared" si="185"/>
        <v>0</v>
      </c>
      <c r="AF347" s="393">
        <f t="shared" si="185"/>
        <v>0</v>
      </c>
      <c r="AG347" s="393">
        <f t="shared" si="185"/>
        <v>0</v>
      </c>
      <c r="AH347" s="393">
        <f t="shared" si="185"/>
        <v>0</v>
      </c>
      <c r="AI347" s="393">
        <f t="shared" si="185"/>
        <v>0</v>
      </c>
      <c r="AJ347" s="393">
        <f t="shared" si="185"/>
        <v>0</v>
      </c>
      <c r="AK347" s="393">
        <f t="shared" si="185"/>
        <v>0</v>
      </c>
      <c r="AL347" s="393">
        <f t="shared" si="185"/>
        <v>0</v>
      </c>
      <c r="AM347" s="393">
        <f t="shared" si="185"/>
        <v>0</v>
      </c>
      <c r="AN347" s="393">
        <f t="shared" si="185"/>
        <v>0</v>
      </c>
      <c r="AO347" s="393">
        <f t="shared" si="185"/>
        <v>0</v>
      </c>
      <c r="AP347" s="393">
        <f t="shared" si="185"/>
        <v>0</v>
      </c>
      <c r="AQ347" s="393">
        <f t="shared" si="185"/>
        <v>0</v>
      </c>
      <c r="AR347" s="393">
        <f t="shared" si="185"/>
        <v>0</v>
      </c>
      <c r="AS347" s="393">
        <f t="shared" si="185"/>
        <v>0</v>
      </c>
      <c r="AT347" s="393">
        <f t="shared" si="185"/>
        <v>0</v>
      </c>
      <c r="AU347" s="393">
        <f t="shared" si="185"/>
        <v>0</v>
      </c>
      <c r="AV347" s="393">
        <f t="shared" si="185"/>
        <v>0</v>
      </c>
      <c r="AW347" s="393">
        <f t="shared" si="185"/>
        <v>0</v>
      </c>
      <c r="AX347" s="393">
        <f t="shared" si="185"/>
        <v>0</v>
      </c>
      <c r="AY347" s="393">
        <f t="shared" si="185"/>
        <v>0</v>
      </c>
      <c r="AZ347" s="393">
        <f t="shared" si="185"/>
        <v>0</v>
      </c>
      <c r="BA347" s="393">
        <f t="shared" si="185"/>
        <v>0</v>
      </c>
      <c r="BB347" s="393">
        <f t="shared" si="185"/>
        <v>0</v>
      </c>
      <c r="BC347" s="393">
        <f t="shared" si="185"/>
        <v>0</v>
      </c>
      <c r="BD347" s="393">
        <f t="shared" si="185"/>
        <v>0</v>
      </c>
      <c r="BE347" s="393">
        <f t="shared" si="185"/>
        <v>0</v>
      </c>
      <c r="BF347" s="393">
        <f t="shared" si="185"/>
        <v>0</v>
      </c>
      <c r="BG347" s="393">
        <f t="shared" si="185"/>
        <v>0</v>
      </c>
      <c r="BH347" s="393">
        <f t="shared" si="185"/>
        <v>0</v>
      </c>
      <c r="BI347" s="393">
        <f t="shared" si="185"/>
        <v>0</v>
      </c>
      <c r="BJ347" s="393">
        <f t="shared" si="185"/>
        <v>0</v>
      </c>
      <c r="BK347" s="393">
        <f t="shared" si="185"/>
        <v>0</v>
      </c>
      <c r="BL347" s="393">
        <f t="shared" si="185"/>
        <v>0</v>
      </c>
      <c r="BM347" s="393">
        <f t="shared" si="185"/>
        <v>0</v>
      </c>
      <c r="BN347" s="393">
        <f t="shared" si="185"/>
        <v>0</v>
      </c>
      <c r="BO347" s="393">
        <f t="shared" si="185"/>
        <v>0</v>
      </c>
      <c r="BP347" s="393">
        <f t="shared" si="185"/>
        <v>0</v>
      </c>
      <c r="BQ347" s="393">
        <f t="shared" si="185"/>
        <v>0</v>
      </c>
      <c r="BR347" s="393">
        <f t="shared" si="185"/>
        <v>0</v>
      </c>
      <c r="BS347" s="393">
        <f t="shared" si="185"/>
        <v>0</v>
      </c>
      <c r="BT347" s="393">
        <f t="shared" si="185"/>
        <v>0</v>
      </c>
      <c r="BU347" s="393">
        <f t="shared" si="185"/>
        <v>0</v>
      </c>
      <c r="BV347" s="393">
        <f t="shared" si="185"/>
        <v>0</v>
      </c>
      <c r="BW347" s="393">
        <f t="shared" si="185"/>
        <v>0</v>
      </c>
      <c r="BX347" s="393">
        <f t="shared" si="185"/>
        <v>0</v>
      </c>
      <c r="BY347" s="393">
        <f t="shared" si="185"/>
        <v>0</v>
      </c>
      <c r="BZ347" s="393">
        <f t="shared" si="185"/>
        <v>0</v>
      </c>
      <c r="CA347" s="393">
        <f t="shared" si="185"/>
        <v>0</v>
      </c>
      <c r="CB347" s="393">
        <f t="shared" si="185"/>
        <v>0</v>
      </c>
      <c r="CC347" s="393">
        <f t="shared" si="185"/>
        <v>0</v>
      </c>
      <c r="CD347" s="393">
        <f t="shared" si="186"/>
        <v>0</v>
      </c>
      <c r="CE347" s="393">
        <f t="shared" si="186"/>
        <v>295000000</v>
      </c>
      <c r="CF347" s="393">
        <f t="shared" si="186"/>
        <v>172408093</v>
      </c>
      <c r="CG347" s="393">
        <f t="shared" si="186"/>
        <v>172408093</v>
      </c>
      <c r="CH347" s="393">
        <f t="shared" si="186"/>
        <v>0</v>
      </c>
      <c r="CI347" s="393">
        <f t="shared" si="186"/>
        <v>0</v>
      </c>
      <c r="CJ347" s="393">
        <f t="shared" si="186"/>
        <v>0</v>
      </c>
      <c r="CK347" s="393">
        <f t="shared" si="186"/>
        <v>0</v>
      </c>
      <c r="CL347" s="393">
        <f t="shared" si="186"/>
        <v>0</v>
      </c>
      <c r="CM347" s="393">
        <f t="shared" si="186"/>
        <v>0</v>
      </c>
      <c r="CN347" s="393">
        <f t="shared" si="186"/>
        <v>0</v>
      </c>
      <c r="CO347" s="393">
        <f t="shared" si="186"/>
        <v>0</v>
      </c>
      <c r="CP347" s="393">
        <f t="shared" si="186"/>
        <v>0</v>
      </c>
      <c r="CQ347" s="393">
        <f t="shared" si="186"/>
        <v>0</v>
      </c>
      <c r="CR347" s="393">
        <f t="shared" si="186"/>
        <v>0</v>
      </c>
      <c r="CS347" s="393">
        <f t="shared" si="186"/>
        <v>0</v>
      </c>
      <c r="CT347" s="393">
        <f t="shared" si="186"/>
        <v>295000000</v>
      </c>
      <c r="CU347" s="393">
        <f t="shared" si="186"/>
        <v>172408093</v>
      </c>
      <c r="CV347" s="393">
        <f t="shared" si="186"/>
        <v>172408093</v>
      </c>
    </row>
    <row r="348" spans="1:100" ht="15" x14ac:dyDescent="0.25">
      <c r="A348" s="171"/>
      <c r="B348" s="171"/>
      <c r="C348" s="172"/>
      <c r="D348" s="171"/>
      <c r="E348" s="172"/>
      <c r="F348" s="172"/>
      <c r="G348" s="171"/>
      <c r="H348" s="172"/>
      <c r="I348" s="171"/>
      <c r="J348" s="173"/>
      <c r="K348" s="173"/>
      <c r="L348" s="173"/>
      <c r="M348" s="173"/>
      <c r="N348" s="174"/>
      <c r="O348" s="171"/>
      <c r="P348" s="172"/>
      <c r="Q348" s="175">
        <f>+Q347+Q335+Q302</f>
        <v>0</v>
      </c>
      <c r="R348" s="175">
        <f t="shared" ref="R348:CC348" si="187">+R347+R335+R302</f>
        <v>0</v>
      </c>
      <c r="S348" s="175">
        <f t="shared" si="187"/>
        <v>0</v>
      </c>
      <c r="T348" s="175">
        <f t="shared" si="187"/>
        <v>0</v>
      </c>
      <c r="U348" s="175">
        <f t="shared" si="187"/>
        <v>0</v>
      </c>
      <c r="V348" s="175">
        <f t="shared" si="187"/>
        <v>0</v>
      </c>
      <c r="W348" s="175">
        <f t="shared" si="187"/>
        <v>0</v>
      </c>
      <c r="X348" s="175">
        <f t="shared" si="187"/>
        <v>0</v>
      </c>
      <c r="Y348" s="175">
        <f t="shared" si="187"/>
        <v>0</v>
      </c>
      <c r="Z348" s="175">
        <f t="shared" si="187"/>
        <v>0</v>
      </c>
      <c r="AA348" s="175">
        <f t="shared" si="187"/>
        <v>0</v>
      </c>
      <c r="AB348" s="175">
        <f t="shared" si="187"/>
        <v>0</v>
      </c>
      <c r="AC348" s="175">
        <f t="shared" si="187"/>
        <v>0</v>
      </c>
      <c r="AD348" s="175">
        <f t="shared" si="187"/>
        <v>0</v>
      </c>
      <c r="AE348" s="175">
        <f t="shared" si="187"/>
        <v>0</v>
      </c>
      <c r="AF348" s="175">
        <f t="shared" si="187"/>
        <v>0</v>
      </c>
      <c r="AG348" s="175">
        <f t="shared" si="187"/>
        <v>0</v>
      </c>
      <c r="AH348" s="175">
        <f t="shared" si="187"/>
        <v>0</v>
      </c>
      <c r="AI348" s="175">
        <f t="shared" si="187"/>
        <v>0</v>
      </c>
      <c r="AJ348" s="175">
        <f t="shared" si="187"/>
        <v>0</v>
      </c>
      <c r="AK348" s="175">
        <f t="shared" si="187"/>
        <v>0</v>
      </c>
      <c r="AL348" s="175">
        <f t="shared" si="187"/>
        <v>0</v>
      </c>
      <c r="AM348" s="175">
        <f t="shared" si="187"/>
        <v>0</v>
      </c>
      <c r="AN348" s="175">
        <f t="shared" si="187"/>
        <v>0</v>
      </c>
      <c r="AO348" s="175">
        <f t="shared" si="187"/>
        <v>0</v>
      </c>
      <c r="AP348" s="175">
        <f t="shared" si="187"/>
        <v>0</v>
      </c>
      <c r="AQ348" s="175">
        <f t="shared" si="187"/>
        <v>0</v>
      </c>
      <c r="AR348" s="175">
        <f t="shared" si="187"/>
        <v>0</v>
      </c>
      <c r="AS348" s="175">
        <f t="shared" si="187"/>
        <v>0</v>
      </c>
      <c r="AT348" s="175">
        <f t="shared" si="187"/>
        <v>0</v>
      </c>
      <c r="AU348" s="175">
        <f t="shared" si="187"/>
        <v>0</v>
      </c>
      <c r="AV348" s="175">
        <f t="shared" si="187"/>
        <v>0</v>
      </c>
      <c r="AW348" s="175">
        <f t="shared" si="187"/>
        <v>0</v>
      </c>
      <c r="AX348" s="175">
        <f t="shared" si="187"/>
        <v>0</v>
      </c>
      <c r="AY348" s="175">
        <f t="shared" si="187"/>
        <v>0</v>
      </c>
      <c r="AZ348" s="175">
        <f t="shared" si="187"/>
        <v>0</v>
      </c>
      <c r="BA348" s="175">
        <f t="shared" si="187"/>
        <v>0</v>
      </c>
      <c r="BB348" s="175">
        <f t="shared" si="187"/>
        <v>0</v>
      </c>
      <c r="BC348" s="175">
        <f t="shared" si="187"/>
        <v>0</v>
      </c>
      <c r="BD348" s="175">
        <f t="shared" si="187"/>
        <v>0</v>
      </c>
      <c r="BE348" s="175">
        <f t="shared" si="187"/>
        <v>0</v>
      </c>
      <c r="BF348" s="175">
        <f t="shared" si="187"/>
        <v>0</v>
      </c>
      <c r="BG348" s="175">
        <f t="shared" si="187"/>
        <v>0</v>
      </c>
      <c r="BH348" s="175">
        <f t="shared" si="187"/>
        <v>0</v>
      </c>
      <c r="BI348" s="175">
        <f t="shared" si="187"/>
        <v>0</v>
      </c>
      <c r="BJ348" s="175">
        <f t="shared" si="187"/>
        <v>0</v>
      </c>
      <c r="BK348" s="175">
        <f t="shared" si="187"/>
        <v>0</v>
      </c>
      <c r="BL348" s="175">
        <f t="shared" si="187"/>
        <v>0</v>
      </c>
      <c r="BM348" s="175">
        <f t="shared" si="187"/>
        <v>0</v>
      </c>
      <c r="BN348" s="175">
        <f t="shared" si="187"/>
        <v>0</v>
      </c>
      <c r="BO348" s="175">
        <f t="shared" si="187"/>
        <v>0</v>
      </c>
      <c r="BP348" s="175">
        <f t="shared" si="187"/>
        <v>0</v>
      </c>
      <c r="BQ348" s="175">
        <f t="shared" si="187"/>
        <v>0</v>
      </c>
      <c r="BR348" s="175">
        <f t="shared" si="187"/>
        <v>0</v>
      </c>
      <c r="BS348" s="175">
        <f t="shared" si="187"/>
        <v>0</v>
      </c>
      <c r="BT348" s="175">
        <f t="shared" si="187"/>
        <v>0</v>
      </c>
      <c r="BU348" s="175">
        <f t="shared" si="187"/>
        <v>0</v>
      </c>
      <c r="BV348" s="175">
        <f t="shared" si="187"/>
        <v>0</v>
      </c>
      <c r="BW348" s="175">
        <f t="shared" si="187"/>
        <v>0</v>
      </c>
      <c r="BX348" s="175">
        <f t="shared" si="187"/>
        <v>0</v>
      </c>
      <c r="BY348" s="175">
        <f t="shared" si="187"/>
        <v>0</v>
      </c>
      <c r="BZ348" s="175">
        <f t="shared" si="187"/>
        <v>0</v>
      </c>
      <c r="CA348" s="175">
        <f t="shared" si="187"/>
        <v>0</v>
      </c>
      <c r="CB348" s="175">
        <f t="shared" si="187"/>
        <v>0</v>
      </c>
      <c r="CC348" s="175">
        <f t="shared" si="187"/>
        <v>0</v>
      </c>
      <c r="CD348" s="175">
        <f t="shared" ref="CD348:CV348" si="188">+CD347+CD335+CD302</f>
        <v>0</v>
      </c>
      <c r="CE348" s="855">
        <f t="shared" si="188"/>
        <v>2998844406</v>
      </c>
      <c r="CF348" s="175">
        <f t="shared" si="188"/>
        <v>2051530379</v>
      </c>
      <c r="CG348" s="175">
        <f t="shared" si="188"/>
        <v>2028672195</v>
      </c>
      <c r="CH348" s="175">
        <f t="shared" si="188"/>
        <v>0</v>
      </c>
      <c r="CI348" s="175">
        <f t="shared" si="188"/>
        <v>0</v>
      </c>
      <c r="CJ348" s="175">
        <f t="shared" si="188"/>
        <v>0</v>
      </c>
      <c r="CK348" s="175">
        <f t="shared" si="188"/>
        <v>0</v>
      </c>
      <c r="CL348" s="175">
        <f t="shared" si="188"/>
        <v>0</v>
      </c>
      <c r="CM348" s="175">
        <f t="shared" si="188"/>
        <v>0</v>
      </c>
      <c r="CN348" s="175">
        <f t="shared" si="188"/>
        <v>0</v>
      </c>
      <c r="CO348" s="175">
        <f t="shared" si="188"/>
        <v>0</v>
      </c>
      <c r="CP348" s="175">
        <f t="shared" si="188"/>
        <v>0</v>
      </c>
      <c r="CQ348" s="175">
        <f t="shared" si="188"/>
        <v>0</v>
      </c>
      <c r="CR348" s="175">
        <f t="shared" si="188"/>
        <v>0</v>
      </c>
      <c r="CS348" s="175">
        <f t="shared" si="188"/>
        <v>0</v>
      </c>
      <c r="CT348" s="856">
        <f t="shared" si="188"/>
        <v>2998844406</v>
      </c>
      <c r="CU348" s="175">
        <f t="shared" si="188"/>
        <v>2051530379</v>
      </c>
      <c r="CV348" s="175">
        <f t="shared" si="188"/>
        <v>2028672195</v>
      </c>
    </row>
    <row r="349" spans="1:100" s="27" customFormat="1" ht="15" x14ac:dyDescent="0.25">
      <c r="A349" s="176"/>
      <c r="B349" s="177"/>
      <c r="C349" s="949"/>
      <c r="D349" s="177"/>
      <c r="E349" s="949"/>
      <c r="F349" s="949"/>
      <c r="G349" s="177"/>
      <c r="H349" s="949"/>
      <c r="I349" s="177"/>
      <c r="J349" s="178"/>
      <c r="K349" s="178"/>
      <c r="L349" s="178"/>
      <c r="M349" s="178"/>
      <c r="N349" s="179"/>
      <c r="O349" s="177"/>
      <c r="P349" s="949"/>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c r="BZ349" s="180"/>
      <c r="CA349" s="180"/>
      <c r="CB349" s="180"/>
      <c r="CC349" s="180"/>
      <c r="CD349" s="180"/>
      <c r="CE349" s="182"/>
      <c r="CF349" s="182"/>
      <c r="CG349" s="182"/>
      <c r="CH349" s="180"/>
      <c r="CI349" s="180"/>
      <c r="CJ349" s="180"/>
      <c r="CK349" s="180"/>
      <c r="CL349" s="180"/>
      <c r="CM349" s="180"/>
      <c r="CN349" s="180"/>
      <c r="CO349" s="180"/>
      <c r="CP349" s="180"/>
      <c r="CQ349" s="180"/>
      <c r="CR349" s="180"/>
      <c r="CS349" s="180"/>
      <c r="CT349" s="85"/>
      <c r="CU349" s="747"/>
      <c r="CV349" s="747"/>
    </row>
    <row r="350" spans="1:100" ht="20.25" x14ac:dyDescent="0.25">
      <c r="A350" s="134" t="s">
        <v>434</v>
      </c>
      <c r="B350" s="135"/>
      <c r="C350" s="136"/>
      <c r="D350" s="135"/>
      <c r="E350" s="135"/>
      <c r="F350" s="135"/>
      <c r="G350" s="135"/>
      <c r="H350" s="136"/>
      <c r="I350" s="135"/>
      <c r="J350" s="135"/>
      <c r="K350" s="135"/>
      <c r="L350" s="135"/>
      <c r="M350" s="135"/>
      <c r="N350" s="675"/>
      <c r="O350" s="135"/>
      <c r="P350" s="136"/>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135"/>
      <c r="CA350" s="135"/>
      <c r="CB350" s="135"/>
      <c r="CC350" s="135"/>
      <c r="CD350" s="135"/>
      <c r="CE350" s="137"/>
      <c r="CF350" s="137"/>
      <c r="CG350" s="137"/>
      <c r="CH350" s="138"/>
      <c r="CI350" s="138"/>
      <c r="CJ350" s="138"/>
      <c r="CK350" s="135"/>
      <c r="CL350" s="135"/>
      <c r="CM350" s="135"/>
      <c r="CN350" s="135"/>
      <c r="CO350" s="135"/>
      <c r="CP350" s="135"/>
      <c r="CQ350" s="135"/>
      <c r="CR350" s="135"/>
      <c r="CS350" s="135"/>
      <c r="CT350" s="566" t="s">
        <v>0</v>
      </c>
      <c r="CU350" s="566" t="s">
        <v>0</v>
      </c>
      <c r="CV350" s="566" t="s">
        <v>0</v>
      </c>
    </row>
    <row r="351" spans="1:100" ht="15" x14ac:dyDescent="0.25">
      <c r="A351" s="139">
        <v>5</v>
      </c>
      <c r="B351" s="140" t="s">
        <v>26</v>
      </c>
      <c r="C351" s="141"/>
      <c r="D351" s="140"/>
      <c r="E351" s="140"/>
      <c r="F351" s="140"/>
      <c r="G351" s="140"/>
      <c r="H351" s="141"/>
      <c r="I351" s="140"/>
      <c r="J351" s="140"/>
      <c r="K351" s="140"/>
      <c r="L351" s="140"/>
      <c r="M351" s="140"/>
      <c r="N351" s="676"/>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2"/>
      <c r="CF351" s="142"/>
      <c r="CG351" s="142"/>
      <c r="CH351" s="140"/>
      <c r="CI351" s="140"/>
      <c r="CJ351" s="140"/>
      <c r="CK351" s="140"/>
      <c r="CL351" s="140"/>
      <c r="CM351" s="140"/>
      <c r="CN351" s="140"/>
      <c r="CO351" s="140"/>
      <c r="CP351" s="140"/>
      <c r="CQ351" s="140"/>
      <c r="CR351" s="140"/>
      <c r="CS351" s="140"/>
      <c r="CT351" s="540"/>
      <c r="CU351" s="540"/>
      <c r="CV351" s="540"/>
    </row>
    <row r="352" spans="1:100" s="46" customFormat="1" ht="20.25" x14ac:dyDescent="0.25">
      <c r="A352" s="185"/>
      <c r="B352" s="239">
        <v>26</v>
      </c>
      <c r="C352" s="147" t="s">
        <v>52</v>
      </c>
      <c r="D352" s="146"/>
      <c r="E352" s="146"/>
      <c r="F352" s="146"/>
      <c r="G352" s="146"/>
      <c r="H352" s="147"/>
      <c r="I352" s="146"/>
      <c r="J352" s="146"/>
      <c r="K352" s="146"/>
      <c r="L352" s="146"/>
      <c r="M352" s="146"/>
      <c r="N352" s="677"/>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c r="BI352" s="146"/>
      <c r="BJ352" s="146"/>
      <c r="BK352" s="146"/>
      <c r="BL352" s="146"/>
      <c r="BM352" s="146"/>
      <c r="BN352" s="146"/>
      <c r="BO352" s="146"/>
      <c r="BP352" s="146"/>
      <c r="BQ352" s="146"/>
      <c r="BR352" s="146"/>
      <c r="BS352" s="146"/>
      <c r="BT352" s="146"/>
      <c r="BU352" s="146"/>
      <c r="BV352" s="146"/>
      <c r="BW352" s="146"/>
      <c r="BX352" s="146"/>
      <c r="BY352" s="146"/>
      <c r="BZ352" s="146"/>
      <c r="CA352" s="146"/>
      <c r="CB352" s="146"/>
      <c r="CC352" s="146"/>
      <c r="CD352" s="146"/>
      <c r="CE352" s="148"/>
      <c r="CF352" s="148"/>
      <c r="CG352" s="148"/>
      <c r="CH352" s="146"/>
      <c r="CI352" s="146"/>
      <c r="CJ352" s="146"/>
      <c r="CK352" s="146"/>
      <c r="CL352" s="146"/>
      <c r="CM352" s="146"/>
      <c r="CN352" s="146"/>
      <c r="CO352" s="146"/>
      <c r="CP352" s="146"/>
      <c r="CQ352" s="146"/>
      <c r="CR352" s="146"/>
      <c r="CS352" s="146"/>
      <c r="CT352" s="526"/>
      <c r="CU352" s="526"/>
      <c r="CV352" s="526"/>
    </row>
    <row r="353" spans="1:100" s="46" customFormat="1" ht="20.25" x14ac:dyDescent="0.25">
      <c r="A353" s="19"/>
      <c r="B353" s="185"/>
      <c r="C353" s="949"/>
      <c r="D353" s="177"/>
      <c r="E353" s="949"/>
      <c r="F353" s="927"/>
      <c r="G353" s="339">
        <v>83</v>
      </c>
      <c r="H353" s="1064" t="s">
        <v>53</v>
      </c>
      <c r="I353" s="1064"/>
      <c r="J353" s="1064"/>
      <c r="K353" s="1064"/>
      <c r="L353" s="1064"/>
      <c r="M353" s="1064"/>
      <c r="N353" s="1064"/>
      <c r="O353" s="1064"/>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c r="BY353" s="189"/>
      <c r="BZ353" s="189"/>
      <c r="CA353" s="189"/>
      <c r="CB353" s="189"/>
      <c r="CC353" s="189"/>
      <c r="CD353" s="189"/>
      <c r="CE353" s="190"/>
      <c r="CF353" s="190"/>
      <c r="CG353" s="190"/>
      <c r="CH353" s="189"/>
      <c r="CI353" s="189"/>
      <c r="CJ353" s="189"/>
      <c r="CK353" s="189"/>
      <c r="CL353" s="189"/>
      <c r="CM353" s="189"/>
      <c r="CN353" s="189"/>
      <c r="CO353" s="189"/>
      <c r="CP353" s="189"/>
      <c r="CQ353" s="189"/>
      <c r="CR353" s="189"/>
      <c r="CS353" s="189"/>
      <c r="CT353" s="522"/>
      <c r="CU353" s="522"/>
      <c r="CV353" s="522"/>
    </row>
    <row r="354" spans="1:100" s="27" customFormat="1" ht="96" customHeight="1" x14ac:dyDescent="0.25">
      <c r="A354" s="19"/>
      <c r="B354" s="19"/>
      <c r="C354" s="927">
        <v>37</v>
      </c>
      <c r="D354" s="928" t="s">
        <v>435</v>
      </c>
      <c r="E354" s="929" t="s">
        <v>55</v>
      </c>
      <c r="F354" s="929">
        <v>60</v>
      </c>
      <c r="G354" s="22"/>
      <c r="H354" s="929">
        <v>244</v>
      </c>
      <c r="I354" s="928" t="s">
        <v>436</v>
      </c>
      <c r="J354" s="23" t="s">
        <v>30</v>
      </c>
      <c r="K354" s="23">
        <v>12</v>
      </c>
      <c r="L354" s="23">
        <v>12</v>
      </c>
      <c r="M354" s="24" t="s">
        <v>437</v>
      </c>
      <c r="N354" s="36" t="s">
        <v>438</v>
      </c>
      <c r="O354" s="928" t="s">
        <v>439</v>
      </c>
      <c r="P354" s="929" t="s">
        <v>34</v>
      </c>
      <c r="Q354" s="25">
        <v>0</v>
      </c>
      <c r="R354" s="25"/>
      <c r="S354" s="25"/>
      <c r="T354" s="25">
        <v>0</v>
      </c>
      <c r="U354" s="25"/>
      <c r="V354" s="25"/>
      <c r="W354" s="25">
        <v>0</v>
      </c>
      <c r="X354" s="25"/>
      <c r="Y354" s="25"/>
      <c r="Z354" s="25">
        <v>0</v>
      </c>
      <c r="AA354" s="25"/>
      <c r="AB354" s="25"/>
      <c r="AC354" s="25">
        <v>0</v>
      </c>
      <c r="AD354" s="25"/>
      <c r="AE354" s="25"/>
      <c r="AF354" s="25">
        <v>0</v>
      </c>
      <c r="AG354" s="25"/>
      <c r="AH354" s="25"/>
      <c r="AI354" s="25">
        <v>0</v>
      </c>
      <c r="AJ354" s="25"/>
      <c r="AK354" s="25"/>
      <c r="AL354" s="25"/>
      <c r="AM354" s="25"/>
      <c r="AN354" s="25"/>
      <c r="AO354" s="25"/>
      <c r="AP354" s="25"/>
      <c r="AQ354" s="25"/>
      <c r="AR354" s="25"/>
      <c r="AS354" s="25"/>
      <c r="AT354" s="25"/>
      <c r="AU354" s="25">
        <v>0</v>
      </c>
      <c r="AV354" s="25"/>
      <c r="AW354" s="25"/>
      <c r="AX354" s="25"/>
      <c r="AY354" s="25"/>
      <c r="AZ354" s="25"/>
      <c r="BA354" s="25">
        <v>0</v>
      </c>
      <c r="BB354" s="25"/>
      <c r="BC354" s="25"/>
      <c r="BD354" s="25">
        <v>0</v>
      </c>
      <c r="BE354" s="25"/>
      <c r="BF354" s="25"/>
      <c r="BG354" s="25"/>
      <c r="BH354" s="25"/>
      <c r="BI354" s="25"/>
      <c r="BJ354" s="25"/>
      <c r="BK354" s="25"/>
      <c r="BL354" s="25"/>
      <c r="BM354" s="25"/>
      <c r="BN354" s="25"/>
      <c r="BO354" s="25"/>
      <c r="BP354" s="25"/>
      <c r="BQ354" s="25"/>
      <c r="BR354" s="25"/>
      <c r="BS354" s="25"/>
      <c r="BT354" s="25"/>
      <c r="BU354" s="25"/>
      <c r="BV354" s="25"/>
      <c r="BW354" s="25"/>
      <c r="BX354" s="25"/>
      <c r="BY354" s="25">
        <v>0</v>
      </c>
      <c r="BZ354" s="25"/>
      <c r="CA354" s="25"/>
      <c r="CB354" s="25">
        <v>0</v>
      </c>
      <c r="CC354" s="26"/>
      <c r="CD354" s="26"/>
      <c r="CE354" s="112">
        <f>40000000+249534666+500000000+400000000-35000000</f>
        <v>1154534666</v>
      </c>
      <c r="CF354" s="112">
        <v>445170251</v>
      </c>
      <c r="CG354" s="112">
        <v>421566951</v>
      </c>
      <c r="CH354" s="9"/>
      <c r="CI354" s="9"/>
      <c r="CJ354" s="9"/>
      <c r="CK354" s="25">
        <v>0</v>
      </c>
      <c r="CL354" s="26"/>
      <c r="CM354" s="26"/>
      <c r="CN354" s="26">
        <v>0</v>
      </c>
      <c r="CO354" s="26"/>
      <c r="CP354" s="26"/>
      <c r="CQ354" s="26"/>
      <c r="CR354" s="26"/>
      <c r="CS354" s="26"/>
      <c r="CT354" s="25">
        <f t="shared" ref="CT354:CV355" si="189">Q354+T354+W354+Z354+AC354+AF354+AI354+AL354+AO354+AR354+AU354+AX354+BA354+BD354+BG354+BJ354+BM354+BP354+BS354+BV354+BY354+CB354+CE354+CH354+CK354+CQ354+CN354</f>
        <v>1154534666</v>
      </c>
      <c r="CU354" s="25">
        <f t="shared" si="189"/>
        <v>445170251</v>
      </c>
      <c r="CV354" s="25">
        <f t="shared" si="189"/>
        <v>421566951</v>
      </c>
    </row>
    <row r="355" spans="1:100" s="27" customFormat="1" ht="93.75" customHeight="1" x14ac:dyDescent="0.25">
      <c r="A355" s="19"/>
      <c r="B355" s="19"/>
      <c r="C355" s="927">
        <v>37</v>
      </c>
      <c r="D355" s="928" t="s">
        <v>440</v>
      </c>
      <c r="E355" s="929" t="s">
        <v>55</v>
      </c>
      <c r="F355" s="929">
        <v>60</v>
      </c>
      <c r="G355" s="29"/>
      <c r="H355" s="929">
        <v>245</v>
      </c>
      <c r="I355" s="928" t="s">
        <v>441</v>
      </c>
      <c r="J355" s="23" t="s">
        <v>30</v>
      </c>
      <c r="K355" s="23">
        <v>1</v>
      </c>
      <c r="L355" s="23">
        <v>1</v>
      </c>
      <c r="M355" s="24" t="s">
        <v>437</v>
      </c>
      <c r="N355" s="36" t="s">
        <v>442</v>
      </c>
      <c r="O355" s="928" t="s">
        <v>443</v>
      </c>
      <c r="P355" s="929" t="s">
        <v>38</v>
      </c>
      <c r="Q355" s="25">
        <v>0</v>
      </c>
      <c r="R355" s="25"/>
      <c r="S355" s="25"/>
      <c r="T355" s="25">
        <v>0</v>
      </c>
      <c r="U355" s="25"/>
      <c r="V355" s="25"/>
      <c r="W355" s="25">
        <v>0</v>
      </c>
      <c r="X355" s="25"/>
      <c r="Y355" s="25"/>
      <c r="Z355" s="25">
        <v>0</v>
      </c>
      <c r="AA355" s="25"/>
      <c r="AB355" s="25"/>
      <c r="AC355" s="25">
        <v>0</v>
      </c>
      <c r="AD355" s="25"/>
      <c r="AE355" s="25"/>
      <c r="AF355" s="25">
        <v>0</v>
      </c>
      <c r="AG355" s="25"/>
      <c r="AH355" s="25"/>
      <c r="AI355" s="25">
        <v>0</v>
      </c>
      <c r="AJ355" s="25"/>
      <c r="AK355" s="25"/>
      <c r="AL355" s="25"/>
      <c r="AM355" s="25"/>
      <c r="AN355" s="25"/>
      <c r="AO355" s="25"/>
      <c r="AP355" s="25"/>
      <c r="AQ355" s="25"/>
      <c r="AR355" s="25"/>
      <c r="AS355" s="25"/>
      <c r="AT355" s="25"/>
      <c r="AU355" s="25">
        <v>0</v>
      </c>
      <c r="AV355" s="25"/>
      <c r="AW355" s="25"/>
      <c r="AX355" s="25"/>
      <c r="AY355" s="25"/>
      <c r="AZ355" s="25"/>
      <c r="BA355" s="25">
        <v>0</v>
      </c>
      <c r="BB355" s="25"/>
      <c r="BC355" s="25"/>
      <c r="BD355" s="25">
        <v>0</v>
      </c>
      <c r="BE355" s="25"/>
      <c r="BF355" s="25"/>
      <c r="BG355" s="25"/>
      <c r="BH355" s="25"/>
      <c r="BI355" s="25"/>
      <c r="BJ355" s="25"/>
      <c r="BK355" s="25"/>
      <c r="BL355" s="25"/>
      <c r="BM355" s="25"/>
      <c r="BN355" s="25"/>
      <c r="BO355" s="25"/>
      <c r="BP355" s="25"/>
      <c r="BQ355" s="25"/>
      <c r="BR355" s="25"/>
      <c r="BS355" s="25"/>
      <c r="BT355" s="25"/>
      <c r="BU355" s="25"/>
      <c r="BV355" s="25"/>
      <c r="BW355" s="25"/>
      <c r="BX355" s="25"/>
      <c r="BY355" s="25">
        <v>0</v>
      </c>
      <c r="BZ355" s="25"/>
      <c r="CA355" s="25"/>
      <c r="CB355" s="25">
        <v>0</v>
      </c>
      <c r="CC355" s="26"/>
      <c r="CD355" s="26"/>
      <c r="CE355" s="112">
        <f>180000000+35000000</f>
        <v>215000000</v>
      </c>
      <c r="CF355" s="112">
        <v>163640699</v>
      </c>
      <c r="CG355" s="112">
        <v>163640699</v>
      </c>
      <c r="CH355" s="9"/>
      <c r="CI355" s="9"/>
      <c r="CJ355" s="9"/>
      <c r="CK355" s="25">
        <v>0</v>
      </c>
      <c r="CL355" s="26"/>
      <c r="CM355" s="26"/>
      <c r="CN355" s="26">
        <v>0</v>
      </c>
      <c r="CO355" s="26"/>
      <c r="CP355" s="26"/>
      <c r="CQ355" s="26"/>
      <c r="CR355" s="26"/>
      <c r="CS355" s="26"/>
      <c r="CT355" s="25">
        <f t="shared" si="189"/>
        <v>215000000</v>
      </c>
      <c r="CU355" s="25">
        <f t="shared" si="189"/>
        <v>163640699</v>
      </c>
      <c r="CV355" s="25">
        <f t="shared" si="189"/>
        <v>163640699</v>
      </c>
    </row>
    <row r="356" spans="1:100" ht="15" x14ac:dyDescent="0.25">
      <c r="A356" s="19"/>
      <c r="B356" s="152"/>
      <c r="C356" s="927"/>
      <c r="D356" s="153"/>
      <c r="E356" s="581"/>
      <c r="F356" s="581"/>
      <c r="G356" s="154"/>
      <c r="H356" s="155"/>
      <c r="I356" s="154"/>
      <c r="J356" s="156"/>
      <c r="K356" s="156"/>
      <c r="L356" s="156"/>
      <c r="M356" s="156"/>
      <c r="N356" s="157"/>
      <c r="O356" s="154"/>
      <c r="P356" s="155"/>
      <c r="Q356" s="158">
        <f>SUM(Q354:Q355)</f>
        <v>0</v>
      </c>
      <c r="R356" s="158">
        <f t="shared" ref="R356:CC356" si="190">SUM(R354:R355)</f>
        <v>0</v>
      </c>
      <c r="S356" s="158">
        <f t="shared" si="190"/>
        <v>0</v>
      </c>
      <c r="T356" s="158">
        <f t="shared" si="190"/>
        <v>0</v>
      </c>
      <c r="U356" s="158">
        <f t="shared" si="190"/>
        <v>0</v>
      </c>
      <c r="V356" s="158">
        <f t="shared" si="190"/>
        <v>0</v>
      </c>
      <c r="W356" s="158">
        <f t="shared" si="190"/>
        <v>0</v>
      </c>
      <c r="X356" s="158">
        <f t="shared" si="190"/>
        <v>0</v>
      </c>
      <c r="Y356" s="158">
        <f t="shared" si="190"/>
        <v>0</v>
      </c>
      <c r="Z356" s="158">
        <f t="shared" si="190"/>
        <v>0</v>
      </c>
      <c r="AA356" s="158">
        <f t="shared" si="190"/>
        <v>0</v>
      </c>
      <c r="AB356" s="158">
        <f t="shared" si="190"/>
        <v>0</v>
      </c>
      <c r="AC356" s="158">
        <f t="shared" si="190"/>
        <v>0</v>
      </c>
      <c r="AD356" s="158">
        <f t="shared" si="190"/>
        <v>0</v>
      </c>
      <c r="AE356" s="158">
        <f t="shared" si="190"/>
        <v>0</v>
      </c>
      <c r="AF356" s="158">
        <f t="shared" si="190"/>
        <v>0</v>
      </c>
      <c r="AG356" s="158">
        <f t="shared" si="190"/>
        <v>0</v>
      </c>
      <c r="AH356" s="158">
        <f t="shared" si="190"/>
        <v>0</v>
      </c>
      <c r="AI356" s="158">
        <f t="shared" si="190"/>
        <v>0</v>
      </c>
      <c r="AJ356" s="158">
        <f t="shared" si="190"/>
        <v>0</v>
      </c>
      <c r="AK356" s="158">
        <f t="shared" si="190"/>
        <v>0</v>
      </c>
      <c r="AL356" s="158">
        <f t="shared" si="190"/>
        <v>0</v>
      </c>
      <c r="AM356" s="158">
        <f t="shared" si="190"/>
        <v>0</v>
      </c>
      <c r="AN356" s="158">
        <f t="shared" si="190"/>
        <v>0</v>
      </c>
      <c r="AO356" s="158">
        <f t="shared" si="190"/>
        <v>0</v>
      </c>
      <c r="AP356" s="158">
        <f t="shared" si="190"/>
        <v>0</v>
      </c>
      <c r="AQ356" s="158">
        <f t="shared" si="190"/>
        <v>0</v>
      </c>
      <c r="AR356" s="158">
        <f t="shared" si="190"/>
        <v>0</v>
      </c>
      <c r="AS356" s="158">
        <f t="shared" si="190"/>
        <v>0</v>
      </c>
      <c r="AT356" s="158">
        <f t="shared" si="190"/>
        <v>0</v>
      </c>
      <c r="AU356" s="158">
        <f t="shared" si="190"/>
        <v>0</v>
      </c>
      <c r="AV356" s="158">
        <f t="shared" si="190"/>
        <v>0</v>
      </c>
      <c r="AW356" s="158">
        <f t="shared" si="190"/>
        <v>0</v>
      </c>
      <c r="AX356" s="158">
        <f t="shared" si="190"/>
        <v>0</v>
      </c>
      <c r="AY356" s="158">
        <f t="shared" si="190"/>
        <v>0</v>
      </c>
      <c r="AZ356" s="158">
        <f t="shared" si="190"/>
        <v>0</v>
      </c>
      <c r="BA356" s="158">
        <f t="shared" si="190"/>
        <v>0</v>
      </c>
      <c r="BB356" s="158">
        <f t="shared" si="190"/>
        <v>0</v>
      </c>
      <c r="BC356" s="158">
        <f t="shared" si="190"/>
        <v>0</v>
      </c>
      <c r="BD356" s="158">
        <f t="shared" si="190"/>
        <v>0</v>
      </c>
      <c r="BE356" s="158">
        <f t="shared" si="190"/>
        <v>0</v>
      </c>
      <c r="BF356" s="158">
        <f t="shared" si="190"/>
        <v>0</v>
      </c>
      <c r="BG356" s="158">
        <f t="shared" si="190"/>
        <v>0</v>
      </c>
      <c r="BH356" s="158">
        <f t="shared" si="190"/>
        <v>0</v>
      </c>
      <c r="BI356" s="158">
        <f t="shared" si="190"/>
        <v>0</v>
      </c>
      <c r="BJ356" s="158">
        <f t="shared" si="190"/>
        <v>0</v>
      </c>
      <c r="BK356" s="158">
        <f t="shared" si="190"/>
        <v>0</v>
      </c>
      <c r="BL356" s="158">
        <f t="shared" si="190"/>
        <v>0</v>
      </c>
      <c r="BM356" s="158">
        <f t="shared" si="190"/>
        <v>0</v>
      </c>
      <c r="BN356" s="158">
        <f t="shared" si="190"/>
        <v>0</v>
      </c>
      <c r="BO356" s="158">
        <f t="shared" si="190"/>
        <v>0</v>
      </c>
      <c r="BP356" s="158">
        <f t="shared" si="190"/>
        <v>0</v>
      </c>
      <c r="BQ356" s="158">
        <f t="shared" si="190"/>
        <v>0</v>
      </c>
      <c r="BR356" s="158">
        <f t="shared" si="190"/>
        <v>0</v>
      </c>
      <c r="BS356" s="158">
        <f t="shared" si="190"/>
        <v>0</v>
      </c>
      <c r="BT356" s="158">
        <f t="shared" si="190"/>
        <v>0</v>
      </c>
      <c r="BU356" s="158">
        <f t="shared" si="190"/>
        <v>0</v>
      </c>
      <c r="BV356" s="158">
        <f t="shared" si="190"/>
        <v>0</v>
      </c>
      <c r="BW356" s="158">
        <f t="shared" si="190"/>
        <v>0</v>
      </c>
      <c r="BX356" s="158">
        <f t="shared" si="190"/>
        <v>0</v>
      </c>
      <c r="BY356" s="158">
        <f t="shared" si="190"/>
        <v>0</v>
      </c>
      <c r="BZ356" s="158">
        <f t="shared" si="190"/>
        <v>0</v>
      </c>
      <c r="CA356" s="158">
        <f t="shared" si="190"/>
        <v>0</v>
      </c>
      <c r="CB356" s="158">
        <f t="shared" si="190"/>
        <v>0</v>
      </c>
      <c r="CC356" s="158">
        <f t="shared" si="190"/>
        <v>0</v>
      </c>
      <c r="CD356" s="158">
        <f t="shared" ref="CD356:CS356" si="191">SUM(CD354:CD355)</f>
        <v>0</v>
      </c>
      <c r="CE356" s="158">
        <f t="shared" si="191"/>
        <v>1369534666</v>
      </c>
      <c r="CF356" s="158">
        <f t="shared" si="191"/>
        <v>608810950</v>
      </c>
      <c r="CG356" s="158">
        <f t="shared" si="191"/>
        <v>585207650</v>
      </c>
      <c r="CH356" s="158">
        <f t="shared" si="191"/>
        <v>0</v>
      </c>
      <c r="CI356" s="158">
        <f t="shared" si="191"/>
        <v>0</v>
      </c>
      <c r="CJ356" s="158">
        <f t="shared" si="191"/>
        <v>0</v>
      </c>
      <c r="CK356" s="158">
        <f t="shared" si="191"/>
        <v>0</v>
      </c>
      <c r="CL356" s="158">
        <f t="shared" si="191"/>
        <v>0</v>
      </c>
      <c r="CM356" s="158">
        <f t="shared" si="191"/>
        <v>0</v>
      </c>
      <c r="CN356" s="158">
        <f t="shared" si="191"/>
        <v>0</v>
      </c>
      <c r="CO356" s="158">
        <f t="shared" si="191"/>
        <v>0</v>
      </c>
      <c r="CP356" s="158">
        <f t="shared" si="191"/>
        <v>0</v>
      </c>
      <c r="CQ356" s="158">
        <f t="shared" si="191"/>
        <v>0</v>
      </c>
      <c r="CR356" s="158">
        <f t="shared" si="191"/>
        <v>0</v>
      </c>
      <c r="CS356" s="158">
        <f t="shared" si="191"/>
        <v>0</v>
      </c>
      <c r="CT356" s="394">
        <f>SUM(CT354:CT355)</f>
        <v>1369534666</v>
      </c>
      <c r="CU356" s="158">
        <f>SUM(CU354:CU355)</f>
        <v>608810950</v>
      </c>
      <c r="CV356" s="158">
        <f>SUM(CV354:CV355)</f>
        <v>585207650</v>
      </c>
    </row>
    <row r="357" spans="1:100" ht="15" x14ac:dyDescent="0.25">
      <c r="A357" s="19"/>
      <c r="B357" s="216"/>
      <c r="C357" s="162"/>
      <c r="D357" s="161"/>
      <c r="E357" s="162"/>
      <c r="F357" s="162"/>
      <c r="G357" s="161"/>
      <c r="H357" s="162"/>
      <c r="I357" s="161"/>
      <c r="J357" s="163"/>
      <c r="K357" s="163"/>
      <c r="L357" s="163"/>
      <c r="M357" s="163"/>
      <c r="N357" s="164"/>
      <c r="O357" s="161"/>
      <c r="P357" s="162"/>
      <c r="Q357" s="165">
        <f>Q356</f>
        <v>0</v>
      </c>
      <c r="R357" s="165">
        <f t="shared" ref="R357:CC357" si="192">R356</f>
        <v>0</v>
      </c>
      <c r="S357" s="165">
        <f t="shared" si="192"/>
        <v>0</v>
      </c>
      <c r="T357" s="165">
        <f t="shared" si="192"/>
        <v>0</v>
      </c>
      <c r="U357" s="165">
        <f t="shared" si="192"/>
        <v>0</v>
      </c>
      <c r="V357" s="165">
        <f t="shared" si="192"/>
        <v>0</v>
      </c>
      <c r="W357" s="165">
        <f t="shared" si="192"/>
        <v>0</v>
      </c>
      <c r="X357" s="165">
        <f t="shared" si="192"/>
        <v>0</v>
      </c>
      <c r="Y357" s="165">
        <f t="shared" si="192"/>
        <v>0</v>
      </c>
      <c r="Z357" s="165">
        <f t="shared" si="192"/>
        <v>0</v>
      </c>
      <c r="AA357" s="165">
        <f t="shared" si="192"/>
        <v>0</v>
      </c>
      <c r="AB357" s="165">
        <f t="shared" si="192"/>
        <v>0</v>
      </c>
      <c r="AC357" s="165">
        <f t="shared" si="192"/>
        <v>0</v>
      </c>
      <c r="AD357" s="165">
        <f t="shared" si="192"/>
        <v>0</v>
      </c>
      <c r="AE357" s="165">
        <f t="shared" si="192"/>
        <v>0</v>
      </c>
      <c r="AF357" s="165">
        <f t="shared" si="192"/>
        <v>0</v>
      </c>
      <c r="AG357" s="165">
        <f t="shared" si="192"/>
        <v>0</v>
      </c>
      <c r="AH357" s="165">
        <f t="shared" si="192"/>
        <v>0</v>
      </c>
      <c r="AI357" s="165">
        <f t="shared" si="192"/>
        <v>0</v>
      </c>
      <c r="AJ357" s="165">
        <f t="shared" si="192"/>
        <v>0</v>
      </c>
      <c r="AK357" s="165">
        <f t="shared" si="192"/>
        <v>0</v>
      </c>
      <c r="AL357" s="165">
        <f t="shared" si="192"/>
        <v>0</v>
      </c>
      <c r="AM357" s="165">
        <f t="shared" si="192"/>
        <v>0</v>
      </c>
      <c r="AN357" s="165">
        <f t="shared" si="192"/>
        <v>0</v>
      </c>
      <c r="AO357" s="165">
        <f t="shared" si="192"/>
        <v>0</v>
      </c>
      <c r="AP357" s="165">
        <f t="shared" si="192"/>
        <v>0</v>
      </c>
      <c r="AQ357" s="165">
        <f t="shared" si="192"/>
        <v>0</v>
      </c>
      <c r="AR357" s="165">
        <f t="shared" si="192"/>
        <v>0</v>
      </c>
      <c r="AS357" s="165">
        <f t="shared" si="192"/>
        <v>0</v>
      </c>
      <c r="AT357" s="165">
        <f t="shared" si="192"/>
        <v>0</v>
      </c>
      <c r="AU357" s="165">
        <f t="shared" si="192"/>
        <v>0</v>
      </c>
      <c r="AV357" s="165">
        <f t="shared" si="192"/>
        <v>0</v>
      </c>
      <c r="AW357" s="165">
        <f t="shared" si="192"/>
        <v>0</v>
      </c>
      <c r="AX357" s="165">
        <f t="shared" si="192"/>
        <v>0</v>
      </c>
      <c r="AY357" s="165">
        <f t="shared" si="192"/>
        <v>0</v>
      </c>
      <c r="AZ357" s="165">
        <f t="shared" si="192"/>
        <v>0</v>
      </c>
      <c r="BA357" s="165">
        <f t="shared" si="192"/>
        <v>0</v>
      </c>
      <c r="BB357" s="165">
        <f t="shared" si="192"/>
        <v>0</v>
      </c>
      <c r="BC357" s="165">
        <f t="shared" si="192"/>
        <v>0</v>
      </c>
      <c r="BD357" s="165">
        <f t="shared" si="192"/>
        <v>0</v>
      </c>
      <c r="BE357" s="165">
        <f t="shared" si="192"/>
        <v>0</v>
      </c>
      <c r="BF357" s="165">
        <f t="shared" si="192"/>
        <v>0</v>
      </c>
      <c r="BG357" s="165">
        <f t="shared" si="192"/>
        <v>0</v>
      </c>
      <c r="BH357" s="165">
        <f t="shared" si="192"/>
        <v>0</v>
      </c>
      <c r="BI357" s="165">
        <f t="shared" si="192"/>
        <v>0</v>
      </c>
      <c r="BJ357" s="165">
        <f t="shared" si="192"/>
        <v>0</v>
      </c>
      <c r="BK357" s="165">
        <f t="shared" si="192"/>
        <v>0</v>
      </c>
      <c r="BL357" s="165">
        <f t="shared" si="192"/>
        <v>0</v>
      </c>
      <c r="BM357" s="165">
        <f t="shared" si="192"/>
        <v>0</v>
      </c>
      <c r="BN357" s="165">
        <f t="shared" si="192"/>
        <v>0</v>
      </c>
      <c r="BO357" s="165">
        <f t="shared" si="192"/>
        <v>0</v>
      </c>
      <c r="BP357" s="165">
        <f t="shared" si="192"/>
        <v>0</v>
      </c>
      <c r="BQ357" s="165">
        <f t="shared" si="192"/>
        <v>0</v>
      </c>
      <c r="BR357" s="165">
        <f t="shared" si="192"/>
        <v>0</v>
      </c>
      <c r="BS357" s="165">
        <f t="shared" si="192"/>
        <v>0</v>
      </c>
      <c r="BT357" s="165">
        <f t="shared" si="192"/>
        <v>0</v>
      </c>
      <c r="BU357" s="165">
        <f t="shared" si="192"/>
        <v>0</v>
      </c>
      <c r="BV357" s="165">
        <f t="shared" si="192"/>
        <v>0</v>
      </c>
      <c r="BW357" s="165">
        <f t="shared" si="192"/>
        <v>0</v>
      </c>
      <c r="BX357" s="165">
        <f t="shared" si="192"/>
        <v>0</v>
      </c>
      <c r="BY357" s="165">
        <f t="shared" si="192"/>
        <v>0</v>
      </c>
      <c r="BZ357" s="165">
        <f t="shared" si="192"/>
        <v>0</v>
      </c>
      <c r="CA357" s="165">
        <f t="shared" si="192"/>
        <v>0</v>
      </c>
      <c r="CB357" s="165">
        <f t="shared" si="192"/>
        <v>0</v>
      </c>
      <c r="CC357" s="165">
        <f t="shared" si="192"/>
        <v>0</v>
      </c>
      <c r="CD357" s="165">
        <f t="shared" ref="CD357:CS357" si="193">CD356</f>
        <v>0</v>
      </c>
      <c r="CE357" s="165">
        <f t="shared" si="193"/>
        <v>1369534666</v>
      </c>
      <c r="CF357" s="165">
        <f t="shared" si="193"/>
        <v>608810950</v>
      </c>
      <c r="CG357" s="165">
        <f t="shared" si="193"/>
        <v>585207650</v>
      </c>
      <c r="CH357" s="165">
        <f t="shared" si="193"/>
        <v>0</v>
      </c>
      <c r="CI357" s="165">
        <f t="shared" si="193"/>
        <v>0</v>
      </c>
      <c r="CJ357" s="165">
        <f t="shared" si="193"/>
        <v>0</v>
      </c>
      <c r="CK357" s="165">
        <f t="shared" si="193"/>
        <v>0</v>
      </c>
      <c r="CL357" s="165">
        <f t="shared" si="193"/>
        <v>0</v>
      </c>
      <c r="CM357" s="165">
        <f t="shared" si="193"/>
        <v>0</v>
      </c>
      <c r="CN357" s="165">
        <f t="shared" si="193"/>
        <v>0</v>
      </c>
      <c r="CO357" s="165">
        <f t="shared" si="193"/>
        <v>0</v>
      </c>
      <c r="CP357" s="165">
        <f t="shared" si="193"/>
        <v>0</v>
      </c>
      <c r="CQ357" s="165">
        <f t="shared" si="193"/>
        <v>0</v>
      </c>
      <c r="CR357" s="165">
        <f t="shared" si="193"/>
        <v>0</v>
      </c>
      <c r="CS357" s="165">
        <f t="shared" si="193"/>
        <v>0</v>
      </c>
      <c r="CT357" s="395">
        <f>CT356</f>
        <v>1369534666</v>
      </c>
      <c r="CU357" s="165">
        <f>CU356</f>
        <v>608810950</v>
      </c>
      <c r="CV357" s="165">
        <f>CV356</f>
        <v>585207650</v>
      </c>
    </row>
    <row r="358" spans="1:100" s="27" customFormat="1" ht="15" x14ac:dyDescent="0.25">
      <c r="A358" s="19"/>
      <c r="B358" s="177"/>
      <c r="C358" s="949"/>
      <c r="D358" s="177"/>
      <c r="E358" s="949"/>
      <c r="F358" s="949"/>
      <c r="G358" s="177"/>
      <c r="H358" s="949"/>
      <c r="I358" s="177"/>
      <c r="J358" s="178"/>
      <c r="K358" s="178"/>
      <c r="L358" s="178"/>
      <c r="M358" s="178"/>
      <c r="N358" s="179"/>
      <c r="O358" s="177"/>
      <c r="P358" s="949"/>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c r="BZ358" s="180"/>
      <c r="CA358" s="180"/>
      <c r="CB358" s="180"/>
      <c r="CC358" s="180"/>
      <c r="CD358" s="180"/>
      <c r="CE358" s="182"/>
      <c r="CF358" s="182"/>
      <c r="CG358" s="182"/>
      <c r="CH358" s="183"/>
      <c r="CI358" s="183"/>
      <c r="CJ358" s="183"/>
      <c r="CK358" s="180"/>
      <c r="CL358" s="180"/>
      <c r="CM358" s="180"/>
      <c r="CN358" s="180"/>
      <c r="CO358" s="180"/>
      <c r="CP358" s="180"/>
      <c r="CQ358" s="180"/>
      <c r="CR358" s="180"/>
      <c r="CS358" s="180"/>
      <c r="CT358" s="25"/>
      <c r="CU358" s="25"/>
      <c r="CV358" s="25"/>
    </row>
    <row r="359" spans="1:100" s="27" customFormat="1" ht="15" x14ac:dyDescent="0.25">
      <c r="A359" s="19"/>
      <c r="B359" s="239">
        <v>28</v>
      </c>
      <c r="C359" s="147" t="s">
        <v>27</v>
      </c>
      <c r="D359" s="146"/>
      <c r="E359" s="146"/>
      <c r="F359" s="146"/>
      <c r="G359" s="146"/>
      <c r="H359" s="147"/>
      <c r="I359" s="146"/>
      <c r="J359" s="146"/>
      <c r="K359" s="146"/>
      <c r="L359" s="146"/>
      <c r="M359" s="146"/>
      <c r="N359" s="677"/>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c r="BI359" s="146"/>
      <c r="BJ359" s="146"/>
      <c r="BK359" s="146"/>
      <c r="BL359" s="146"/>
      <c r="BM359" s="146"/>
      <c r="BN359" s="146"/>
      <c r="BO359" s="146"/>
      <c r="BP359" s="146"/>
      <c r="BQ359" s="146"/>
      <c r="BR359" s="146"/>
      <c r="BS359" s="146"/>
      <c r="BT359" s="146"/>
      <c r="BU359" s="146"/>
      <c r="BV359" s="146"/>
      <c r="BW359" s="146"/>
      <c r="BX359" s="146"/>
      <c r="BY359" s="146"/>
      <c r="BZ359" s="146"/>
      <c r="CA359" s="146"/>
      <c r="CB359" s="146"/>
      <c r="CC359" s="146"/>
      <c r="CD359" s="146"/>
      <c r="CE359" s="148"/>
      <c r="CF359" s="148"/>
      <c r="CG359" s="148"/>
      <c r="CH359" s="146"/>
      <c r="CI359" s="146"/>
      <c r="CJ359" s="146"/>
      <c r="CK359" s="146"/>
      <c r="CL359" s="146"/>
      <c r="CM359" s="146"/>
      <c r="CN359" s="146"/>
      <c r="CO359" s="146"/>
      <c r="CP359" s="146"/>
      <c r="CQ359" s="146"/>
      <c r="CR359" s="146"/>
      <c r="CS359" s="146"/>
      <c r="CT359" s="526"/>
      <c r="CU359" s="526"/>
      <c r="CV359" s="526"/>
    </row>
    <row r="360" spans="1:100" s="27" customFormat="1" ht="15" x14ac:dyDescent="0.25">
      <c r="A360" s="19"/>
      <c r="B360" s="185"/>
      <c r="C360" s="949"/>
      <c r="D360" s="177"/>
      <c r="E360" s="949"/>
      <c r="F360" s="927"/>
      <c r="G360" s="339">
        <v>89</v>
      </c>
      <c r="H360" s="1064" t="s">
        <v>28</v>
      </c>
      <c r="I360" s="1064"/>
      <c r="J360" s="1064"/>
      <c r="K360" s="1064"/>
      <c r="L360" s="1064"/>
      <c r="M360" s="1064"/>
      <c r="N360" s="1064"/>
      <c r="O360" s="1064"/>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c r="BY360" s="189"/>
      <c r="BZ360" s="189"/>
      <c r="CA360" s="189"/>
      <c r="CB360" s="189"/>
      <c r="CC360" s="189"/>
      <c r="CD360" s="189"/>
      <c r="CE360" s="190"/>
      <c r="CF360" s="190"/>
      <c r="CG360" s="190"/>
      <c r="CH360" s="189"/>
      <c r="CI360" s="189"/>
      <c r="CJ360" s="189"/>
      <c r="CK360" s="189"/>
      <c r="CL360" s="189"/>
      <c r="CM360" s="189"/>
      <c r="CN360" s="189"/>
      <c r="CO360" s="189"/>
      <c r="CP360" s="189"/>
      <c r="CQ360" s="189"/>
      <c r="CR360" s="189"/>
      <c r="CS360" s="189"/>
      <c r="CT360" s="522"/>
      <c r="CU360" s="522"/>
      <c r="CV360" s="522"/>
    </row>
    <row r="361" spans="1:100" s="27" customFormat="1" ht="117" customHeight="1" x14ac:dyDescent="0.25">
      <c r="A361" s="19"/>
      <c r="B361" s="19"/>
      <c r="C361" s="927">
        <v>37</v>
      </c>
      <c r="D361" s="928" t="s">
        <v>435</v>
      </c>
      <c r="E361" s="929" t="s">
        <v>55</v>
      </c>
      <c r="F361" s="929">
        <v>60</v>
      </c>
      <c r="G361" s="928"/>
      <c r="H361" s="929">
        <v>288</v>
      </c>
      <c r="I361" s="928" t="s">
        <v>444</v>
      </c>
      <c r="J361" s="23">
        <v>1</v>
      </c>
      <c r="K361" s="23">
        <v>1</v>
      </c>
      <c r="L361" s="23">
        <v>1</v>
      </c>
      <c r="M361" s="24" t="s">
        <v>437</v>
      </c>
      <c r="N361" s="36" t="s">
        <v>445</v>
      </c>
      <c r="O361" s="928" t="s">
        <v>446</v>
      </c>
      <c r="P361" s="929" t="s">
        <v>38</v>
      </c>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127">
        <f>219504873+400000000+100000000+150000000</f>
        <v>869504873</v>
      </c>
      <c r="CF361" s="127">
        <v>838657287</v>
      </c>
      <c r="CG361" s="127">
        <v>819232287</v>
      </c>
      <c r="CH361" s="13"/>
      <c r="CI361" s="13"/>
      <c r="CJ361" s="13"/>
      <c r="CK361" s="25"/>
      <c r="CL361" s="26"/>
      <c r="CM361" s="26"/>
      <c r="CN361" s="26"/>
      <c r="CO361" s="26"/>
      <c r="CP361" s="26"/>
      <c r="CQ361" s="26"/>
      <c r="CR361" s="26"/>
      <c r="CS361" s="26"/>
      <c r="CT361" s="25">
        <f>Q361+T361+W361+Z361+AC361+AF361+AI361+AL361+AO361+AR361+AU361+AX361+BA361+BD361+BG361+BJ361+BM361+BP361+BS361+BV361+BY361+CB361+CE361+CH361+CK361+CQ361+CN361</f>
        <v>869504873</v>
      </c>
      <c r="CU361" s="25">
        <f>R361+U361+X361+AA361+AD361+AG361+AJ361+AM361+AP361+AS361+AV361+AY361+BB361+BE361+BH361+BK361+BN361+BQ361+BT361+BW361+BZ361+CC361+CF361+CI361+CL361+CR361+CO361</f>
        <v>838657287</v>
      </c>
      <c r="CV361" s="25">
        <f>S361+V361+Y361+AB361+AE361+AH361+AK361+AN361+AQ361+AT361+AW361+AZ361+BC361+BF361+BI361+BL361+BO361+BR361+BU361+BX361+CA361+CD361+CG361+CJ361+CM361+CS361+CP361</f>
        <v>819232287</v>
      </c>
    </row>
    <row r="362" spans="1:100" s="27" customFormat="1" ht="15" x14ac:dyDescent="0.25">
      <c r="A362" s="19"/>
      <c r="B362" s="152"/>
      <c r="C362" s="927"/>
      <c r="D362" s="153"/>
      <c r="E362" s="581"/>
      <c r="F362" s="581"/>
      <c r="G362" s="154"/>
      <c r="H362" s="155"/>
      <c r="I362" s="154"/>
      <c r="J362" s="156"/>
      <c r="K362" s="156"/>
      <c r="L362" s="156"/>
      <c r="M362" s="156"/>
      <c r="N362" s="157"/>
      <c r="O362" s="154"/>
      <c r="P362" s="155"/>
      <c r="Q362" s="158">
        <f>SUM(Q361)</f>
        <v>0</v>
      </c>
      <c r="R362" s="158">
        <f>SUM(R361)</f>
        <v>0</v>
      </c>
      <c r="S362" s="158">
        <f t="shared" ref="S362:CD362" si="194">SUM(S361)</f>
        <v>0</v>
      </c>
      <c r="T362" s="158">
        <f t="shared" si="194"/>
        <v>0</v>
      </c>
      <c r="U362" s="158">
        <f t="shared" si="194"/>
        <v>0</v>
      </c>
      <c r="V362" s="158">
        <f t="shared" si="194"/>
        <v>0</v>
      </c>
      <c r="W362" s="158">
        <f t="shared" si="194"/>
        <v>0</v>
      </c>
      <c r="X362" s="158">
        <f t="shared" si="194"/>
        <v>0</v>
      </c>
      <c r="Y362" s="158">
        <f t="shared" si="194"/>
        <v>0</v>
      </c>
      <c r="Z362" s="158">
        <f t="shared" si="194"/>
        <v>0</v>
      </c>
      <c r="AA362" s="158">
        <f t="shared" si="194"/>
        <v>0</v>
      </c>
      <c r="AB362" s="158">
        <f t="shared" si="194"/>
        <v>0</v>
      </c>
      <c r="AC362" s="158">
        <f t="shared" si="194"/>
        <v>0</v>
      </c>
      <c r="AD362" s="158">
        <f t="shared" si="194"/>
        <v>0</v>
      </c>
      <c r="AE362" s="158">
        <f t="shared" si="194"/>
        <v>0</v>
      </c>
      <c r="AF362" s="158">
        <f t="shared" si="194"/>
        <v>0</v>
      </c>
      <c r="AG362" s="158">
        <f t="shared" si="194"/>
        <v>0</v>
      </c>
      <c r="AH362" s="158">
        <f t="shared" si="194"/>
        <v>0</v>
      </c>
      <c r="AI362" s="158">
        <f t="shared" si="194"/>
        <v>0</v>
      </c>
      <c r="AJ362" s="158">
        <f t="shared" si="194"/>
        <v>0</v>
      </c>
      <c r="AK362" s="158">
        <f t="shared" si="194"/>
        <v>0</v>
      </c>
      <c r="AL362" s="158">
        <f t="shared" si="194"/>
        <v>0</v>
      </c>
      <c r="AM362" s="158">
        <f t="shared" si="194"/>
        <v>0</v>
      </c>
      <c r="AN362" s="158">
        <f t="shared" si="194"/>
        <v>0</v>
      </c>
      <c r="AO362" s="158">
        <f t="shared" si="194"/>
        <v>0</v>
      </c>
      <c r="AP362" s="158">
        <f t="shared" si="194"/>
        <v>0</v>
      </c>
      <c r="AQ362" s="158">
        <f t="shared" si="194"/>
        <v>0</v>
      </c>
      <c r="AR362" s="158">
        <f t="shared" si="194"/>
        <v>0</v>
      </c>
      <c r="AS362" s="158">
        <f t="shared" si="194"/>
        <v>0</v>
      </c>
      <c r="AT362" s="158">
        <f t="shared" si="194"/>
        <v>0</v>
      </c>
      <c r="AU362" s="158">
        <f t="shared" si="194"/>
        <v>0</v>
      </c>
      <c r="AV362" s="158">
        <f t="shared" si="194"/>
        <v>0</v>
      </c>
      <c r="AW362" s="158">
        <f t="shared" si="194"/>
        <v>0</v>
      </c>
      <c r="AX362" s="158">
        <f t="shared" si="194"/>
        <v>0</v>
      </c>
      <c r="AY362" s="158">
        <f t="shared" si="194"/>
        <v>0</v>
      </c>
      <c r="AZ362" s="158">
        <f t="shared" si="194"/>
        <v>0</v>
      </c>
      <c r="BA362" s="158">
        <f t="shared" si="194"/>
        <v>0</v>
      </c>
      <c r="BB362" s="158">
        <f t="shared" si="194"/>
        <v>0</v>
      </c>
      <c r="BC362" s="158">
        <f t="shared" si="194"/>
        <v>0</v>
      </c>
      <c r="BD362" s="158">
        <f t="shared" si="194"/>
        <v>0</v>
      </c>
      <c r="BE362" s="158">
        <f t="shared" si="194"/>
        <v>0</v>
      </c>
      <c r="BF362" s="158">
        <f t="shared" si="194"/>
        <v>0</v>
      </c>
      <c r="BG362" s="158">
        <f t="shared" si="194"/>
        <v>0</v>
      </c>
      <c r="BH362" s="158">
        <f t="shared" si="194"/>
        <v>0</v>
      </c>
      <c r="BI362" s="158">
        <f t="shared" si="194"/>
        <v>0</v>
      </c>
      <c r="BJ362" s="158">
        <f t="shared" si="194"/>
        <v>0</v>
      </c>
      <c r="BK362" s="158">
        <f t="shared" si="194"/>
        <v>0</v>
      </c>
      <c r="BL362" s="158">
        <f t="shared" si="194"/>
        <v>0</v>
      </c>
      <c r="BM362" s="158">
        <f t="shared" si="194"/>
        <v>0</v>
      </c>
      <c r="BN362" s="158">
        <f t="shared" si="194"/>
        <v>0</v>
      </c>
      <c r="BO362" s="158">
        <f t="shared" si="194"/>
        <v>0</v>
      </c>
      <c r="BP362" s="158">
        <f t="shared" si="194"/>
        <v>0</v>
      </c>
      <c r="BQ362" s="158">
        <f t="shared" si="194"/>
        <v>0</v>
      </c>
      <c r="BR362" s="158">
        <f t="shared" si="194"/>
        <v>0</v>
      </c>
      <c r="BS362" s="158">
        <f t="shared" si="194"/>
        <v>0</v>
      </c>
      <c r="BT362" s="158">
        <f t="shared" si="194"/>
        <v>0</v>
      </c>
      <c r="BU362" s="158">
        <f t="shared" si="194"/>
        <v>0</v>
      </c>
      <c r="BV362" s="158">
        <f t="shared" si="194"/>
        <v>0</v>
      </c>
      <c r="BW362" s="158">
        <f t="shared" si="194"/>
        <v>0</v>
      </c>
      <c r="BX362" s="158">
        <f t="shared" si="194"/>
        <v>0</v>
      </c>
      <c r="BY362" s="158">
        <f t="shared" si="194"/>
        <v>0</v>
      </c>
      <c r="BZ362" s="158">
        <f t="shared" si="194"/>
        <v>0</v>
      </c>
      <c r="CA362" s="158">
        <f t="shared" si="194"/>
        <v>0</v>
      </c>
      <c r="CB362" s="158">
        <f t="shared" si="194"/>
        <v>0</v>
      </c>
      <c r="CC362" s="158">
        <f t="shared" si="194"/>
        <v>0</v>
      </c>
      <c r="CD362" s="158">
        <f t="shared" si="194"/>
        <v>0</v>
      </c>
      <c r="CE362" s="158">
        <f t="shared" ref="CE362:CS362" si="195">SUM(CE361)</f>
        <v>869504873</v>
      </c>
      <c r="CF362" s="158">
        <f t="shared" si="195"/>
        <v>838657287</v>
      </c>
      <c r="CG362" s="158">
        <f t="shared" si="195"/>
        <v>819232287</v>
      </c>
      <c r="CH362" s="158">
        <f t="shared" si="195"/>
        <v>0</v>
      </c>
      <c r="CI362" s="158">
        <f t="shared" si="195"/>
        <v>0</v>
      </c>
      <c r="CJ362" s="158">
        <f t="shared" si="195"/>
        <v>0</v>
      </c>
      <c r="CK362" s="158">
        <f t="shared" si="195"/>
        <v>0</v>
      </c>
      <c r="CL362" s="158">
        <f t="shared" si="195"/>
        <v>0</v>
      </c>
      <c r="CM362" s="158">
        <f t="shared" si="195"/>
        <v>0</v>
      </c>
      <c r="CN362" s="158">
        <f t="shared" si="195"/>
        <v>0</v>
      </c>
      <c r="CO362" s="158">
        <f t="shared" si="195"/>
        <v>0</v>
      </c>
      <c r="CP362" s="158">
        <f t="shared" si="195"/>
        <v>0</v>
      </c>
      <c r="CQ362" s="158">
        <f t="shared" si="195"/>
        <v>0</v>
      </c>
      <c r="CR362" s="158">
        <f t="shared" si="195"/>
        <v>0</v>
      </c>
      <c r="CS362" s="158">
        <f t="shared" si="195"/>
        <v>0</v>
      </c>
      <c r="CT362" s="753">
        <f>SUM(CT361)</f>
        <v>869504873</v>
      </c>
      <c r="CU362" s="753">
        <f>SUM(CU361)</f>
        <v>838657287</v>
      </c>
      <c r="CV362" s="753">
        <f>SUM(CV361)</f>
        <v>819232287</v>
      </c>
    </row>
    <row r="363" spans="1:100" s="27" customFormat="1" ht="15" x14ac:dyDescent="0.25">
      <c r="A363" s="152"/>
      <c r="B363" s="216"/>
      <c r="C363" s="162"/>
      <c r="D363" s="161"/>
      <c r="E363" s="162"/>
      <c r="F363" s="162"/>
      <c r="G363" s="161"/>
      <c r="H363" s="162"/>
      <c r="I363" s="161"/>
      <c r="J363" s="163"/>
      <c r="K363" s="163"/>
      <c r="L363" s="163"/>
      <c r="M363" s="163"/>
      <c r="N363" s="164"/>
      <c r="O363" s="161"/>
      <c r="P363" s="162"/>
      <c r="Q363" s="165">
        <f>Q362</f>
        <v>0</v>
      </c>
      <c r="R363" s="165">
        <f>R362</f>
        <v>0</v>
      </c>
      <c r="S363" s="165">
        <f t="shared" ref="S363:CD363" si="196">S362</f>
        <v>0</v>
      </c>
      <c r="T363" s="165">
        <f t="shared" si="196"/>
        <v>0</v>
      </c>
      <c r="U363" s="165">
        <f t="shared" si="196"/>
        <v>0</v>
      </c>
      <c r="V363" s="165">
        <f t="shared" si="196"/>
        <v>0</v>
      </c>
      <c r="W363" s="165">
        <f t="shared" si="196"/>
        <v>0</v>
      </c>
      <c r="X363" s="165">
        <f t="shared" si="196"/>
        <v>0</v>
      </c>
      <c r="Y363" s="165">
        <f t="shared" si="196"/>
        <v>0</v>
      </c>
      <c r="Z363" s="165">
        <f t="shared" si="196"/>
        <v>0</v>
      </c>
      <c r="AA363" s="165">
        <f t="shared" si="196"/>
        <v>0</v>
      </c>
      <c r="AB363" s="165">
        <f t="shared" si="196"/>
        <v>0</v>
      </c>
      <c r="AC363" s="165">
        <f t="shared" si="196"/>
        <v>0</v>
      </c>
      <c r="AD363" s="165">
        <f t="shared" si="196"/>
        <v>0</v>
      </c>
      <c r="AE363" s="165">
        <f t="shared" si="196"/>
        <v>0</v>
      </c>
      <c r="AF363" s="165">
        <f t="shared" si="196"/>
        <v>0</v>
      </c>
      <c r="AG363" s="165">
        <f t="shared" si="196"/>
        <v>0</v>
      </c>
      <c r="AH363" s="165">
        <f t="shared" si="196"/>
        <v>0</v>
      </c>
      <c r="AI363" s="165">
        <f t="shared" si="196"/>
        <v>0</v>
      </c>
      <c r="AJ363" s="165">
        <f t="shared" si="196"/>
        <v>0</v>
      </c>
      <c r="AK363" s="165">
        <f t="shared" si="196"/>
        <v>0</v>
      </c>
      <c r="AL363" s="165">
        <f t="shared" si="196"/>
        <v>0</v>
      </c>
      <c r="AM363" s="165">
        <f t="shared" si="196"/>
        <v>0</v>
      </c>
      <c r="AN363" s="165">
        <f t="shared" si="196"/>
        <v>0</v>
      </c>
      <c r="AO363" s="165">
        <f t="shared" si="196"/>
        <v>0</v>
      </c>
      <c r="AP363" s="165">
        <f t="shared" si="196"/>
        <v>0</v>
      </c>
      <c r="AQ363" s="165">
        <f t="shared" si="196"/>
        <v>0</v>
      </c>
      <c r="AR363" s="165">
        <f t="shared" si="196"/>
        <v>0</v>
      </c>
      <c r="AS363" s="165">
        <f t="shared" si="196"/>
        <v>0</v>
      </c>
      <c r="AT363" s="165">
        <f t="shared" si="196"/>
        <v>0</v>
      </c>
      <c r="AU363" s="165">
        <f t="shared" si="196"/>
        <v>0</v>
      </c>
      <c r="AV363" s="165">
        <f t="shared" si="196"/>
        <v>0</v>
      </c>
      <c r="AW363" s="165">
        <f t="shared" si="196"/>
        <v>0</v>
      </c>
      <c r="AX363" s="165">
        <f t="shared" si="196"/>
        <v>0</v>
      </c>
      <c r="AY363" s="165">
        <f t="shared" si="196"/>
        <v>0</v>
      </c>
      <c r="AZ363" s="165">
        <f t="shared" si="196"/>
        <v>0</v>
      </c>
      <c r="BA363" s="165">
        <f t="shared" si="196"/>
        <v>0</v>
      </c>
      <c r="BB363" s="165">
        <f t="shared" si="196"/>
        <v>0</v>
      </c>
      <c r="BC363" s="165">
        <f t="shared" si="196"/>
        <v>0</v>
      </c>
      <c r="BD363" s="165">
        <f t="shared" si="196"/>
        <v>0</v>
      </c>
      <c r="BE363" s="165">
        <f t="shared" si="196"/>
        <v>0</v>
      </c>
      <c r="BF363" s="165">
        <f t="shared" si="196"/>
        <v>0</v>
      </c>
      <c r="BG363" s="165">
        <f t="shared" si="196"/>
        <v>0</v>
      </c>
      <c r="BH363" s="165">
        <f t="shared" si="196"/>
        <v>0</v>
      </c>
      <c r="BI363" s="165">
        <f t="shared" si="196"/>
        <v>0</v>
      </c>
      <c r="BJ363" s="165">
        <f t="shared" si="196"/>
        <v>0</v>
      </c>
      <c r="BK363" s="165">
        <f t="shared" si="196"/>
        <v>0</v>
      </c>
      <c r="BL363" s="165">
        <f t="shared" si="196"/>
        <v>0</v>
      </c>
      <c r="BM363" s="165">
        <f t="shared" si="196"/>
        <v>0</v>
      </c>
      <c r="BN363" s="165">
        <f t="shared" si="196"/>
        <v>0</v>
      </c>
      <c r="BO363" s="165">
        <f t="shared" si="196"/>
        <v>0</v>
      </c>
      <c r="BP363" s="165">
        <f t="shared" si="196"/>
        <v>0</v>
      </c>
      <c r="BQ363" s="165">
        <f t="shared" si="196"/>
        <v>0</v>
      </c>
      <c r="BR363" s="165">
        <f t="shared" si="196"/>
        <v>0</v>
      </c>
      <c r="BS363" s="165">
        <f t="shared" si="196"/>
        <v>0</v>
      </c>
      <c r="BT363" s="165">
        <f t="shared" si="196"/>
        <v>0</v>
      </c>
      <c r="BU363" s="165">
        <f t="shared" si="196"/>
        <v>0</v>
      </c>
      <c r="BV363" s="165">
        <f t="shared" si="196"/>
        <v>0</v>
      </c>
      <c r="BW363" s="165">
        <f t="shared" si="196"/>
        <v>0</v>
      </c>
      <c r="BX363" s="165">
        <f t="shared" si="196"/>
        <v>0</v>
      </c>
      <c r="BY363" s="165">
        <f t="shared" si="196"/>
        <v>0</v>
      </c>
      <c r="BZ363" s="165">
        <f t="shared" si="196"/>
        <v>0</v>
      </c>
      <c r="CA363" s="165">
        <f t="shared" si="196"/>
        <v>0</v>
      </c>
      <c r="CB363" s="165">
        <f t="shared" si="196"/>
        <v>0</v>
      </c>
      <c r="CC363" s="165">
        <f t="shared" si="196"/>
        <v>0</v>
      </c>
      <c r="CD363" s="165">
        <f t="shared" si="196"/>
        <v>0</v>
      </c>
      <c r="CE363" s="165">
        <f t="shared" ref="CE363:CS363" si="197">CE362</f>
        <v>869504873</v>
      </c>
      <c r="CF363" s="165">
        <f t="shared" si="197"/>
        <v>838657287</v>
      </c>
      <c r="CG363" s="165">
        <f t="shared" si="197"/>
        <v>819232287</v>
      </c>
      <c r="CH363" s="165">
        <f t="shared" si="197"/>
        <v>0</v>
      </c>
      <c r="CI363" s="165">
        <f t="shared" si="197"/>
        <v>0</v>
      </c>
      <c r="CJ363" s="165">
        <f t="shared" si="197"/>
        <v>0</v>
      </c>
      <c r="CK363" s="165">
        <f t="shared" si="197"/>
        <v>0</v>
      </c>
      <c r="CL363" s="165">
        <f t="shared" si="197"/>
        <v>0</v>
      </c>
      <c r="CM363" s="165">
        <f t="shared" si="197"/>
        <v>0</v>
      </c>
      <c r="CN363" s="165">
        <f t="shared" si="197"/>
        <v>0</v>
      </c>
      <c r="CO363" s="165">
        <f t="shared" si="197"/>
        <v>0</v>
      </c>
      <c r="CP363" s="165">
        <f t="shared" si="197"/>
        <v>0</v>
      </c>
      <c r="CQ363" s="165">
        <f t="shared" si="197"/>
        <v>0</v>
      </c>
      <c r="CR363" s="165">
        <f t="shared" si="197"/>
        <v>0</v>
      </c>
      <c r="CS363" s="165">
        <f t="shared" si="197"/>
        <v>0</v>
      </c>
      <c r="CT363" s="754">
        <f>CT362</f>
        <v>869504873</v>
      </c>
      <c r="CU363" s="754">
        <f>CU362</f>
        <v>838657287</v>
      </c>
      <c r="CV363" s="754">
        <f>CV362</f>
        <v>819232287</v>
      </c>
    </row>
    <row r="364" spans="1:100" ht="15" x14ac:dyDescent="0.25">
      <c r="A364" s="166"/>
      <c r="B364" s="166"/>
      <c r="C364" s="167"/>
      <c r="D364" s="166"/>
      <c r="E364" s="167"/>
      <c r="F364" s="167"/>
      <c r="G364" s="166"/>
      <c r="H364" s="167"/>
      <c r="I364" s="166"/>
      <c r="J364" s="168"/>
      <c r="K364" s="168"/>
      <c r="L364" s="168"/>
      <c r="M364" s="168"/>
      <c r="N364" s="169"/>
      <c r="O364" s="166"/>
      <c r="P364" s="167"/>
      <c r="Q364" s="170">
        <f>Q363+Q357</f>
        <v>0</v>
      </c>
      <c r="R364" s="170">
        <f>R363+R357</f>
        <v>0</v>
      </c>
      <c r="S364" s="170">
        <f t="shared" ref="S364:CD364" si="198">S363+S357</f>
        <v>0</v>
      </c>
      <c r="T364" s="170">
        <f t="shared" si="198"/>
        <v>0</v>
      </c>
      <c r="U364" s="170">
        <f t="shared" si="198"/>
        <v>0</v>
      </c>
      <c r="V364" s="170">
        <f t="shared" si="198"/>
        <v>0</v>
      </c>
      <c r="W364" s="170">
        <f t="shared" si="198"/>
        <v>0</v>
      </c>
      <c r="X364" s="170">
        <f t="shared" si="198"/>
        <v>0</v>
      </c>
      <c r="Y364" s="170">
        <f t="shared" si="198"/>
        <v>0</v>
      </c>
      <c r="Z364" s="170">
        <f t="shared" si="198"/>
        <v>0</v>
      </c>
      <c r="AA364" s="170">
        <f t="shared" si="198"/>
        <v>0</v>
      </c>
      <c r="AB364" s="170">
        <f t="shared" si="198"/>
        <v>0</v>
      </c>
      <c r="AC364" s="170">
        <f t="shared" si="198"/>
        <v>0</v>
      </c>
      <c r="AD364" s="170">
        <f t="shared" si="198"/>
        <v>0</v>
      </c>
      <c r="AE364" s="170">
        <f t="shared" si="198"/>
        <v>0</v>
      </c>
      <c r="AF364" s="170">
        <f t="shared" si="198"/>
        <v>0</v>
      </c>
      <c r="AG364" s="170">
        <f t="shared" si="198"/>
        <v>0</v>
      </c>
      <c r="AH364" s="170">
        <f t="shared" si="198"/>
        <v>0</v>
      </c>
      <c r="AI364" s="170">
        <f t="shared" si="198"/>
        <v>0</v>
      </c>
      <c r="AJ364" s="170">
        <f t="shared" si="198"/>
        <v>0</v>
      </c>
      <c r="AK364" s="170">
        <f t="shared" si="198"/>
        <v>0</v>
      </c>
      <c r="AL364" s="170">
        <f t="shared" si="198"/>
        <v>0</v>
      </c>
      <c r="AM364" s="170">
        <f t="shared" si="198"/>
        <v>0</v>
      </c>
      <c r="AN364" s="170">
        <f t="shared" si="198"/>
        <v>0</v>
      </c>
      <c r="AO364" s="170">
        <f t="shared" si="198"/>
        <v>0</v>
      </c>
      <c r="AP364" s="170">
        <f t="shared" si="198"/>
        <v>0</v>
      </c>
      <c r="AQ364" s="170">
        <f t="shared" si="198"/>
        <v>0</v>
      </c>
      <c r="AR364" s="170">
        <f t="shared" si="198"/>
        <v>0</v>
      </c>
      <c r="AS364" s="170">
        <f t="shared" si="198"/>
        <v>0</v>
      </c>
      <c r="AT364" s="170">
        <f t="shared" si="198"/>
        <v>0</v>
      </c>
      <c r="AU364" s="170">
        <f t="shared" si="198"/>
        <v>0</v>
      </c>
      <c r="AV364" s="170">
        <f t="shared" si="198"/>
        <v>0</v>
      </c>
      <c r="AW364" s="170">
        <f t="shared" si="198"/>
        <v>0</v>
      </c>
      <c r="AX364" s="170">
        <f t="shared" si="198"/>
        <v>0</v>
      </c>
      <c r="AY364" s="170">
        <f t="shared" si="198"/>
        <v>0</v>
      </c>
      <c r="AZ364" s="170">
        <f t="shared" si="198"/>
        <v>0</v>
      </c>
      <c r="BA364" s="170">
        <f t="shared" si="198"/>
        <v>0</v>
      </c>
      <c r="BB364" s="170">
        <f t="shared" si="198"/>
        <v>0</v>
      </c>
      <c r="BC364" s="170">
        <f t="shared" si="198"/>
        <v>0</v>
      </c>
      <c r="BD364" s="170">
        <f t="shared" si="198"/>
        <v>0</v>
      </c>
      <c r="BE364" s="170">
        <f t="shared" si="198"/>
        <v>0</v>
      </c>
      <c r="BF364" s="170">
        <f t="shared" si="198"/>
        <v>0</v>
      </c>
      <c r="BG364" s="170">
        <f t="shared" si="198"/>
        <v>0</v>
      </c>
      <c r="BH364" s="170">
        <f t="shared" si="198"/>
        <v>0</v>
      </c>
      <c r="BI364" s="170">
        <f t="shared" si="198"/>
        <v>0</v>
      </c>
      <c r="BJ364" s="170">
        <f t="shared" si="198"/>
        <v>0</v>
      </c>
      <c r="BK364" s="170">
        <f t="shared" si="198"/>
        <v>0</v>
      </c>
      <c r="BL364" s="170">
        <f t="shared" si="198"/>
        <v>0</v>
      </c>
      <c r="BM364" s="170">
        <f t="shared" si="198"/>
        <v>0</v>
      </c>
      <c r="BN364" s="170">
        <f t="shared" si="198"/>
        <v>0</v>
      </c>
      <c r="BO364" s="170">
        <f t="shared" si="198"/>
        <v>0</v>
      </c>
      <c r="BP364" s="170">
        <f t="shared" si="198"/>
        <v>0</v>
      </c>
      <c r="BQ364" s="170">
        <f t="shared" si="198"/>
        <v>0</v>
      </c>
      <c r="BR364" s="170">
        <f t="shared" si="198"/>
        <v>0</v>
      </c>
      <c r="BS364" s="170">
        <f t="shared" si="198"/>
        <v>0</v>
      </c>
      <c r="BT364" s="170">
        <f t="shared" si="198"/>
        <v>0</v>
      </c>
      <c r="BU364" s="170">
        <f t="shared" si="198"/>
        <v>0</v>
      </c>
      <c r="BV364" s="170">
        <f t="shared" si="198"/>
        <v>0</v>
      </c>
      <c r="BW364" s="170">
        <f t="shared" si="198"/>
        <v>0</v>
      </c>
      <c r="BX364" s="170">
        <f t="shared" si="198"/>
        <v>0</v>
      </c>
      <c r="BY364" s="170">
        <f t="shared" si="198"/>
        <v>0</v>
      </c>
      <c r="BZ364" s="170">
        <f t="shared" si="198"/>
        <v>0</v>
      </c>
      <c r="CA364" s="170">
        <f t="shared" si="198"/>
        <v>0</v>
      </c>
      <c r="CB364" s="170">
        <f t="shared" si="198"/>
        <v>0</v>
      </c>
      <c r="CC364" s="170">
        <f t="shared" si="198"/>
        <v>0</v>
      </c>
      <c r="CD364" s="170">
        <f t="shared" si="198"/>
        <v>0</v>
      </c>
      <c r="CE364" s="170">
        <f t="shared" ref="CE364:CS364" si="199">CE363+CE357</f>
        <v>2239039539</v>
      </c>
      <c r="CF364" s="170">
        <f t="shared" si="199"/>
        <v>1447468237</v>
      </c>
      <c r="CG364" s="170">
        <f t="shared" si="199"/>
        <v>1404439937</v>
      </c>
      <c r="CH364" s="170">
        <f t="shared" si="199"/>
        <v>0</v>
      </c>
      <c r="CI364" s="170">
        <f t="shared" si="199"/>
        <v>0</v>
      </c>
      <c r="CJ364" s="170">
        <f t="shared" si="199"/>
        <v>0</v>
      </c>
      <c r="CK364" s="170">
        <f t="shared" si="199"/>
        <v>0</v>
      </c>
      <c r="CL364" s="170">
        <f t="shared" si="199"/>
        <v>0</v>
      </c>
      <c r="CM364" s="170">
        <f t="shared" si="199"/>
        <v>0</v>
      </c>
      <c r="CN364" s="170">
        <f t="shared" si="199"/>
        <v>0</v>
      </c>
      <c r="CO364" s="170">
        <f t="shared" si="199"/>
        <v>0</v>
      </c>
      <c r="CP364" s="170">
        <f t="shared" si="199"/>
        <v>0</v>
      </c>
      <c r="CQ364" s="170">
        <f t="shared" si="199"/>
        <v>0</v>
      </c>
      <c r="CR364" s="170">
        <f t="shared" si="199"/>
        <v>0</v>
      </c>
      <c r="CS364" s="170">
        <f t="shared" si="199"/>
        <v>0</v>
      </c>
      <c r="CT364" s="755">
        <f>CT363+CT357</f>
        <v>2239039539</v>
      </c>
      <c r="CU364" s="755">
        <f>CU363+CU357</f>
        <v>1447468237</v>
      </c>
      <c r="CV364" s="755">
        <f>CV363+CV357</f>
        <v>1404439937</v>
      </c>
    </row>
    <row r="365" spans="1:100" ht="15" x14ac:dyDescent="0.25">
      <c r="A365" s="171"/>
      <c r="B365" s="171"/>
      <c r="C365" s="172"/>
      <c r="D365" s="171"/>
      <c r="E365" s="172"/>
      <c r="F365" s="172"/>
      <c r="G365" s="171"/>
      <c r="H365" s="172"/>
      <c r="I365" s="171"/>
      <c r="J365" s="173"/>
      <c r="K365" s="173"/>
      <c r="L365" s="173"/>
      <c r="M365" s="173"/>
      <c r="N365" s="174"/>
      <c r="O365" s="171"/>
      <c r="P365" s="172"/>
      <c r="Q365" s="175">
        <f>Q364</f>
        <v>0</v>
      </c>
      <c r="R365" s="175">
        <f>R364</f>
        <v>0</v>
      </c>
      <c r="S365" s="175">
        <f t="shared" ref="S365:CD365" si="200">S364</f>
        <v>0</v>
      </c>
      <c r="T365" s="175">
        <f t="shared" si="200"/>
        <v>0</v>
      </c>
      <c r="U365" s="175">
        <f t="shared" si="200"/>
        <v>0</v>
      </c>
      <c r="V365" s="175">
        <f t="shared" si="200"/>
        <v>0</v>
      </c>
      <c r="W365" s="175">
        <f t="shared" si="200"/>
        <v>0</v>
      </c>
      <c r="X365" s="175">
        <f t="shared" si="200"/>
        <v>0</v>
      </c>
      <c r="Y365" s="175">
        <f t="shared" si="200"/>
        <v>0</v>
      </c>
      <c r="Z365" s="175">
        <f t="shared" si="200"/>
        <v>0</v>
      </c>
      <c r="AA365" s="175">
        <f t="shared" si="200"/>
        <v>0</v>
      </c>
      <c r="AB365" s="175">
        <f t="shared" si="200"/>
        <v>0</v>
      </c>
      <c r="AC365" s="175">
        <f t="shared" si="200"/>
        <v>0</v>
      </c>
      <c r="AD365" s="175">
        <f t="shared" si="200"/>
        <v>0</v>
      </c>
      <c r="AE365" s="175">
        <f t="shared" si="200"/>
        <v>0</v>
      </c>
      <c r="AF365" s="175">
        <f t="shared" si="200"/>
        <v>0</v>
      </c>
      <c r="AG365" s="175">
        <f t="shared" si="200"/>
        <v>0</v>
      </c>
      <c r="AH365" s="175">
        <f t="shared" si="200"/>
        <v>0</v>
      </c>
      <c r="AI365" s="175">
        <f t="shared" si="200"/>
        <v>0</v>
      </c>
      <c r="AJ365" s="175">
        <f t="shared" si="200"/>
        <v>0</v>
      </c>
      <c r="AK365" s="175">
        <f t="shared" si="200"/>
        <v>0</v>
      </c>
      <c r="AL365" s="175">
        <f t="shared" si="200"/>
        <v>0</v>
      </c>
      <c r="AM365" s="175">
        <f t="shared" si="200"/>
        <v>0</v>
      </c>
      <c r="AN365" s="175">
        <f t="shared" si="200"/>
        <v>0</v>
      </c>
      <c r="AO365" s="175">
        <f t="shared" si="200"/>
        <v>0</v>
      </c>
      <c r="AP365" s="175">
        <f t="shared" si="200"/>
        <v>0</v>
      </c>
      <c r="AQ365" s="175">
        <f t="shared" si="200"/>
        <v>0</v>
      </c>
      <c r="AR365" s="175">
        <f t="shared" si="200"/>
        <v>0</v>
      </c>
      <c r="AS365" s="175">
        <f t="shared" si="200"/>
        <v>0</v>
      </c>
      <c r="AT365" s="175">
        <f t="shared" si="200"/>
        <v>0</v>
      </c>
      <c r="AU365" s="175">
        <f t="shared" si="200"/>
        <v>0</v>
      </c>
      <c r="AV365" s="175">
        <f t="shared" si="200"/>
        <v>0</v>
      </c>
      <c r="AW365" s="175">
        <f t="shared" si="200"/>
        <v>0</v>
      </c>
      <c r="AX365" s="175">
        <f t="shared" si="200"/>
        <v>0</v>
      </c>
      <c r="AY365" s="175">
        <f t="shared" si="200"/>
        <v>0</v>
      </c>
      <c r="AZ365" s="175">
        <f t="shared" si="200"/>
        <v>0</v>
      </c>
      <c r="BA365" s="175">
        <f t="shared" si="200"/>
        <v>0</v>
      </c>
      <c r="BB365" s="175">
        <f t="shared" si="200"/>
        <v>0</v>
      </c>
      <c r="BC365" s="175">
        <f t="shared" si="200"/>
        <v>0</v>
      </c>
      <c r="BD365" s="175">
        <f t="shared" si="200"/>
        <v>0</v>
      </c>
      <c r="BE365" s="175">
        <f t="shared" si="200"/>
        <v>0</v>
      </c>
      <c r="BF365" s="175">
        <f t="shared" si="200"/>
        <v>0</v>
      </c>
      <c r="BG365" s="175">
        <f t="shared" si="200"/>
        <v>0</v>
      </c>
      <c r="BH365" s="175">
        <f t="shared" si="200"/>
        <v>0</v>
      </c>
      <c r="BI365" s="175">
        <f t="shared" si="200"/>
        <v>0</v>
      </c>
      <c r="BJ365" s="175">
        <f t="shared" si="200"/>
        <v>0</v>
      </c>
      <c r="BK365" s="175">
        <f t="shared" si="200"/>
        <v>0</v>
      </c>
      <c r="BL365" s="175">
        <f t="shared" si="200"/>
        <v>0</v>
      </c>
      <c r="BM365" s="175">
        <f t="shared" si="200"/>
        <v>0</v>
      </c>
      <c r="BN365" s="175">
        <f t="shared" si="200"/>
        <v>0</v>
      </c>
      <c r="BO365" s="175">
        <f t="shared" si="200"/>
        <v>0</v>
      </c>
      <c r="BP365" s="175">
        <f t="shared" si="200"/>
        <v>0</v>
      </c>
      <c r="BQ365" s="175">
        <f t="shared" si="200"/>
        <v>0</v>
      </c>
      <c r="BR365" s="175">
        <f t="shared" si="200"/>
        <v>0</v>
      </c>
      <c r="BS365" s="175">
        <f t="shared" si="200"/>
        <v>0</v>
      </c>
      <c r="BT365" s="175">
        <f t="shared" si="200"/>
        <v>0</v>
      </c>
      <c r="BU365" s="175">
        <f t="shared" si="200"/>
        <v>0</v>
      </c>
      <c r="BV365" s="175">
        <f t="shared" si="200"/>
        <v>0</v>
      </c>
      <c r="BW365" s="175">
        <f t="shared" si="200"/>
        <v>0</v>
      </c>
      <c r="BX365" s="175">
        <f t="shared" si="200"/>
        <v>0</v>
      </c>
      <c r="BY365" s="175">
        <f t="shared" si="200"/>
        <v>0</v>
      </c>
      <c r="BZ365" s="175">
        <f t="shared" si="200"/>
        <v>0</v>
      </c>
      <c r="CA365" s="175">
        <f t="shared" si="200"/>
        <v>0</v>
      </c>
      <c r="CB365" s="175">
        <f t="shared" si="200"/>
        <v>0</v>
      </c>
      <c r="CC365" s="175">
        <f t="shared" si="200"/>
        <v>0</v>
      </c>
      <c r="CD365" s="175">
        <f t="shared" si="200"/>
        <v>0</v>
      </c>
      <c r="CE365" s="175">
        <f t="shared" ref="CE365:CS365" si="201">CE364</f>
        <v>2239039539</v>
      </c>
      <c r="CF365" s="175">
        <f t="shared" si="201"/>
        <v>1447468237</v>
      </c>
      <c r="CG365" s="175">
        <f t="shared" si="201"/>
        <v>1404439937</v>
      </c>
      <c r="CH365" s="175">
        <f t="shared" si="201"/>
        <v>0</v>
      </c>
      <c r="CI365" s="175">
        <f t="shared" si="201"/>
        <v>0</v>
      </c>
      <c r="CJ365" s="175">
        <f t="shared" si="201"/>
        <v>0</v>
      </c>
      <c r="CK365" s="175">
        <f t="shared" si="201"/>
        <v>0</v>
      </c>
      <c r="CL365" s="175">
        <f t="shared" si="201"/>
        <v>0</v>
      </c>
      <c r="CM365" s="175">
        <f t="shared" si="201"/>
        <v>0</v>
      </c>
      <c r="CN365" s="175">
        <f t="shared" si="201"/>
        <v>0</v>
      </c>
      <c r="CO365" s="175">
        <f t="shared" si="201"/>
        <v>0</v>
      </c>
      <c r="CP365" s="175">
        <f t="shared" si="201"/>
        <v>0</v>
      </c>
      <c r="CQ365" s="175">
        <f t="shared" si="201"/>
        <v>0</v>
      </c>
      <c r="CR365" s="175">
        <f t="shared" si="201"/>
        <v>0</v>
      </c>
      <c r="CS365" s="175">
        <f t="shared" si="201"/>
        <v>0</v>
      </c>
      <c r="CT365" s="878">
        <f>CT364</f>
        <v>2239039539</v>
      </c>
      <c r="CU365" s="756">
        <f>CU364</f>
        <v>1447468237</v>
      </c>
      <c r="CV365" s="756">
        <f>CV364</f>
        <v>1404439937</v>
      </c>
    </row>
    <row r="366" spans="1:100" s="27" customFormat="1" ht="15" x14ac:dyDescent="0.25">
      <c r="A366" s="176"/>
      <c r="B366" s="177"/>
      <c r="C366" s="949"/>
      <c r="D366" s="177"/>
      <c r="E366" s="949"/>
      <c r="F366" s="949"/>
      <c r="G366" s="177"/>
      <c r="H366" s="949"/>
      <c r="I366" s="177"/>
      <c r="J366" s="178"/>
      <c r="K366" s="178"/>
      <c r="L366" s="178"/>
      <c r="M366" s="178"/>
      <c r="N366" s="179"/>
      <c r="O366" s="177"/>
      <c r="P366" s="949"/>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1"/>
      <c r="BH366" s="181"/>
      <c r="BI366" s="181"/>
      <c r="BJ366" s="181"/>
      <c r="BK366" s="181"/>
      <c r="BL366" s="181"/>
      <c r="BM366" s="181"/>
      <c r="BN366" s="181"/>
      <c r="BO366" s="181"/>
      <c r="BP366" s="181"/>
      <c r="BQ366" s="181"/>
      <c r="BR366" s="181"/>
      <c r="BS366" s="181"/>
      <c r="BT366" s="181"/>
      <c r="BU366" s="181"/>
      <c r="BV366" s="181"/>
      <c r="BW366" s="181"/>
      <c r="BX366" s="181"/>
      <c r="BY366" s="180"/>
      <c r="BZ366" s="180"/>
      <c r="CA366" s="180"/>
      <c r="CB366" s="180"/>
      <c r="CC366" s="180"/>
      <c r="CD366" s="180"/>
      <c r="CE366" s="182"/>
      <c r="CF366" s="182"/>
      <c r="CG366" s="182"/>
      <c r="CH366" s="183"/>
      <c r="CI366" s="183"/>
      <c r="CJ366" s="183"/>
      <c r="CK366" s="180"/>
      <c r="CL366" s="180"/>
      <c r="CM366" s="180"/>
      <c r="CN366" s="180"/>
      <c r="CO366" s="180"/>
      <c r="CP366" s="180"/>
      <c r="CQ366" s="180"/>
      <c r="CR366" s="180"/>
      <c r="CS366" s="180"/>
      <c r="CT366" s="737"/>
      <c r="CU366" s="757"/>
      <c r="CV366" s="757"/>
    </row>
    <row r="367" spans="1:100" ht="20.25" x14ac:dyDescent="0.25">
      <c r="A367" s="134" t="s">
        <v>447</v>
      </c>
      <c r="B367" s="135"/>
      <c r="C367" s="136"/>
      <c r="D367" s="135"/>
      <c r="E367" s="135"/>
      <c r="F367" s="135"/>
      <c r="G367" s="135"/>
      <c r="H367" s="136"/>
      <c r="I367" s="135"/>
      <c r="J367" s="135"/>
      <c r="K367" s="135"/>
      <c r="L367" s="135"/>
      <c r="M367" s="135"/>
      <c r="N367" s="675"/>
      <c r="O367" s="135"/>
      <c r="P367" s="136"/>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5"/>
      <c r="BR367" s="135"/>
      <c r="BS367" s="135"/>
      <c r="BT367" s="135"/>
      <c r="BU367" s="135"/>
      <c r="BV367" s="135"/>
      <c r="BW367" s="135"/>
      <c r="BX367" s="135"/>
      <c r="BY367" s="135"/>
      <c r="BZ367" s="135"/>
      <c r="CA367" s="135"/>
      <c r="CB367" s="135"/>
      <c r="CC367" s="135"/>
      <c r="CD367" s="135"/>
      <c r="CE367" s="137"/>
      <c r="CF367" s="137"/>
      <c r="CG367" s="137"/>
      <c r="CH367" s="138"/>
      <c r="CI367" s="138"/>
      <c r="CJ367" s="138"/>
      <c r="CK367" s="135"/>
      <c r="CL367" s="135"/>
      <c r="CM367" s="135"/>
      <c r="CN367" s="135"/>
      <c r="CO367" s="135"/>
      <c r="CP367" s="135"/>
      <c r="CQ367" s="135"/>
      <c r="CR367" s="135"/>
      <c r="CS367" s="135"/>
      <c r="CT367" s="566" t="s">
        <v>0</v>
      </c>
      <c r="CU367" s="566" t="s">
        <v>0</v>
      </c>
      <c r="CV367" s="566" t="s">
        <v>0</v>
      </c>
    </row>
    <row r="368" spans="1:100" ht="15" x14ac:dyDescent="0.25">
      <c r="A368" s="139">
        <v>3</v>
      </c>
      <c r="B368" s="140" t="s">
        <v>239</v>
      </c>
      <c r="C368" s="141"/>
      <c r="D368" s="140"/>
      <c r="E368" s="140"/>
      <c r="F368" s="140"/>
      <c r="G368" s="140"/>
      <c r="H368" s="141"/>
      <c r="I368" s="140"/>
      <c r="J368" s="140"/>
      <c r="K368" s="140"/>
      <c r="L368" s="140"/>
      <c r="M368" s="140"/>
      <c r="N368" s="676"/>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2"/>
      <c r="CF368" s="142"/>
      <c r="CG368" s="142"/>
      <c r="CH368" s="140"/>
      <c r="CI368" s="140"/>
      <c r="CJ368" s="140"/>
      <c r="CK368" s="140"/>
      <c r="CL368" s="140"/>
      <c r="CM368" s="140"/>
      <c r="CN368" s="140"/>
      <c r="CO368" s="140"/>
      <c r="CP368" s="140"/>
      <c r="CQ368" s="140"/>
      <c r="CR368" s="140"/>
      <c r="CS368" s="140"/>
      <c r="CT368" s="540"/>
      <c r="CU368" s="540"/>
      <c r="CV368" s="540"/>
    </row>
    <row r="369" spans="1:101" ht="15" x14ac:dyDescent="0.25">
      <c r="A369" s="185"/>
      <c r="B369" s="239">
        <v>5</v>
      </c>
      <c r="C369" s="145" t="s">
        <v>448</v>
      </c>
      <c r="D369" s="146"/>
      <c r="E369" s="146"/>
      <c r="F369" s="146"/>
      <c r="G369" s="146"/>
      <c r="H369" s="147"/>
      <c r="I369" s="146"/>
      <c r="J369" s="146"/>
      <c r="K369" s="146"/>
      <c r="L369" s="146"/>
      <c r="M369" s="146"/>
      <c r="N369" s="677"/>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c r="BI369" s="146"/>
      <c r="BJ369" s="146"/>
      <c r="BK369" s="146"/>
      <c r="BL369" s="146"/>
      <c r="BM369" s="146"/>
      <c r="BN369" s="146"/>
      <c r="BO369" s="146"/>
      <c r="BP369" s="146"/>
      <c r="BQ369" s="146"/>
      <c r="BR369" s="146"/>
      <c r="BS369" s="146"/>
      <c r="BT369" s="146"/>
      <c r="BU369" s="146"/>
      <c r="BV369" s="146"/>
      <c r="BW369" s="146"/>
      <c r="BX369" s="146"/>
      <c r="BY369" s="146"/>
      <c r="BZ369" s="146"/>
      <c r="CA369" s="146"/>
      <c r="CB369" s="146"/>
      <c r="CC369" s="146"/>
      <c r="CD369" s="146"/>
      <c r="CE369" s="148"/>
      <c r="CF369" s="148"/>
      <c r="CG369" s="148"/>
      <c r="CH369" s="146"/>
      <c r="CI369" s="146"/>
      <c r="CJ369" s="146"/>
      <c r="CK369" s="146"/>
      <c r="CL369" s="146"/>
      <c r="CM369" s="146"/>
      <c r="CN369" s="146"/>
      <c r="CO369" s="146"/>
      <c r="CP369" s="146"/>
      <c r="CQ369" s="146"/>
      <c r="CR369" s="146"/>
      <c r="CS369" s="146"/>
      <c r="CT369" s="674"/>
      <c r="CU369" s="674"/>
      <c r="CV369" s="526"/>
    </row>
    <row r="370" spans="1:101" ht="15" x14ac:dyDescent="0.25">
      <c r="A370" s="19"/>
      <c r="B370" s="185"/>
      <c r="C370" s="949"/>
      <c r="D370" s="177"/>
      <c r="E370" s="949"/>
      <c r="F370" s="927"/>
      <c r="G370" s="339">
        <v>16</v>
      </c>
      <c r="H370" s="189" t="s">
        <v>449</v>
      </c>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c r="BY370" s="189"/>
      <c r="BZ370" s="189"/>
      <c r="CA370" s="189"/>
      <c r="CB370" s="189"/>
      <c r="CC370" s="189"/>
      <c r="CD370" s="189"/>
      <c r="CE370" s="190"/>
      <c r="CF370" s="190"/>
      <c r="CG370" s="190"/>
      <c r="CH370" s="189"/>
      <c r="CI370" s="189"/>
      <c r="CJ370" s="189"/>
      <c r="CK370" s="189"/>
      <c r="CL370" s="189"/>
      <c r="CM370" s="189"/>
      <c r="CN370" s="189"/>
      <c r="CO370" s="189"/>
      <c r="CP370" s="189"/>
      <c r="CQ370" s="189"/>
      <c r="CR370" s="189"/>
      <c r="CS370" s="189"/>
      <c r="CT370" s="673"/>
      <c r="CU370" s="673"/>
      <c r="CV370" s="522"/>
    </row>
    <row r="371" spans="1:101" s="27" customFormat="1" ht="75" customHeight="1" x14ac:dyDescent="0.25">
      <c r="A371" s="19"/>
      <c r="B371" s="19"/>
      <c r="C371" s="927">
        <v>15</v>
      </c>
      <c r="D371" s="928" t="s">
        <v>450</v>
      </c>
      <c r="E371" s="83">
        <v>0.73229999999999995</v>
      </c>
      <c r="F371" s="83">
        <v>0.78</v>
      </c>
      <c r="G371" s="22"/>
      <c r="H371" s="929">
        <v>65</v>
      </c>
      <c r="I371" s="928" t="s">
        <v>451</v>
      </c>
      <c r="J371" s="56">
        <v>1</v>
      </c>
      <c r="K371" s="56">
        <v>1</v>
      </c>
      <c r="L371" s="56">
        <v>1</v>
      </c>
      <c r="M371" s="1131" t="s">
        <v>452</v>
      </c>
      <c r="N371" s="1017" t="s">
        <v>453</v>
      </c>
      <c r="O371" s="1012" t="s">
        <v>454</v>
      </c>
      <c r="P371" s="929" t="s">
        <v>38</v>
      </c>
      <c r="Q371" s="25">
        <v>0</v>
      </c>
      <c r="R371" s="25"/>
      <c r="S371" s="25"/>
      <c r="T371" s="25">
        <v>0</v>
      </c>
      <c r="U371" s="25"/>
      <c r="V371" s="25"/>
      <c r="W371" s="25">
        <v>0</v>
      </c>
      <c r="X371" s="25"/>
      <c r="Y371" s="25"/>
      <c r="Z371" s="25">
        <v>0</v>
      </c>
      <c r="AA371" s="25"/>
      <c r="AB371" s="25"/>
      <c r="AC371" s="25">
        <v>0</v>
      </c>
      <c r="AD371" s="25"/>
      <c r="AE371" s="25"/>
      <c r="AF371" s="25">
        <v>0</v>
      </c>
      <c r="AG371" s="26"/>
      <c r="AH371" s="26"/>
      <c r="AI371" s="9">
        <v>2112605582</v>
      </c>
      <c r="AJ371" s="9">
        <v>2112605582</v>
      </c>
      <c r="AK371" s="9">
        <v>2112605582</v>
      </c>
      <c r="AL371" s="25"/>
      <c r="AM371" s="25"/>
      <c r="AN371" s="25"/>
      <c r="AO371" s="25"/>
      <c r="AP371" s="25"/>
      <c r="AQ371" s="25"/>
      <c r="AR371" s="25"/>
      <c r="AS371" s="25"/>
      <c r="AT371" s="25"/>
      <c r="AU371" s="25">
        <v>0</v>
      </c>
      <c r="AV371" s="25"/>
      <c r="AW371" s="25"/>
      <c r="AX371" s="25"/>
      <c r="AY371" s="25"/>
      <c r="AZ371" s="25"/>
      <c r="BA371" s="25">
        <v>0</v>
      </c>
      <c r="BB371" s="25"/>
      <c r="BC371" s="25"/>
      <c r="BD371" s="25">
        <v>0</v>
      </c>
      <c r="BE371" s="25"/>
      <c r="BF371" s="25"/>
      <c r="BG371" s="25"/>
      <c r="BH371" s="25"/>
      <c r="BI371" s="25"/>
      <c r="BJ371" s="25"/>
      <c r="BK371" s="25"/>
      <c r="BL371" s="25"/>
      <c r="BM371" s="25"/>
      <c r="BN371" s="25"/>
      <c r="BO371" s="25"/>
      <c r="BP371" s="25">
        <v>6431354</v>
      </c>
      <c r="BQ371" s="25">
        <v>6336943</v>
      </c>
      <c r="BR371" s="25">
        <v>6336943</v>
      </c>
      <c r="BS371" s="25"/>
      <c r="BT371" s="25"/>
      <c r="BU371" s="25"/>
      <c r="BV371" s="25"/>
      <c r="BW371" s="25"/>
      <c r="BX371" s="25"/>
      <c r="BY371" s="25">
        <v>0</v>
      </c>
      <c r="BZ371" s="25"/>
      <c r="CA371" s="25"/>
      <c r="CB371" s="25">
        <v>0</v>
      </c>
      <c r="CC371" s="25"/>
      <c r="CD371" s="25"/>
      <c r="CE371" s="692">
        <v>3949108426</v>
      </c>
      <c r="CF371" s="720">
        <v>3606453547</v>
      </c>
      <c r="CG371" s="720">
        <v>3392430613</v>
      </c>
      <c r="CH371" s="9"/>
      <c r="CI371" s="9"/>
      <c r="CJ371" s="9"/>
      <c r="CK371" s="25"/>
      <c r="CL371" s="84"/>
      <c r="CM371" s="84"/>
      <c r="CN371" s="84">
        <v>0</v>
      </c>
      <c r="CO371" s="84"/>
      <c r="CP371" s="84"/>
      <c r="CQ371" s="84"/>
      <c r="CR371" s="84"/>
      <c r="CS371" s="84"/>
      <c r="CT371" s="25">
        <f t="shared" ref="CT371:CV373" si="202">Q371+T371+W371+Z371+AC371+AF371+AI371+AL371+AO371+AR371+AU371+AX371+BA371+BD371+BG371+BJ371+BM371+BP371+BS371+BV371+BY371+CB371+CE371+CH371+CK371+CQ371+CN371</f>
        <v>6068145362</v>
      </c>
      <c r="CU371" s="25">
        <f t="shared" si="202"/>
        <v>5725396072</v>
      </c>
      <c r="CV371" s="25">
        <f t="shared" si="202"/>
        <v>5511373138</v>
      </c>
    </row>
    <row r="372" spans="1:101" s="27" customFormat="1" ht="66.75" customHeight="1" x14ac:dyDescent="0.25">
      <c r="A372" s="19"/>
      <c r="B372" s="19"/>
      <c r="C372" s="927">
        <v>19</v>
      </c>
      <c r="D372" s="928" t="s">
        <v>455</v>
      </c>
      <c r="E372" s="83" t="s">
        <v>456</v>
      </c>
      <c r="F372" s="83" t="s">
        <v>457</v>
      </c>
      <c r="G372" s="28"/>
      <c r="H372" s="929">
        <v>66</v>
      </c>
      <c r="I372" s="928" t="s">
        <v>458</v>
      </c>
      <c r="J372" s="56">
        <v>1</v>
      </c>
      <c r="K372" s="56">
        <v>1</v>
      </c>
      <c r="L372" s="56">
        <v>1</v>
      </c>
      <c r="M372" s="1132"/>
      <c r="N372" s="1018"/>
      <c r="O372" s="1020"/>
      <c r="P372" s="929" t="s">
        <v>38</v>
      </c>
      <c r="Q372" s="25"/>
      <c r="R372" s="25"/>
      <c r="S372" s="25"/>
      <c r="T372" s="25"/>
      <c r="U372" s="25"/>
      <c r="V372" s="25"/>
      <c r="W372" s="25"/>
      <c r="X372" s="25"/>
      <c r="Y372" s="25"/>
      <c r="Z372" s="25"/>
      <c r="AA372" s="25"/>
      <c r="AB372" s="25"/>
      <c r="AC372" s="25"/>
      <c r="AD372" s="25"/>
      <c r="AE372" s="25"/>
      <c r="AF372" s="25"/>
      <c r="AG372" s="26"/>
      <c r="AH372" s="26"/>
      <c r="AI372" s="9">
        <v>1941757959</v>
      </c>
      <c r="AJ372" s="9">
        <v>1254185183</v>
      </c>
      <c r="AK372" s="9">
        <v>1186774267</v>
      </c>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128">
        <f>171253920-171253920</f>
        <v>0</v>
      </c>
      <c r="BK372" s="128">
        <f>171253920-171253920</f>
        <v>0</v>
      </c>
      <c r="BL372" s="128">
        <f>171253920-171253920</f>
        <v>0</v>
      </c>
      <c r="BM372" s="85"/>
      <c r="BN372" s="85"/>
      <c r="BO372" s="85"/>
      <c r="BP372" s="25"/>
      <c r="BQ372" s="25"/>
      <c r="BR372" s="25"/>
      <c r="BS372" s="25"/>
      <c r="BT372" s="25"/>
      <c r="BU372" s="25"/>
      <c r="BV372" s="25"/>
      <c r="BW372" s="25"/>
      <c r="BX372" s="25"/>
      <c r="BY372" s="25">
        <f>6483182568+372763406+76101858+1170998773+736918016+171253920</f>
        <v>9011218541</v>
      </c>
      <c r="BZ372" s="25">
        <f>7734107022+171253920</f>
        <v>7905360942</v>
      </c>
      <c r="CA372" s="25">
        <f>7734107022+171253920</f>
        <v>7905360942</v>
      </c>
      <c r="CB372" s="25"/>
      <c r="CC372" s="25"/>
      <c r="CD372" s="25"/>
      <c r="CE372" s="692">
        <v>144291779</v>
      </c>
      <c r="CF372" s="720">
        <v>144291779</v>
      </c>
      <c r="CG372" s="720">
        <v>144291779</v>
      </c>
      <c r="CH372" s="9"/>
      <c r="CI372" s="9"/>
      <c r="CJ372" s="9"/>
      <c r="CK372" s="25"/>
      <c r="CL372" s="26"/>
      <c r="CM372" s="26"/>
      <c r="CN372" s="26"/>
      <c r="CO372" s="26"/>
      <c r="CP372" s="26"/>
      <c r="CQ372" s="26"/>
      <c r="CR372" s="26"/>
      <c r="CS372" s="26"/>
      <c r="CT372" s="886">
        <f t="shared" si="202"/>
        <v>11097268279</v>
      </c>
      <c r="CU372" s="886">
        <f t="shared" si="202"/>
        <v>9303837904</v>
      </c>
      <c r="CV372" s="886">
        <f t="shared" si="202"/>
        <v>9236426988</v>
      </c>
      <c r="CW372" s="996"/>
    </row>
    <row r="373" spans="1:101" s="27" customFormat="1" ht="70.5" customHeight="1" x14ac:dyDescent="0.25">
      <c r="A373" s="19"/>
      <c r="B373" s="19"/>
      <c r="C373" s="927">
        <v>14</v>
      </c>
      <c r="D373" s="86" t="s">
        <v>459</v>
      </c>
      <c r="E373" s="83">
        <v>6.2E-2</v>
      </c>
      <c r="F373" s="83">
        <v>0.03</v>
      </c>
      <c r="G373" s="28"/>
      <c r="H373" s="929">
        <v>67</v>
      </c>
      <c r="I373" s="928" t="s">
        <v>460</v>
      </c>
      <c r="J373" s="56">
        <v>1</v>
      </c>
      <c r="K373" s="56">
        <v>1</v>
      </c>
      <c r="L373" s="56">
        <v>1</v>
      </c>
      <c r="M373" s="1133"/>
      <c r="N373" s="1019"/>
      <c r="O373" s="1013"/>
      <c r="P373" s="929" t="s">
        <v>38</v>
      </c>
      <c r="Q373" s="25"/>
      <c r="R373" s="25"/>
      <c r="S373" s="25"/>
      <c r="T373" s="25"/>
      <c r="U373" s="25"/>
      <c r="V373" s="25"/>
      <c r="W373" s="25"/>
      <c r="X373" s="25"/>
      <c r="Y373" s="25"/>
      <c r="Z373" s="25"/>
      <c r="AA373" s="25"/>
      <c r="AB373" s="25"/>
      <c r="AC373" s="25"/>
      <c r="AD373" s="25"/>
      <c r="AE373" s="25"/>
      <c r="AF373" s="25"/>
      <c r="AG373" s="26"/>
      <c r="AH373" s="26"/>
      <c r="AI373" s="9">
        <v>1398986700</v>
      </c>
      <c r="AJ373" s="9">
        <v>1041643900</v>
      </c>
      <c r="AK373" s="9">
        <v>994920199</v>
      </c>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692"/>
      <c r="CF373" s="720"/>
      <c r="CG373" s="720"/>
      <c r="CH373" s="9"/>
      <c r="CI373" s="9"/>
      <c r="CJ373" s="9"/>
      <c r="CK373" s="25"/>
      <c r="CL373" s="26"/>
      <c r="CM373" s="26"/>
      <c r="CN373" s="26"/>
      <c r="CO373" s="26"/>
      <c r="CP373" s="26"/>
      <c r="CQ373" s="26"/>
      <c r="CR373" s="26"/>
      <c r="CS373" s="26"/>
      <c r="CT373" s="25">
        <f t="shared" si="202"/>
        <v>1398986700</v>
      </c>
      <c r="CU373" s="25">
        <f t="shared" si="202"/>
        <v>1041643900</v>
      </c>
      <c r="CV373" s="25">
        <f t="shared" si="202"/>
        <v>994920199</v>
      </c>
    </row>
    <row r="374" spans="1:101" ht="15" x14ac:dyDescent="0.25">
      <c r="A374" s="19"/>
      <c r="B374" s="19"/>
      <c r="C374" s="927"/>
      <c r="D374" s="153"/>
      <c r="E374" s="83"/>
      <c r="F374" s="83"/>
      <c r="G374" s="154"/>
      <c r="H374" s="155"/>
      <c r="I374" s="154"/>
      <c r="J374" s="396"/>
      <c r="K374" s="396"/>
      <c r="L374" s="397"/>
      <c r="M374" s="396"/>
      <c r="N374" s="157"/>
      <c r="O374" s="154"/>
      <c r="P374" s="155"/>
      <c r="Q374" s="158">
        <f>SUM(Q371:Q373)</f>
        <v>0</v>
      </c>
      <c r="R374" s="158">
        <f t="shared" ref="R374:CC374" si="203">SUM(R371:R373)</f>
        <v>0</v>
      </c>
      <c r="S374" s="158">
        <f t="shared" si="203"/>
        <v>0</v>
      </c>
      <c r="T374" s="158">
        <f t="shared" si="203"/>
        <v>0</v>
      </c>
      <c r="U374" s="158">
        <f t="shared" si="203"/>
        <v>0</v>
      </c>
      <c r="V374" s="158">
        <f t="shared" si="203"/>
        <v>0</v>
      </c>
      <c r="W374" s="158">
        <f t="shared" si="203"/>
        <v>0</v>
      </c>
      <c r="X374" s="158">
        <f t="shared" si="203"/>
        <v>0</v>
      </c>
      <c r="Y374" s="158">
        <f t="shared" si="203"/>
        <v>0</v>
      </c>
      <c r="Z374" s="158">
        <f t="shared" si="203"/>
        <v>0</v>
      </c>
      <c r="AA374" s="158">
        <f t="shared" si="203"/>
        <v>0</v>
      </c>
      <c r="AB374" s="158">
        <f t="shared" si="203"/>
        <v>0</v>
      </c>
      <c r="AC374" s="158">
        <f t="shared" si="203"/>
        <v>0</v>
      </c>
      <c r="AD374" s="158">
        <f t="shared" si="203"/>
        <v>0</v>
      </c>
      <c r="AE374" s="158">
        <f t="shared" si="203"/>
        <v>0</v>
      </c>
      <c r="AF374" s="158">
        <f t="shared" si="203"/>
        <v>0</v>
      </c>
      <c r="AG374" s="158">
        <f t="shared" si="203"/>
        <v>0</v>
      </c>
      <c r="AH374" s="158">
        <f t="shared" si="203"/>
        <v>0</v>
      </c>
      <c r="AI374" s="158">
        <f t="shared" si="203"/>
        <v>5453350241</v>
      </c>
      <c r="AJ374" s="158">
        <f t="shared" si="203"/>
        <v>4408434665</v>
      </c>
      <c r="AK374" s="158">
        <f t="shared" si="203"/>
        <v>4294300048</v>
      </c>
      <c r="AL374" s="158">
        <f t="shared" si="203"/>
        <v>0</v>
      </c>
      <c r="AM374" s="158">
        <f t="shared" si="203"/>
        <v>0</v>
      </c>
      <c r="AN374" s="158">
        <f t="shared" si="203"/>
        <v>0</v>
      </c>
      <c r="AO374" s="158">
        <f t="shared" si="203"/>
        <v>0</v>
      </c>
      <c r="AP374" s="158">
        <f t="shared" si="203"/>
        <v>0</v>
      </c>
      <c r="AQ374" s="158">
        <f t="shared" si="203"/>
        <v>0</v>
      </c>
      <c r="AR374" s="158">
        <f t="shared" si="203"/>
        <v>0</v>
      </c>
      <c r="AS374" s="158">
        <f t="shared" si="203"/>
        <v>0</v>
      </c>
      <c r="AT374" s="158">
        <f t="shared" si="203"/>
        <v>0</v>
      </c>
      <c r="AU374" s="158">
        <f t="shared" si="203"/>
        <v>0</v>
      </c>
      <c r="AV374" s="158">
        <f t="shared" si="203"/>
        <v>0</v>
      </c>
      <c r="AW374" s="158">
        <f t="shared" si="203"/>
        <v>0</v>
      </c>
      <c r="AX374" s="158">
        <f t="shared" si="203"/>
        <v>0</v>
      </c>
      <c r="AY374" s="158">
        <f t="shared" si="203"/>
        <v>0</v>
      </c>
      <c r="AZ374" s="158">
        <f t="shared" si="203"/>
        <v>0</v>
      </c>
      <c r="BA374" s="158">
        <f t="shared" si="203"/>
        <v>0</v>
      </c>
      <c r="BB374" s="158">
        <f t="shared" si="203"/>
        <v>0</v>
      </c>
      <c r="BC374" s="158">
        <f t="shared" si="203"/>
        <v>0</v>
      </c>
      <c r="BD374" s="158">
        <f t="shared" si="203"/>
        <v>0</v>
      </c>
      <c r="BE374" s="158">
        <f t="shared" si="203"/>
        <v>0</v>
      </c>
      <c r="BF374" s="158">
        <f t="shared" si="203"/>
        <v>0</v>
      </c>
      <c r="BG374" s="158">
        <f t="shared" si="203"/>
        <v>0</v>
      </c>
      <c r="BH374" s="158">
        <f t="shared" si="203"/>
        <v>0</v>
      </c>
      <c r="BI374" s="158">
        <f t="shared" si="203"/>
        <v>0</v>
      </c>
      <c r="BJ374" s="158">
        <f t="shared" si="203"/>
        <v>0</v>
      </c>
      <c r="BK374" s="158">
        <f t="shared" si="203"/>
        <v>0</v>
      </c>
      <c r="BL374" s="158">
        <f t="shared" si="203"/>
        <v>0</v>
      </c>
      <c r="BM374" s="158">
        <f t="shared" si="203"/>
        <v>0</v>
      </c>
      <c r="BN374" s="158">
        <f t="shared" si="203"/>
        <v>0</v>
      </c>
      <c r="BO374" s="158">
        <f t="shared" si="203"/>
        <v>0</v>
      </c>
      <c r="BP374" s="158">
        <f t="shared" si="203"/>
        <v>6431354</v>
      </c>
      <c r="BQ374" s="158">
        <f t="shared" si="203"/>
        <v>6336943</v>
      </c>
      <c r="BR374" s="158">
        <f t="shared" si="203"/>
        <v>6336943</v>
      </c>
      <c r="BS374" s="158">
        <f t="shared" si="203"/>
        <v>0</v>
      </c>
      <c r="BT374" s="158">
        <f t="shared" si="203"/>
        <v>0</v>
      </c>
      <c r="BU374" s="158">
        <f t="shared" si="203"/>
        <v>0</v>
      </c>
      <c r="BV374" s="158">
        <f t="shared" si="203"/>
        <v>0</v>
      </c>
      <c r="BW374" s="158">
        <f t="shared" si="203"/>
        <v>0</v>
      </c>
      <c r="BX374" s="158">
        <f t="shared" si="203"/>
        <v>0</v>
      </c>
      <c r="BY374" s="158">
        <f t="shared" si="203"/>
        <v>9011218541</v>
      </c>
      <c r="BZ374" s="158">
        <f t="shared" si="203"/>
        <v>7905360942</v>
      </c>
      <c r="CA374" s="158">
        <f t="shared" si="203"/>
        <v>7905360942</v>
      </c>
      <c r="CB374" s="158">
        <f t="shared" si="203"/>
        <v>0</v>
      </c>
      <c r="CC374" s="158">
        <f t="shared" si="203"/>
        <v>0</v>
      </c>
      <c r="CD374" s="158">
        <f t="shared" ref="CD374:CS374" si="204">SUM(CD371:CD373)</f>
        <v>0</v>
      </c>
      <c r="CE374" s="158">
        <f t="shared" si="204"/>
        <v>4093400205</v>
      </c>
      <c r="CF374" s="158">
        <f t="shared" si="204"/>
        <v>3750745326</v>
      </c>
      <c r="CG374" s="158">
        <f t="shared" si="204"/>
        <v>3536722392</v>
      </c>
      <c r="CH374" s="158">
        <f t="shared" si="204"/>
        <v>0</v>
      </c>
      <c r="CI374" s="158">
        <f t="shared" si="204"/>
        <v>0</v>
      </c>
      <c r="CJ374" s="158">
        <f t="shared" si="204"/>
        <v>0</v>
      </c>
      <c r="CK374" s="158">
        <f t="shared" si="204"/>
        <v>0</v>
      </c>
      <c r="CL374" s="158">
        <f t="shared" si="204"/>
        <v>0</v>
      </c>
      <c r="CM374" s="158">
        <f t="shared" si="204"/>
        <v>0</v>
      </c>
      <c r="CN374" s="158">
        <f t="shared" si="204"/>
        <v>0</v>
      </c>
      <c r="CO374" s="158">
        <f t="shared" si="204"/>
        <v>0</v>
      </c>
      <c r="CP374" s="158">
        <f t="shared" si="204"/>
        <v>0</v>
      </c>
      <c r="CQ374" s="158">
        <f t="shared" si="204"/>
        <v>0</v>
      </c>
      <c r="CR374" s="158">
        <f t="shared" si="204"/>
        <v>0</v>
      </c>
      <c r="CS374" s="158">
        <f t="shared" si="204"/>
        <v>0</v>
      </c>
      <c r="CT374" s="158">
        <f>SUM(CT371:CT373)</f>
        <v>18564400341</v>
      </c>
      <c r="CU374" s="158">
        <f>SUM(CU371:CU373)</f>
        <v>16070877876</v>
      </c>
      <c r="CV374" s="158">
        <f>SUM(CV371:CV373)</f>
        <v>15742720325</v>
      </c>
    </row>
    <row r="375" spans="1:101" s="27" customFormat="1" ht="15" x14ac:dyDescent="0.25">
      <c r="A375" s="19"/>
      <c r="B375" s="19"/>
      <c r="C375" s="949"/>
      <c r="D375" s="177"/>
      <c r="E375" s="398"/>
      <c r="F375" s="398"/>
      <c r="G375" s="177"/>
      <c r="H375" s="949"/>
      <c r="I375" s="177"/>
      <c r="J375" s="399"/>
      <c r="K375" s="399"/>
      <c r="L375" s="400"/>
      <c r="M375" s="401"/>
      <c r="N375" s="230"/>
      <c r="O375" s="221"/>
      <c r="P375" s="949"/>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1"/>
      <c r="BH375" s="181"/>
      <c r="BI375" s="181"/>
      <c r="BJ375" s="181"/>
      <c r="BK375" s="181"/>
      <c r="BL375" s="181"/>
      <c r="BM375" s="181"/>
      <c r="BN375" s="181"/>
      <c r="BO375" s="181"/>
      <c r="BP375" s="181"/>
      <c r="BQ375" s="181"/>
      <c r="BR375" s="181"/>
      <c r="BS375" s="181"/>
      <c r="BT375" s="181"/>
      <c r="BU375" s="181"/>
      <c r="BV375" s="181"/>
      <c r="BW375" s="181"/>
      <c r="BX375" s="181"/>
      <c r="BY375" s="180"/>
      <c r="BZ375" s="180"/>
      <c r="CA375" s="180"/>
      <c r="CB375" s="180"/>
      <c r="CC375" s="180"/>
      <c r="CD375" s="180"/>
      <c r="CE375" s="182"/>
      <c r="CF375" s="182"/>
      <c r="CG375" s="182"/>
      <c r="CH375" s="183"/>
      <c r="CI375" s="183"/>
      <c r="CJ375" s="183"/>
      <c r="CK375" s="180"/>
      <c r="CL375" s="180"/>
      <c r="CM375" s="180"/>
      <c r="CN375" s="180"/>
      <c r="CO375" s="180"/>
      <c r="CP375" s="180"/>
      <c r="CQ375" s="180"/>
      <c r="CR375" s="180"/>
      <c r="CS375" s="180"/>
      <c r="CT375" s="25"/>
      <c r="CU375" s="76"/>
      <c r="CV375" s="76"/>
    </row>
    <row r="376" spans="1:101" ht="15" x14ac:dyDescent="0.25">
      <c r="A376" s="19"/>
      <c r="B376" s="19"/>
      <c r="C376" s="927"/>
      <c r="D376" s="153"/>
      <c r="E376" s="83"/>
      <c r="F376" s="83"/>
      <c r="G376" s="339">
        <v>17</v>
      </c>
      <c r="H376" s="189" t="s">
        <v>461</v>
      </c>
      <c r="I376" s="189"/>
      <c r="J376" s="189"/>
      <c r="K376" s="189"/>
      <c r="L376" s="189"/>
      <c r="M376" s="189"/>
      <c r="N376" s="189"/>
      <c r="O376" s="189"/>
      <c r="P376" s="189"/>
      <c r="Q376" s="189"/>
      <c r="R376" s="189"/>
      <c r="S376" s="189"/>
      <c r="T376" s="189"/>
      <c r="U376" s="189"/>
      <c r="V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402"/>
      <c r="BH376" s="402"/>
      <c r="BI376" s="402"/>
      <c r="BJ376" s="402"/>
      <c r="BK376" s="402"/>
      <c r="BL376" s="402"/>
      <c r="BM376" s="402"/>
      <c r="BN376" s="402"/>
      <c r="BO376" s="402"/>
      <c r="BP376" s="402"/>
      <c r="BQ376" s="402"/>
      <c r="BR376" s="402"/>
      <c r="BS376" s="402"/>
      <c r="BT376" s="402"/>
      <c r="BU376" s="402"/>
      <c r="BV376" s="402"/>
      <c r="BW376" s="402"/>
      <c r="BX376" s="402"/>
      <c r="BY376" s="402"/>
      <c r="BZ376" s="402"/>
      <c r="CA376" s="402"/>
      <c r="CB376" s="402"/>
      <c r="CC376" s="402"/>
      <c r="CD376" s="402"/>
      <c r="CE376" s="190"/>
      <c r="CF376" s="190"/>
      <c r="CG376" s="190"/>
      <c r="CH376" s="402"/>
      <c r="CI376" s="402"/>
      <c r="CJ376" s="402"/>
      <c r="CK376" s="189"/>
      <c r="CL376" s="189"/>
      <c r="CM376" s="189"/>
      <c r="CN376" s="189"/>
      <c r="CO376" s="189"/>
      <c r="CP376" s="189"/>
      <c r="CQ376" s="189"/>
      <c r="CR376" s="189"/>
      <c r="CS376" s="189"/>
      <c r="CT376" s="522"/>
      <c r="CU376" s="522"/>
      <c r="CV376" s="522"/>
    </row>
    <row r="377" spans="1:101" s="27" customFormat="1" ht="81" customHeight="1" x14ac:dyDescent="0.25">
      <c r="A377" s="19"/>
      <c r="B377" s="19"/>
      <c r="C377" s="927">
        <v>14</v>
      </c>
      <c r="D377" s="86" t="s">
        <v>459</v>
      </c>
      <c r="E377" s="83">
        <v>6.2E-2</v>
      </c>
      <c r="F377" s="83">
        <v>0.03</v>
      </c>
      <c r="G377" s="22"/>
      <c r="H377" s="929">
        <v>68</v>
      </c>
      <c r="I377" s="928" t="s">
        <v>462</v>
      </c>
      <c r="J377" s="56">
        <v>4357</v>
      </c>
      <c r="K377" s="87">
        <v>4500</v>
      </c>
      <c r="L377" s="651">
        <v>3732</v>
      </c>
      <c r="M377" s="1134" t="s">
        <v>452</v>
      </c>
      <c r="N377" s="1017" t="s">
        <v>463</v>
      </c>
      <c r="O377" s="1012" t="s">
        <v>464</v>
      </c>
      <c r="P377" s="929" t="s">
        <v>38</v>
      </c>
      <c r="Q377" s="25">
        <v>0</v>
      </c>
      <c r="R377" s="25"/>
      <c r="S377" s="25"/>
      <c r="T377" s="25">
        <v>0</v>
      </c>
      <c r="U377" s="25"/>
      <c r="V377" s="25"/>
      <c r="W377" s="25">
        <v>0</v>
      </c>
      <c r="X377" s="25"/>
      <c r="Y377" s="25"/>
      <c r="Z377" s="25">
        <v>0</v>
      </c>
      <c r="AA377" s="25"/>
      <c r="AB377" s="25"/>
      <c r="AC377" s="25">
        <v>0</v>
      </c>
      <c r="AD377" s="25"/>
      <c r="AE377" s="25"/>
      <c r="AF377" s="25">
        <v>0</v>
      </c>
      <c r="AG377" s="25"/>
      <c r="AH377" s="25"/>
      <c r="AI377" s="25">
        <v>0</v>
      </c>
      <c r="AJ377" s="25"/>
      <c r="AK377" s="25"/>
      <c r="AL377" s="25"/>
      <c r="AM377" s="25"/>
      <c r="AN377" s="25"/>
      <c r="AO377" s="25"/>
      <c r="AP377" s="25"/>
      <c r="AQ377" s="25"/>
      <c r="AR377" s="25"/>
      <c r="AS377" s="25"/>
      <c r="AT377" s="25"/>
      <c r="AU377" s="25">
        <v>0</v>
      </c>
      <c r="AV377" s="25"/>
      <c r="AW377" s="25"/>
      <c r="AX377" s="25"/>
      <c r="AY377" s="25"/>
      <c r="AZ377" s="25"/>
      <c r="BA377" s="25">
        <v>0</v>
      </c>
      <c r="BB377" s="25"/>
      <c r="BC377" s="25"/>
      <c r="BD377" s="25">
        <v>0</v>
      </c>
      <c r="BE377" s="25"/>
      <c r="BF377" s="25"/>
      <c r="BG377" s="672"/>
      <c r="BH377" s="672"/>
      <c r="BI377" s="672"/>
      <c r="BJ377" s="76"/>
      <c r="BK377" s="76"/>
      <c r="BL377" s="76"/>
      <c r="BM377" s="76"/>
      <c r="BN377" s="76"/>
      <c r="BO377" s="76"/>
      <c r="BP377" s="76"/>
      <c r="BQ377" s="76"/>
      <c r="BR377" s="76"/>
      <c r="BS377" s="76"/>
      <c r="BT377" s="76"/>
      <c r="BU377" s="76"/>
      <c r="BV377" s="76"/>
      <c r="BW377" s="76"/>
      <c r="BX377" s="76"/>
      <c r="BY377" s="25">
        <v>0</v>
      </c>
      <c r="BZ377" s="25"/>
      <c r="CA377" s="25"/>
      <c r="CB377" s="25">
        <v>0</v>
      </c>
      <c r="CC377" s="25"/>
      <c r="CD377" s="25"/>
      <c r="CE377" s="113">
        <v>10000000</v>
      </c>
      <c r="CF377" s="113"/>
      <c r="CG377" s="113"/>
      <c r="CH377" s="40"/>
      <c r="CI377" s="40"/>
      <c r="CJ377" s="40"/>
      <c r="CK377" s="25">
        <v>0</v>
      </c>
      <c r="CL377" s="26"/>
      <c r="CM377" s="26"/>
      <c r="CN377" s="26">
        <v>0</v>
      </c>
      <c r="CO377" s="26"/>
      <c r="CP377" s="26"/>
      <c r="CQ377" s="26"/>
      <c r="CR377" s="26"/>
      <c r="CS377" s="26"/>
      <c r="CT377" s="25">
        <f t="shared" ref="CT377:CV382" si="205">Q377+T377+W377+Z377+AC377+AF377+AI377+AL377+AO377+AR377+AU377+AX377+BA377+BD377+BG377+BJ377+BM377+BP377+BS377+BV377+BY377+CB377+CE377+CH377+CK377+CQ377+CN377</f>
        <v>10000000</v>
      </c>
      <c r="CU377" s="25">
        <f t="shared" si="205"/>
        <v>0</v>
      </c>
      <c r="CV377" s="25">
        <f t="shared" si="205"/>
        <v>0</v>
      </c>
    </row>
    <row r="378" spans="1:101" s="27" customFormat="1" ht="78.75" customHeight="1" x14ac:dyDescent="0.25">
      <c r="A378" s="19"/>
      <c r="B378" s="19"/>
      <c r="C378" s="927">
        <v>15</v>
      </c>
      <c r="D378" s="928" t="s">
        <v>450</v>
      </c>
      <c r="E378" s="83">
        <v>0.73229999999999995</v>
      </c>
      <c r="F378" s="83">
        <v>0.78</v>
      </c>
      <c r="G378" s="28"/>
      <c r="H378" s="929">
        <v>69</v>
      </c>
      <c r="I378" s="928" t="s">
        <v>465</v>
      </c>
      <c r="J378" s="83" t="s">
        <v>30</v>
      </c>
      <c r="K378" s="87">
        <v>1</v>
      </c>
      <c r="L378" s="87">
        <v>1</v>
      </c>
      <c r="M378" s="1135"/>
      <c r="N378" s="1018"/>
      <c r="O378" s="1020"/>
      <c r="P378" s="929" t="s">
        <v>38</v>
      </c>
      <c r="Q378" s="25">
        <v>0</v>
      </c>
      <c r="R378" s="25"/>
      <c r="S378" s="25"/>
      <c r="T378" s="25">
        <v>0</v>
      </c>
      <c r="U378" s="25"/>
      <c r="V378" s="25"/>
      <c r="W378" s="25">
        <v>0</v>
      </c>
      <c r="X378" s="25"/>
      <c r="Y378" s="25"/>
      <c r="Z378" s="25">
        <v>0</v>
      </c>
      <c r="AA378" s="25"/>
      <c r="AB378" s="25"/>
      <c r="AC378" s="25">
        <v>0</v>
      </c>
      <c r="AD378" s="25"/>
      <c r="AE378" s="25"/>
      <c r="AF378" s="25">
        <v>0</v>
      </c>
      <c r="AG378" s="25"/>
      <c r="AH378" s="25"/>
      <c r="AI378" s="25">
        <v>0</v>
      </c>
      <c r="AJ378" s="25"/>
      <c r="AK378" s="25"/>
      <c r="AL378" s="25"/>
      <c r="AM378" s="25"/>
      <c r="AN378" s="25"/>
      <c r="AO378" s="25"/>
      <c r="AP378" s="25"/>
      <c r="AQ378" s="25"/>
      <c r="AR378" s="25"/>
      <c r="AS378" s="25"/>
      <c r="AT378" s="25"/>
      <c r="AU378" s="25">
        <v>0</v>
      </c>
      <c r="AV378" s="25"/>
      <c r="AW378" s="25"/>
      <c r="AX378" s="25"/>
      <c r="AY378" s="25"/>
      <c r="AZ378" s="25"/>
      <c r="BA378" s="25">
        <v>0</v>
      </c>
      <c r="BB378" s="25"/>
      <c r="BC378" s="25"/>
      <c r="BD378" s="25">
        <v>0</v>
      </c>
      <c r="BE378" s="25"/>
      <c r="BF378" s="25"/>
      <c r="BG378" s="76"/>
      <c r="BH378" s="76"/>
      <c r="BI378" s="76"/>
      <c r="BJ378" s="76"/>
      <c r="BK378" s="76"/>
      <c r="BL378" s="76"/>
      <c r="BM378" s="76"/>
      <c r="BN378" s="76"/>
      <c r="BO378" s="76"/>
      <c r="BP378" s="76"/>
      <c r="BQ378" s="76"/>
      <c r="BR378" s="76"/>
      <c r="BS378" s="76"/>
      <c r="BT378" s="76"/>
      <c r="BU378" s="76"/>
      <c r="BV378" s="76"/>
      <c r="BW378" s="76"/>
      <c r="BX378" s="76"/>
      <c r="BY378" s="25">
        <v>0</v>
      </c>
      <c r="BZ378" s="25"/>
      <c r="CA378" s="25"/>
      <c r="CB378" s="25">
        <v>0</v>
      </c>
      <c r="CC378" s="25"/>
      <c r="CD378" s="25"/>
      <c r="CE378" s="113">
        <v>10000000</v>
      </c>
      <c r="CF378" s="113"/>
      <c r="CG378" s="113"/>
      <c r="CH378" s="40"/>
      <c r="CI378" s="40"/>
      <c r="CJ378" s="40"/>
      <c r="CK378" s="25">
        <v>0</v>
      </c>
      <c r="CL378" s="26"/>
      <c r="CM378" s="26"/>
      <c r="CN378" s="26">
        <v>0</v>
      </c>
      <c r="CO378" s="26"/>
      <c r="CP378" s="26"/>
      <c r="CQ378" s="26"/>
      <c r="CR378" s="26"/>
      <c r="CS378" s="26"/>
      <c r="CT378" s="25">
        <f t="shared" si="205"/>
        <v>10000000</v>
      </c>
      <c r="CU378" s="25">
        <f t="shared" si="205"/>
        <v>0</v>
      </c>
      <c r="CV378" s="25">
        <f t="shared" si="205"/>
        <v>0</v>
      </c>
    </row>
    <row r="379" spans="1:101" s="27" customFormat="1" ht="75" customHeight="1" x14ac:dyDescent="0.25">
      <c r="A379" s="19"/>
      <c r="B379" s="19"/>
      <c r="C379" s="927">
        <v>19</v>
      </c>
      <c r="D379" s="928" t="s">
        <v>455</v>
      </c>
      <c r="E379" s="83" t="s">
        <v>466</v>
      </c>
      <c r="F379" s="83" t="s">
        <v>467</v>
      </c>
      <c r="G379" s="28"/>
      <c r="H379" s="929">
        <v>70</v>
      </c>
      <c r="I379" s="928" t="s">
        <v>468</v>
      </c>
      <c r="J379" s="56">
        <v>322</v>
      </c>
      <c r="K379" s="87">
        <v>406</v>
      </c>
      <c r="L379" s="651">
        <v>524</v>
      </c>
      <c r="M379" s="1135"/>
      <c r="N379" s="1018"/>
      <c r="O379" s="1020"/>
      <c r="P379" s="929" t="s">
        <v>34</v>
      </c>
      <c r="Q379" s="25">
        <v>0</v>
      </c>
      <c r="R379" s="25"/>
      <c r="S379" s="25"/>
      <c r="T379" s="25">
        <v>0</v>
      </c>
      <c r="U379" s="25"/>
      <c r="V379" s="25"/>
      <c r="W379" s="25">
        <v>0</v>
      </c>
      <c r="X379" s="25"/>
      <c r="Y379" s="25"/>
      <c r="Z379" s="25">
        <v>0</v>
      </c>
      <c r="AA379" s="25"/>
      <c r="AB379" s="25"/>
      <c r="AC379" s="25">
        <v>0</v>
      </c>
      <c r="AD379" s="25"/>
      <c r="AE379" s="25"/>
      <c r="AF379" s="25">
        <v>0</v>
      </c>
      <c r="AG379" s="25"/>
      <c r="AH379" s="25"/>
      <c r="AI379" s="25">
        <v>0</v>
      </c>
      <c r="AJ379" s="25"/>
      <c r="AK379" s="25"/>
      <c r="AL379" s="25"/>
      <c r="AM379" s="25"/>
      <c r="AN379" s="25"/>
      <c r="AO379" s="25"/>
      <c r="AP379" s="25"/>
      <c r="AQ379" s="25"/>
      <c r="AR379" s="25"/>
      <c r="AS379" s="25"/>
      <c r="AT379" s="25"/>
      <c r="AU379" s="25">
        <v>0</v>
      </c>
      <c r="AV379" s="25"/>
      <c r="AW379" s="25"/>
      <c r="AX379" s="25"/>
      <c r="AY379" s="25"/>
      <c r="AZ379" s="25"/>
      <c r="BA379" s="25">
        <v>0</v>
      </c>
      <c r="BB379" s="25"/>
      <c r="BC379" s="25"/>
      <c r="BD379" s="25">
        <v>0</v>
      </c>
      <c r="BE379" s="25"/>
      <c r="BF379" s="25"/>
      <c r="BG379" s="25"/>
      <c r="BH379" s="25"/>
      <c r="BI379" s="25"/>
      <c r="BJ379" s="25"/>
      <c r="BK379" s="25"/>
      <c r="BL379" s="25"/>
      <c r="BM379" s="25"/>
      <c r="BN379" s="25"/>
      <c r="BO379" s="25"/>
      <c r="BP379" s="25"/>
      <c r="BQ379" s="25"/>
      <c r="BR379" s="25"/>
      <c r="BS379" s="25"/>
      <c r="BT379" s="25"/>
      <c r="BU379" s="25"/>
      <c r="BV379" s="25"/>
      <c r="BW379" s="25"/>
      <c r="BX379" s="25"/>
      <c r="BY379" s="25">
        <v>0</v>
      </c>
      <c r="BZ379" s="25"/>
      <c r="CA379" s="25"/>
      <c r="CB379" s="25">
        <v>0</v>
      </c>
      <c r="CC379" s="25"/>
      <c r="CD379" s="25"/>
      <c r="CE379" s="113">
        <v>20000000</v>
      </c>
      <c r="CF379" s="113"/>
      <c r="CG379" s="113"/>
      <c r="CH379" s="40"/>
      <c r="CI379" s="40"/>
      <c r="CJ379" s="40"/>
      <c r="CK379" s="25">
        <v>0</v>
      </c>
      <c r="CL379" s="26"/>
      <c r="CM379" s="26"/>
      <c r="CN379" s="26">
        <v>0</v>
      </c>
      <c r="CO379" s="26"/>
      <c r="CP379" s="26"/>
      <c r="CQ379" s="26"/>
      <c r="CR379" s="26"/>
      <c r="CS379" s="26"/>
      <c r="CT379" s="25">
        <f t="shared" si="205"/>
        <v>20000000</v>
      </c>
      <c r="CU379" s="25">
        <f t="shared" si="205"/>
        <v>0</v>
      </c>
      <c r="CV379" s="25">
        <f t="shared" si="205"/>
        <v>0</v>
      </c>
    </row>
    <row r="380" spans="1:101" s="27" customFormat="1" ht="71.25" x14ac:dyDescent="0.25">
      <c r="A380" s="19"/>
      <c r="B380" s="19"/>
      <c r="C380" s="927">
        <v>35</v>
      </c>
      <c r="D380" s="86" t="s">
        <v>469</v>
      </c>
      <c r="E380" s="56">
        <v>23000</v>
      </c>
      <c r="F380" s="56">
        <v>24000</v>
      </c>
      <c r="G380" s="28"/>
      <c r="H380" s="929">
        <v>71</v>
      </c>
      <c r="I380" s="928" t="s">
        <v>470</v>
      </c>
      <c r="J380" s="56">
        <v>1762</v>
      </c>
      <c r="K380" s="87">
        <v>2166</v>
      </c>
      <c r="L380" s="651">
        <v>2706</v>
      </c>
      <c r="M380" s="1135"/>
      <c r="N380" s="1018"/>
      <c r="O380" s="1020"/>
      <c r="P380" s="929" t="s">
        <v>34</v>
      </c>
      <c r="Q380" s="25">
        <v>0</v>
      </c>
      <c r="R380" s="25"/>
      <c r="S380" s="25"/>
      <c r="T380" s="25">
        <v>0</v>
      </c>
      <c r="U380" s="25"/>
      <c r="V380" s="25"/>
      <c r="W380" s="25">
        <v>0</v>
      </c>
      <c r="X380" s="25"/>
      <c r="Y380" s="25"/>
      <c r="Z380" s="25">
        <v>0</v>
      </c>
      <c r="AA380" s="25"/>
      <c r="AB380" s="25"/>
      <c r="AC380" s="25">
        <v>0</v>
      </c>
      <c r="AD380" s="25"/>
      <c r="AE380" s="25"/>
      <c r="AF380" s="25">
        <v>0</v>
      </c>
      <c r="AG380" s="25"/>
      <c r="AH380" s="25"/>
      <c r="AI380" s="25">
        <v>0</v>
      </c>
      <c r="AJ380" s="25"/>
      <c r="AK380" s="25"/>
      <c r="AL380" s="25"/>
      <c r="AM380" s="25"/>
      <c r="AN380" s="25"/>
      <c r="AO380" s="25"/>
      <c r="AP380" s="25"/>
      <c r="AQ380" s="25"/>
      <c r="AR380" s="25"/>
      <c r="AS380" s="25"/>
      <c r="AT380" s="25"/>
      <c r="AU380" s="25">
        <v>0</v>
      </c>
      <c r="AV380" s="25"/>
      <c r="AW380" s="25"/>
      <c r="AX380" s="25"/>
      <c r="AY380" s="25"/>
      <c r="AZ380" s="25"/>
      <c r="BA380" s="25">
        <v>0</v>
      </c>
      <c r="BB380" s="25"/>
      <c r="BC380" s="25"/>
      <c r="BD380" s="25">
        <v>0</v>
      </c>
      <c r="BE380" s="25"/>
      <c r="BF380" s="25"/>
      <c r="BG380" s="25"/>
      <c r="BH380" s="25"/>
      <c r="BI380" s="25"/>
      <c r="BJ380" s="25"/>
      <c r="BK380" s="25"/>
      <c r="BL380" s="25"/>
      <c r="BM380" s="25"/>
      <c r="BN380" s="25"/>
      <c r="BO380" s="25"/>
      <c r="BP380" s="25"/>
      <c r="BQ380" s="25"/>
      <c r="BR380" s="25"/>
      <c r="BS380" s="25"/>
      <c r="BT380" s="25"/>
      <c r="BU380" s="25"/>
      <c r="BV380" s="25"/>
      <c r="BW380" s="25"/>
      <c r="BX380" s="25"/>
      <c r="BY380" s="25">
        <v>0</v>
      </c>
      <c r="BZ380" s="25"/>
      <c r="CA380" s="25"/>
      <c r="CB380" s="25">
        <v>0</v>
      </c>
      <c r="CC380" s="25"/>
      <c r="CD380" s="25"/>
      <c r="CE380" s="116"/>
      <c r="CF380" s="116"/>
      <c r="CG380" s="116"/>
      <c r="CH380" s="88"/>
      <c r="CI380" s="88"/>
      <c r="CJ380" s="88"/>
      <c r="CK380" s="25">
        <v>0</v>
      </c>
      <c r="CL380" s="26"/>
      <c r="CM380" s="26"/>
      <c r="CN380" s="26">
        <v>0</v>
      </c>
      <c r="CO380" s="26"/>
      <c r="CP380" s="26"/>
      <c r="CQ380" s="26"/>
      <c r="CR380" s="26"/>
      <c r="CS380" s="26"/>
      <c r="CT380" s="25">
        <f t="shared" si="205"/>
        <v>0</v>
      </c>
      <c r="CU380" s="25">
        <f t="shared" si="205"/>
        <v>0</v>
      </c>
      <c r="CV380" s="25">
        <f t="shared" si="205"/>
        <v>0</v>
      </c>
    </row>
    <row r="381" spans="1:101" s="27" customFormat="1" ht="130.5" customHeight="1" x14ac:dyDescent="0.25">
      <c r="A381" s="19"/>
      <c r="B381" s="19"/>
      <c r="C381" s="927"/>
      <c r="D381" s="86"/>
      <c r="E381" s="89"/>
      <c r="F381" s="89"/>
      <c r="G381" s="28"/>
      <c r="H381" s="929">
        <v>72</v>
      </c>
      <c r="I381" s="928" t="s">
        <v>471</v>
      </c>
      <c r="J381" s="56">
        <v>455</v>
      </c>
      <c r="K381" s="87">
        <v>455</v>
      </c>
      <c r="L381" s="87">
        <v>889</v>
      </c>
      <c r="M381" s="1135"/>
      <c r="N381" s="1018"/>
      <c r="O381" s="1020"/>
      <c r="P381" s="929" t="s">
        <v>38</v>
      </c>
      <c r="Q381" s="25">
        <v>0</v>
      </c>
      <c r="R381" s="25"/>
      <c r="S381" s="25"/>
      <c r="T381" s="25">
        <v>0</v>
      </c>
      <c r="U381" s="25"/>
      <c r="V381" s="25"/>
      <c r="W381" s="25">
        <v>0</v>
      </c>
      <c r="X381" s="25"/>
      <c r="Y381" s="25"/>
      <c r="Z381" s="25">
        <v>0</v>
      </c>
      <c r="AA381" s="25"/>
      <c r="AB381" s="25"/>
      <c r="AC381" s="25">
        <v>0</v>
      </c>
      <c r="AD381" s="25"/>
      <c r="AE381" s="25"/>
      <c r="AF381" s="25">
        <v>0</v>
      </c>
      <c r="AG381" s="25"/>
      <c r="AH381" s="25"/>
      <c r="AI381" s="25">
        <v>0</v>
      </c>
      <c r="AJ381" s="25"/>
      <c r="AK381" s="25"/>
      <c r="AL381" s="25"/>
      <c r="AM381" s="25"/>
      <c r="AN381" s="25"/>
      <c r="AO381" s="25"/>
      <c r="AP381" s="25"/>
      <c r="AQ381" s="25"/>
      <c r="AR381" s="25"/>
      <c r="AS381" s="25"/>
      <c r="AT381" s="25"/>
      <c r="AU381" s="25">
        <v>0</v>
      </c>
      <c r="AV381" s="25"/>
      <c r="AW381" s="25"/>
      <c r="AX381" s="25"/>
      <c r="AY381" s="25"/>
      <c r="AZ381" s="25"/>
      <c r="BA381" s="25">
        <v>0</v>
      </c>
      <c r="BB381" s="25"/>
      <c r="BC381" s="25"/>
      <c r="BD381" s="25">
        <v>0</v>
      </c>
      <c r="BE381" s="25"/>
      <c r="BF381" s="25"/>
      <c r="BG381" s="25"/>
      <c r="BH381" s="25"/>
      <c r="BI381" s="25"/>
      <c r="BJ381" s="25"/>
      <c r="BK381" s="25"/>
      <c r="BL381" s="25"/>
      <c r="BM381" s="25"/>
      <c r="BN381" s="25"/>
      <c r="BO381" s="25"/>
      <c r="BP381" s="25"/>
      <c r="BQ381" s="25"/>
      <c r="BR381" s="25"/>
      <c r="BS381" s="25"/>
      <c r="BT381" s="25"/>
      <c r="BU381" s="25"/>
      <c r="BV381" s="25"/>
      <c r="BW381" s="25"/>
      <c r="BX381" s="25"/>
      <c r="BY381" s="25">
        <v>0</v>
      </c>
      <c r="BZ381" s="25"/>
      <c r="CA381" s="25"/>
      <c r="CB381" s="25">
        <v>0</v>
      </c>
      <c r="CC381" s="25"/>
      <c r="CD381" s="25"/>
      <c r="CE381" s="113"/>
      <c r="CF381" s="113"/>
      <c r="CG381" s="113"/>
      <c r="CH381" s="40"/>
      <c r="CI381" s="40"/>
      <c r="CJ381" s="40"/>
      <c r="CK381" s="25">
        <v>0</v>
      </c>
      <c r="CL381" s="26"/>
      <c r="CM381" s="26"/>
      <c r="CN381" s="26">
        <v>0</v>
      </c>
      <c r="CO381" s="26"/>
      <c r="CP381" s="26"/>
      <c r="CQ381" s="26"/>
      <c r="CR381" s="26"/>
      <c r="CS381" s="26"/>
      <c r="CT381" s="25">
        <f t="shared" si="205"/>
        <v>0</v>
      </c>
      <c r="CU381" s="25">
        <f t="shared" si="205"/>
        <v>0</v>
      </c>
      <c r="CV381" s="25">
        <f t="shared" si="205"/>
        <v>0</v>
      </c>
    </row>
    <row r="382" spans="1:101" s="27" customFormat="1" ht="84.75" customHeight="1" x14ac:dyDescent="0.25">
      <c r="A382" s="19"/>
      <c r="B382" s="19"/>
      <c r="C382" s="927"/>
      <c r="D382" s="86"/>
      <c r="E382" s="89"/>
      <c r="F382" s="83" t="s">
        <v>0</v>
      </c>
      <c r="G382" s="29"/>
      <c r="H382" s="929">
        <v>73</v>
      </c>
      <c r="I382" s="928" t="s">
        <v>472</v>
      </c>
      <c r="J382" s="56" t="s">
        <v>30</v>
      </c>
      <c r="K382" s="30">
        <v>1</v>
      </c>
      <c r="L382" s="911">
        <v>1</v>
      </c>
      <c r="M382" s="1136"/>
      <c r="N382" s="1019"/>
      <c r="O382" s="1013"/>
      <c r="P382" s="929" t="s">
        <v>38</v>
      </c>
      <c r="Q382" s="25">
        <v>0</v>
      </c>
      <c r="R382" s="25"/>
      <c r="S382" s="25"/>
      <c r="T382" s="25">
        <v>0</v>
      </c>
      <c r="U382" s="25"/>
      <c r="V382" s="25"/>
      <c r="W382" s="25">
        <v>0</v>
      </c>
      <c r="X382" s="25"/>
      <c r="Y382" s="25"/>
      <c r="Z382" s="25">
        <v>0</v>
      </c>
      <c r="AA382" s="25"/>
      <c r="AB382" s="25"/>
      <c r="AC382" s="25">
        <v>0</v>
      </c>
      <c r="AD382" s="25"/>
      <c r="AE382" s="25"/>
      <c r="AF382" s="25">
        <v>0</v>
      </c>
      <c r="AG382" s="25"/>
      <c r="AH382" s="25"/>
      <c r="AI382" s="25">
        <v>0</v>
      </c>
      <c r="AJ382" s="25"/>
      <c r="AK382" s="25"/>
      <c r="AL382" s="25"/>
      <c r="AM382" s="25"/>
      <c r="AN382" s="25"/>
      <c r="AO382" s="25"/>
      <c r="AP382" s="25"/>
      <c r="AQ382" s="25"/>
      <c r="AR382" s="25"/>
      <c r="AS382" s="25"/>
      <c r="AT382" s="25"/>
      <c r="AU382" s="25">
        <v>0</v>
      </c>
      <c r="AV382" s="25"/>
      <c r="AW382" s="25"/>
      <c r="AX382" s="25"/>
      <c r="AY382" s="25"/>
      <c r="AZ382" s="25"/>
      <c r="BA382" s="25">
        <v>0</v>
      </c>
      <c r="BB382" s="25"/>
      <c r="BC382" s="25"/>
      <c r="BD382" s="25">
        <v>0</v>
      </c>
      <c r="BE382" s="25"/>
      <c r="BF382" s="25"/>
      <c r="BG382" s="25"/>
      <c r="BH382" s="25"/>
      <c r="BI382" s="25"/>
      <c r="BJ382" s="76"/>
      <c r="BK382" s="76"/>
      <c r="BL382" s="76"/>
      <c r="BM382" s="76"/>
      <c r="BN382" s="76"/>
      <c r="BO382" s="76"/>
      <c r="BP382" s="25"/>
      <c r="BQ382" s="25"/>
      <c r="BR382" s="25"/>
      <c r="BS382" s="128">
        <v>1341180171</v>
      </c>
      <c r="BT382" s="128">
        <v>976986480</v>
      </c>
      <c r="BU382" s="128">
        <v>976986480</v>
      </c>
      <c r="BV382" s="25"/>
      <c r="BW382" s="25"/>
      <c r="BX382" s="25"/>
      <c r="BY382" s="25">
        <v>0</v>
      </c>
      <c r="BZ382" s="25"/>
      <c r="CA382" s="25"/>
      <c r="CB382" s="25">
        <v>0</v>
      </c>
      <c r="CC382" s="25"/>
      <c r="CD382" s="25"/>
      <c r="CE382" s="110">
        <v>0</v>
      </c>
      <c r="CF382" s="110"/>
      <c r="CG382" s="110"/>
      <c r="CH382" s="37"/>
      <c r="CI382" s="37"/>
      <c r="CJ382" s="37"/>
      <c r="CK382" s="25">
        <v>0</v>
      </c>
      <c r="CL382" s="26"/>
      <c r="CM382" s="26"/>
      <c r="CN382" s="26">
        <v>0</v>
      </c>
      <c r="CO382" s="26"/>
      <c r="CP382" s="26"/>
      <c r="CQ382" s="26"/>
      <c r="CR382" s="26"/>
      <c r="CS382" s="26"/>
      <c r="CT382" s="25">
        <f t="shared" si="205"/>
        <v>1341180171</v>
      </c>
      <c r="CU382" s="25">
        <f t="shared" si="205"/>
        <v>976986480</v>
      </c>
      <c r="CV382" s="25">
        <f t="shared" si="205"/>
        <v>976986480</v>
      </c>
    </row>
    <row r="383" spans="1:101" ht="15" x14ac:dyDescent="0.25">
      <c r="A383" s="19"/>
      <c r="B383" s="19"/>
      <c r="C383" s="927"/>
      <c r="D383" s="153"/>
      <c r="E383" s="83"/>
      <c r="F383" s="83"/>
      <c r="G383" s="154"/>
      <c r="H383" s="155"/>
      <c r="I383" s="154"/>
      <c r="J383" s="396"/>
      <c r="K383" s="396"/>
      <c r="L383" s="396"/>
      <c r="M383" s="396"/>
      <c r="N383" s="157"/>
      <c r="O383" s="154"/>
      <c r="P383" s="155"/>
      <c r="Q383" s="158">
        <f t="shared" ref="Q383:CB383" si="206">SUM(Q377:Q382)</f>
        <v>0</v>
      </c>
      <c r="R383" s="158">
        <f t="shared" si="206"/>
        <v>0</v>
      </c>
      <c r="S383" s="158">
        <f t="shared" si="206"/>
        <v>0</v>
      </c>
      <c r="T383" s="158">
        <f t="shared" si="206"/>
        <v>0</v>
      </c>
      <c r="U383" s="158">
        <f t="shared" si="206"/>
        <v>0</v>
      </c>
      <c r="V383" s="158">
        <f t="shared" si="206"/>
        <v>0</v>
      </c>
      <c r="W383" s="158">
        <f t="shared" si="206"/>
        <v>0</v>
      </c>
      <c r="X383" s="158">
        <f t="shared" si="206"/>
        <v>0</v>
      </c>
      <c r="Y383" s="158">
        <f t="shared" si="206"/>
        <v>0</v>
      </c>
      <c r="Z383" s="158">
        <f t="shared" si="206"/>
        <v>0</v>
      </c>
      <c r="AA383" s="158">
        <f t="shared" si="206"/>
        <v>0</v>
      </c>
      <c r="AB383" s="158">
        <f t="shared" si="206"/>
        <v>0</v>
      </c>
      <c r="AC383" s="158">
        <f t="shared" si="206"/>
        <v>0</v>
      </c>
      <c r="AD383" s="158">
        <f t="shared" si="206"/>
        <v>0</v>
      </c>
      <c r="AE383" s="158">
        <f t="shared" si="206"/>
        <v>0</v>
      </c>
      <c r="AF383" s="158">
        <f t="shared" si="206"/>
        <v>0</v>
      </c>
      <c r="AG383" s="158">
        <f t="shared" si="206"/>
        <v>0</v>
      </c>
      <c r="AH383" s="158">
        <f t="shared" si="206"/>
        <v>0</v>
      </c>
      <c r="AI383" s="158">
        <f t="shared" si="206"/>
        <v>0</v>
      </c>
      <c r="AJ383" s="158">
        <f t="shared" si="206"/>
        <v>0</v>
      </c>
      <c r="AK383" s="158">
        <f t="shared" si="206"/>
        <v>0</v>
      </c>
      <c r="AL383" s="158">
        <f t="shared" si="206"/>
        <v>0</v>
      </c>
      <c r="AM383" s="158">
        <f t="shared" si="206"/>
        <v>0</v>
      </c>
      <c r="AN383" s="158">
        <f t="shared" si="206"/>
        <v>0</v>
      </c>
      <c r="AO383" s="158">
        <f t="shared" si="206"/>
        <v>0</v>
      </c>
      <c r="AP383" s="158">
        <f t="shared" si="206"/>
        <v>0</v>
      </c>
      <c r="AQ383" s="158">
        <f t="shared" si="206"/>
        <v>0</v>
      </c>
      <c r="AR383" s="158">
        <f t="shared" si="206"/>
        <v>0</v>
      </c>
      <c r="AS383" s="158">
        <f t="shared" si="206"/>
        <v>0</v>
      </c>
      <c r="AT383" s="158">
        <f t="shared" si="206"/>
        <v>0</v>
      </c>
      <c r="AU383" s="158">
        <f t="shared" si="206"/>
        <v>0</v>
      </c>
      <c r="AV383" s="158">
        <f t="shared" si="206"/>
        <v>0</v>
      </c>
      <c r="AW383" s="158">
        <f t="shared" si="206"/>
        <v>0</v>
      </c>
      <c r="AX383" s="158">
        <f t="shared" si="206"/>
        <v>0</v>
      </c>
      <c r="AY383" s="158">
        <f t="shared" si="206"/>
        <v>0</v>
      </c>
      <c r="AZ383" s="158">
        <f t="shared" si="206"/>
        <v>0</v>
      </c>
      <c r="BA383" s="158">
        <f t="shared" si="206"/>
        <v>0</v>
      </c>
      <c r="BB383" s="158">
        <f t="shared" si="206"/>
        <v>0</v>
      </c>
      <c r="BC383" s="158">
        <f t="shared" si="206"/>
        <v>0</v>
      </c>
      <c r="BD383" s="158">
        <f t="shared" si="206"/>
        <v>0</v>
      </c>
      <c r="BE383" s="158">
        <f t="shared" si="206"/>
        <v>0</v>
      </c>
      <c r="BF383" s="158">
        <f t="shared" si="206"/>
        <v>0</v>
      </c>
      <c r="BG383" s="158">
        <f t="shared" si="206"/>
        <v>0</v>
      </c>
      <c r="BH383" s="158">
        <f t="shared" si="206"/>
        <v>0</v>
      </c>
      <c r="BI383" s="158">
        <f t="shared" si="206"/>
        <v>0</v>
      </c>
      <c r="BJ383" s="158">
        <f t="shared" si="206"/>
        <v>0</v>
      </c>
      <c r="BK383" s="158">
        <f t="shared" si="206"/>
        <v>0</v>
      </c>
      <c r="BL383" s="158">
        <f t="shared" si="206"/>
        <v>0</v>
      </c>
      <c r="BM383" s="158">
        <f t="shared" si="206"/>
        <v>0</v>
      </c>
      <c r="BN383" s="158">
        <f t="shared" si="206"/>
        <v>0</v>
      </c>
      <c r="BO383" s="158">
        <f t="shared" si="206"/>
        <v>0</v>
      </c>
      <c r="BP383" s="158">
        <f t="shared" si="206"/>
        <v>0</v>
      </c>
      <c r="BQ383" s="158">
        <f t="shared" si="206"/>
        <v>0</v>
      </c>
      <c r="BR383" s="158">
        <f t="shared" si="206"/>
        <v>0</v>
      </c>
      <c r="BS383" s="158">
        <f t="shared" si="206"/>
        <v>1341180171</v>
      </c>
      <c r="BT383" s="158">
        <f t="shared" si="206"/>
        <v>976986480</v>
      </c>
      <c r="BU383" s="158">
        <f t="shared" si="206"/>
        <v>976986480</v>
      </c>
      <c r="BV383" s="158">
        <f t="shared" si="206"/>
        <v>0</v>
      </c>
      <c r="BW383" s="158">
        <f t="shared" si="206"/>
        <v>0</v>
      </c>
      <c r="BX383" s="158">
        <f t="shared" si="206"/>
        <v>0</v>
      </c>
      <c r="BY383" s="158">
        <f t="shared" si="206"/>
        <v>0</v>
      </c>
      <c r="BZ383" s="158">
        <f t="shared" si="206"/>
        <v>0</v>
      </c>
      <c r="CA383" s="158">
        <f t="shared" si="206"/>
        <v>0</v>
      </c>
      <c r="CB383" s="158">
        <f t="shared" si="206"/>
        <v>0</v>
      </c>
      <c r="CC383" s="158">
        <f t="shared" ref="CC383:CS383" si="207">SUM(CC377:CC382)</f>
        <v>0</v>
      </c>
      <c r="CD383" s="158">
        <f t="shared" si="207"/>
        <v>0</v>
      </c>
      <c r="CE383" s="158">
        <f t="shared" si="207"/>
        <v>40000000</v>
      </c>
      <c r="CF383" s="158">
        <f t="shared" si="207"/>
        <v>0</v>
      </c>
      <c r="CG383" s="158">
        <f t="shared" si="207"/>
        <v>0</v>
      </c>
      <c r="CH383" s="158">
        <f t="shared" si="207"/>
        <v>0</v>
      </c>
      <c r="CI383" s="158">
        <f t="shared" si="207"/>
        <v>0</v>
      </c>
      <c r="CJ383" s="158">
        <f t="shared" si="207"/>
        <v>0</v>
      </c>
      <c r="CK383" s="158">
        <f t="shared" si="207"/>
        <v>0</v>
      </c>
      <c r="CL383" s="158">
        <f t="shared" si="207"/>
        <v>0</v>
      </c>
      <c r="CM383" s="158">
        <f t="shared" si="207"/>
        <v>0</v>
      </c>
      <c r="CN383" s="158">
        <f t="shared" si="207"/>
        <v>0</v>
      </c>
      <c r="CO383" s="158">
        <f t="shared" si="207"/>
        <v>0</v>
      </c>
      <c r="CP383" s="158">
        <f t="shared" si="207"/>
        <v>0</v>
      </c>
      <c r="CQ383" s="158">
        <f t="shared" si="207"/>
        <v>0</v>
      </c>
      <c r="CR383" s="158">
        <f t="shared" si="207"/>
        <v>0</v>
      </c>
      <c r="CS383" s="158">
        <f t="shared" si="207"/>
        <v>0</v>
      </c>
      <c r="CT383" s="158">
        <f>SUM(CT377:CT382)</f>
        <v>1381180171</v>
      </c>
      <c r="CU383" s="158">
        <f>SUM(CU377:CU382)</f>
        <v>976986480</v>
      </c>
      <c r="CV383" s="158">
        <f>SUM(CV377:CV382)</f>
        <v>976986480</v>
      </c>
    </row>
    <row r="384" spans="1:101" s="27" customFormat="1" ht="15" x14ac:dyDescent="0.25">
      <c r="A384" s="19"/>
      <c r="B384" s="19"/>
      <c r="C384" s="949"/>
      <c r="D384" s="177"/>
      <c r="E384" s="398"/>
      <c r="F384" s="398"/>
      <c r="G384" s="177"/>
      <c r="H384" s="949"/>
      <c r="I384" s="177"/>
      <c r="J384" s="399"/>
      <c r="K384" s="399"/>
      <c r="L384" s="399"/>
      <c r="M384" s="399"/>
      <c r="N384" s="179"/>
      <c r="O384" s="177"/>
      <c r="P384" s="949"/>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c r="AU384" s="180"/>
      <c r="AV384" s="180"/>
      <c r="AW384" s="180"/>
      <c r="AX384" s="180"/>
      <c r="AY384" s="180"/>
      <c r="AZ384" s="180"/>
      <c r="BA384" s="180"/>
      <c r="BB384" s="180"/>
      <c r="BC384" s="180"/>
      <c r="BD384" s="180"/>
      <c r="BE384" s="180"/>
      <c r="BF384" s="180"/>
      <c r="BG384" s="181"/>
      <c r="BH384" s="181"/>
      <c r="BI384" s="181"/>
      <c r="BJ384" s="181"/>
      <c r="BK384" s="181"/>
      <c r="BL384" s="181"/>
      <c r="BM384" s="181"/>
      <c r="BN384" s="181"/>
      <c r="BO384" s="181"/>
      <c r="BP384" s="181"/>
      <c r="BQ384" s="181"/>
      <c r="BR384" s="181"/>
      <c r="BS384" s="181"/>
      <c r="BT384" s="181"/>
      <c r="BU384" s="181"/>
      <c r="BV384" s="181"/>
      <c r="BW384" s="181"/>
      <c r="BX384" s="181"/>
      <c r="BY384" s="180"/>
      <c r="BZ384" s="180"/>
      <c r="CA384" s="180"/>
      <c r="CB384" s="180"/>
      <c r="CC384" s="180"/>
      <c r="CD384" s="180"/>
      <c r="CE384" s="182"/>
      <c r="CF384" s="182"/>
      <c r="CG384" s="182"/>
      <c r="CH384" s="180"/>
      <c r="CI384" s="180"/>
      <c r="CJ384" s="180"/>
      <c r="CK384" s="180"/>
      <c r="CL384" s="180"/>
      <c r="CM384" s="180"/>
      <c r="CN384" s="180"/>
      <c r="CO384" s="180"/>
      <c r="CP384" s="180"/>
      <c r="CQ384" s="180"/>
      <c r="CR384" s="180"/>
      <c r="CS384" s="180"/>
      <c r="CT384" s="25"/>
      <c r="CU384" s="76"/>
      <c r="CV384" s="76"/>
    </row>
    <row r="385" spans="1:101" ht="15" x14ac:dyDescent="0.25">
      <c r="A385" s="19"/>
      <c r="B385" s="19"/>
      <c r="C385" s="927"/>
      <c r="D385" s="153"/>
      <c r="E385" s="83"/>
      <c r="F385" s="83"/>
      <c r="G385" s="254">
        <v>18</v>
      </c>
      <c r="H385" s="271" t="s">
        <v>888</v>
      </c>
      <c r="I385" s="189"/>
      <c r="J385" s="189"/>
      <c r="K385" s="189"/>
      <c r="L385" s="189"/>
      <c r="M385" s="189"/>
      <c r="N385" s="189"/>
      <c r="O385" s="189"/>
      <c r="P385" s="189"/>
      <c r="Q385" s="189"/>
      <c r="R385" s="922"/>
      <c r="S385" s="922"/>
      <c r="T385" s="189"/>
      <c r="U385" s="189"/>
      <c r="V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189"/>
      <c r="BU385" s="189"/>
      <c r="BV385" s="189"/>
      <c r="BW385" s="189"/>
      <c r="BX385" s="189"/>
      <c r="BY385" s="189"/>
      <c r="BZ385" s="189"/>
      <c r="CA385" s="189"/>
      <c r="CB385" s="189"/>
      <c r="CC385" s="189"/>
      <c r="CD385" s="189"/>
      <c r="CE385" s="190"/>
      <c r="CF385" s="190"/>
      <c r="CG385" s="190"/>
      <c r="CH385" s="189"/>
      <c r="CI385" s="189"/>
      <c r="CJ385" s="189"/>
      <c r="CK385" s="189"/>
      <c r="CL385" s="189"/>
      <c r="CM385" s="189"/>
      <c r="CN385" s="189"/>
      <c r="CO385" s="189"/>
      <c r="CP385" s="189"/>
      <c r="CQ385" s="189"/>
      <c r="CR385" s="189"/>
      <c r="CS385" s="189"/>
      <c r="CT385" s="758"/>
      <c r="CU385" s="758"/>
      <c r="CV385" s="758"/>
    </row>
    <row r="386" spans="1:101" s="27" customFormat="1" ht="163.5" customHeight="1" x14ac:dyDescent="0.25">
      <c r="A386" s="19"/>
      <c r="B386" s="19"/>
      <c r="C386" s="997" t="s">
        <v>473</v>
      </c>
      <c r="D386" s="998" t="s">
        <v>474</v>
      </c>
      <c r="E386" s="83" t="s">
        <v>475</v>
      </c>
      <c r="F386" s="83" t="s">
        <v>476</v>
      </c>
      <c r="G386" s="22"/>
      <c r="H386" s="999">
        <v>74</v>
      </c>
      <c r="I386" s="998" t="s">
        <v>477</v>
      </c>
      <c r="J386" s="56">
        <v>2232</v>
      </c>
      <c r="K386" s="56">
        <v>2232</v>
      </c>
      <c r="L386" s="56">
        <v>2232</v>
      </c>
      <c r="M386" s="403" t="s">
        <v>452</v>
      </c>
      <c r="N386" s="36" t="s">
        <v>478</v>
      </c>
      <c r="O386" s="998" t="s">
        <v>479</v>
      </c>
      <c r="P386" s="999" t="s">
        <v>38</v>
      </c>
      <c r="Q386" s="25">
        <v>0</v>
      </c>
      <c r="R386" s="25"/>
      <c r="S386" s="25"/>
      <c r="T386" s="25">
        <v>0</v>
      </c>
      <c r="U386" s="25"/>
      <c r="V386" s="25"/>
      <c r="W386" s="25">
        <v>0</v>
      </c>
      <c r="X386" s="25"/>
      <c r="Y386" s="25"/>
      <c r="Z386" s="25">
        <v>0</v>
      </c>
      <c r="AA386" s="25"/>
      <c r="AB386" s="25"/>
      <c r="AC386" s="25">
        <v>0</v>
      </c>
      <c r="AD386" s="25"/>
      <c r="AE386" s="25"/>
      <c r="AF386" s="25">
        <v>0</v>
      </c>
      <c r="AG386" s="25"/>
      <c r="AH386" s="25"/>
      <c r="AI386" s="25">
        <v>0</v>
      </c>
      <c r="AJ386" s="25"/>
      <c r="AK386" s="25"/>
      <c r="AL386" s="25"/>
      <c r="AM386" s="25"/>
      <c r="AN386" s="25"/>
      <c r="AO386" s="25"/>
      <c r="AP386" s="25"/>
      <c r="AQ386" s="25"/>
      <c r="AR386" s="25"/>
      <c r="AS386" s="25"/>
      <c r="AT386" s="25"/>
      <c r="AU386" s="25">
        <v>0</v>
      </c>
      <c r="AV386" s="25"/>
      <c r="AW386" s="25"/>
      <c r="AX386" s="25"/>
      <c r="AY386" s="25"/>
      <c r="AZ386" s="25"/>
      <c r="BA386" s="25">
        <v>0</v>
      </c>
      <c r="BB386" s="25"/>
      <c r="BC386" s="25"/>
      <c r="BD386" s="25">
        <v>0</v>
      </c>
      <c r="BE386" s="25"/>
      <c r="BF386" s="25"/>
      <c r="BG386" s="548">
        <f>104974654094+2384463924</f>
        <v>107359118018</v>
      </c>
      <c r="BH386" s="548">
        <f>104537862591+333300620</f>
        <v>104871163211</v>
      </c>
      <c r="BI386" s="548">
        <f>104532558341+333300620</f>
        <v>104865858961</v>
      </c>
      <c r="BJ386" s="995">
        <v>0</v>
      </c>
      <c r="BK386" s="995">
        <v>0</v>
      </c>
      <c r="BL386" s="995">
        <v>0</v>
      </c>
      <c r="BM386" s="404">
        <f>1165770164</f>
        <v>1165770164</v>
      </c>
      <c r="BN386" s="404">
        <f>1165770164.14</f>
        <v>1165770164.1400001</v>
      </c>
      <c r="BO386" s="404">
        <f>1165770164.14</f>
        <v>1165770164.1400001</v>
      </c>
      <c r="BP386" s="404"/>
      <c r="BQ386" s="404"/>
      <c r="BR386" s="404"/>
      <c r="BS386" s="404"/>
      <c r="BT386" s="404"/>
      <c r="BU386" s="404"/>
      <c r="BV386" s="404"/>
      <c r="BW386" s="404"/>
      <c r="BX386" s="404"/>
      <c r="BY386" s="25">
        <v>0</v>
      </c>
      <c r="BZ386" s="25">
        <v>0</v>
      </c>
      <c r="CA386" s="25">
        <v>0</v>
      </c>
      <c r="CB386" s="25">
        <v>0</v>
      </c>
      <c r="CC386" s="25"/>
      <c r="CD386" s="25"/>
      <c r="CE386" s="110">
        <v>0</v>
      </c>
      <c r="CF386" s="110"/>
      <c r="CG386" s="110"/>
      <c r="CH386" s="37"/>
      <c r="CI386" s="37"/>
      <c r="CJ386" s="37"/>
      <c r="CK386" s="25">
        <v>0</v>
      </c>
      <c r="CL386" s="26"/>
      <c r="CM386" s="26"/>
      <c r="CN386" s="26">
        <v>0</v>
      </c>
      <c r="CO386" s="26"/>
      <c r="CP386" s="26"/>
      <c r="CQ386" s="26"/>
      <c r="CR386" s="26"/>
      <c r="CS386" s="26"/>
      <c r="CT386" s="886">
        <f>Q386+T386+W386+Z386+AC386+AF386+AI386+AL386+AO386+AR386+AU386+AX386+BA386+BD386+BG386+BJ386+BM386+BP386+BS386+BV386+BY386+CB386+CE386+CH386+CK386+CQ386+CN386</f>
        <v>108524888182</v>
      </c>
      <c r="CU386" s="886">
        <f>R386+U386+X386+AA386+AD386+AG386+AJ386+AM386+AP386+AS386+AV386+AY386+BB386+BE386+BH386+BK386+BN386+BQ386+BT386+BW386+BZ386+CC386+CF386+CI386+CL386+CR386+CO386</f>
        <v>106036933375.14</v>
      </c>
      <c r="CV386" s="886">
        <f>S386+V386+Y386+AB386+AE386+AH386+AK386+AN386+AQ386+AT386+AW386+AZ386+BC386+BF386+BI386+BL386+BO386+BR386+BU386+BX386+CA386+CD386+CG386+CJ386+CM386+CS386+CP386</f>
        <v>106031629125.14</v>
      </c>
      <c r="CW386" s="996"/>
    </row>
    <row r="387" spans="1:101" ht="15" x14ac:dyDescent="0.25">
      <c r="A387" s="19"/>
      <c r="B387" s="152"/>
      <c r="C387" s="927"/>
      <c r="D387" s="153"/>
      <c r="E387" s="83"/>
      <c r="F387" s="83"/>
      <c r="G387" s="154"/>
      <c r="H387" s="155"/>
      <c r="I387" s="154"/>
      <c r="J387" s="396"/>
      <c r="K387" s="396"/>
      <c r="L387" s="396"/>
      <c r="M387" s="396"/>
      <c r="N387" s="157"/>
      <c r="O387" s="155"/>
      <c r="P387" s="155"/>
      <c r="Q387" s="158">
        <f>SUM(Q386:Q386)</f>
        <v>0</v>
      </c>
      <c r="R387" s="158">
        <f t="shared" ref="R387:CC387" si="208">SUM(R386:R386)</f>
        <v>0</v>
      </c>
      <c r="S387" s="158">
        <f t="shared" si="208"/>
        <v>0</v>
      </c>
      <c r="T387" s="158">
        <f t="shared" si="208"/>
        <v>0</v>
      </c>
      <c r="U387" s="158">
        <f t="shared" si="208"/>
        <v>0</v>
      </c>
      <c r="V387" s="158">
        <f t="shared" si="208"/>
        <v>0</v>
      </c>
      <c r="W387" s="158">
        <f t="shared" si="208"/>
        <v>0</v>
      </c>
      <c r="X387" s="158">
        <f t="shared" si="208"/>
        <v>0</v>
      </c>
      <c r="Y387" s="158">
        <f t="shared" si="208"/>
        <v>0</v>
      </c>
      <c r="Z387" s="158">
        <f t="shared" si="208"/>
        <v>0</v>
      </c>
      <c r="AA387" s="158">
        <f t="shared" si="208"/>
        <v>0</v>
      </c>
      <c r="AB387" s="158">
        <f t="shared" si="208"/>
        <v>0</v>
      </c>
      <c r="AC387" s="158">
        <f t="shared" si="208"/>
        <v>0</v>
      </c>
      <c r="AD387" s="158">
        <f t="shared" si="208"/>
        <v>0</v>
      </c>
      <c r="AE387" s="158">
        <f t="shared" si="208"/>
        <v>0</v>
      </c>
      <c r="AF387" s="158">
        <f t="shared" si="208"/>
        <v>0</v>
      </c>
      <c r="AG387" s="158">
        <f t="shared" si="208"/>
        <v>0</v>
      </c>
      <c r="AH387" s="158">
        <f t="shared" si="208"/>
        <v>0</v>
      </c>
      <c r="AI387" s="158">
        <f t="shared" si="208"/>
        <v>0</v>
      </c>
      <c r="AJ387" s="158">
        <f t="shared" si="208"/>
        <v>0</v>
      </c>
      <c r="AK387" s="158">
        <f t="shared" si="208"/>
        <v>0</v>
      </c>
      <c r="AL387" s="158">
        <f t="shared" si="208"/>
        <v>0</v>
      </c>
      <c r="AM387" s="158">
        <f t="shared" si="208"/>
        <v>0</v>
      </c>
      <c r="AN387" s="158">
        <f t="shared" si="208"/>
        <v>0</v>
      </c>
      <c r="AO387" s="158">
        <f t="shared" si="208"/>
        <v>0</v>
      </c>
      <c r="AP387" s="158">
        <f t="shared" si="208"/>
        <v>0</v>
      </c>
      <c r="AQ387" s="158">
        <f t="shared" si="208"/>
        <v>0</v>
      </c>
      <c r="AR387" s="158">
        <f t="shared" si="208"/>
        <v>0</v>
      </c>
      <c r="AS387" s="158">
        <f t="shared" si="208"/>
        <v>0</v>
      </c>
      <c r="AT387" s="158">
        <f t="shared" si="208"/>
        <v>0</v>
      </c>
      <c r="AU387" s="158">
        <f t="shared" si="208"/>
        <v>0</v>
      </c>
      <c r="AV387" s="158">
        <f t="shared" si="208"/>
        <v>0</v>
      </c>
      <c r="AW387" s="158">
        <f t="shared" si="208"/>
        <v>0</v>
      </c>
      <c r="AX387" s="158">
        <f t="shared" si="208"/>
        <v>0</v>
      </c>
      <c r="AY387" s="158">
        <f t="shared" si="208"/>
        <v>0</v>
      </c>
      <c r="AZ387" s="158">
        <f t="shared" si="208"/>
        <v>0</v>
      </c>
      <c r="BA387" s="158">
        <f t="shared" si="208"/>
        <v>0</v>
      </c>
      <c r="BB387" s="158">
        <f t="shared" si="208"/>
        <v>0</v>
      </c>
      <c r="BC387" s="158">
        <f t="shared" si="208"/>
        <v>0</v>
      </c>
      <c r="BD387" s="158">
        <f t="shared" si="208"/>
        <v>0</v>
      </c>
      <c r="BE387" s="158">
        <f t="shared" si="208"/>
        <v>0</v>
      </c>
      <c r="BF387" s="158">
        <f t="shared" si="208"/>
        <v>0</v>
      </c>
      <c r="BG387" s="158">
        <f t="shared" si="208"/>
        <v>107359118018</v>
      </c>
      <c r="BH387" s="158">
        <f t="shared" si="208"/>
        <v>104871163211</v>
      </c>
      <c r="BI387" s="158">
        <f t="shared" si="208"/>
        <v>104865858961</v>
      </c>
      <c r="BJ387" s="158">
        <f t="shared" si="208"/>
        <v>0</v>
      </c>
      <c r="BK387" s="158">
        <f t="shared" si="208"/>
        <v>0</v>
      </c>
      <c r="BL387" s="158">
        <f t="shared" si="208"/>
        <v>0</v>
      </c>
      <c r="BM387" s="158">
        <f t="shared" si="208"/>
        <v>1165770164</v>
      </c>
      <c r="BN387" s="158">
        <f t="shared" si="208"/>
        <v>1165770164.1400001</v>
      </c>
      <c r="BO387" s="158">
        <f t="shared" si="208"/>
        <v>1165770164.1400001</v>
      </c>
      <c r="BP387" s="158">
        <f t="shared" si="208"/>
        <v>0</v>
      </c>
      <c r="BQ387" s="158">
        <f t="shared" si="208"/>
        <v>0</v>
      </c>
      <c r="BR387" s="158">
        <f t="shared" si="208"/>
        <v>0</v>
      </c>
      <c r="BS387" s="158">
        <f t="shared" si="208"/>
        <v>0</v>
      </c>
      <c r="BT387" s="158">
        <f t="shared" si="208"/>
        <v>0</v>
      </c>
      <c r="BU387" s="158">
        <f t="shared" si="208"/>
        <v>0</v>
      </c>
      <c r="BV387" s="158">
        <f t="shared" si="208"/>
        <v>0</v>
      </c>
      <c r="BW387" s="158">
        <f t="shared" si="208"/>
        <v>0</v>
      </c>
      <c r="BX387" s="158">
        <f t="shared" si="208"/>
        <v>0</v>
      </c>
      <c r="BY387" s="158">
        <f t="shared" si="208"/>
        <v>0</v>
      </c>
      <c r="BZ387" s="158">
        <f t="shared" si="208"/>
        <v>0</v>
      </c>
      <c r="CA387" s="158">
        <f t="shared" si="208"/>
        <v>0</v>
      </c>
      <c r="CB387" s="158">
        <f t="shared" si="208"/>
        <v>0</v>
      </c>
      <c r="CC387" s="158">
        <f t="shared" si="208"/>
        <v>0</v>
      </c>
      <c r="CD387" s="158">
        <f t="shared" ref="CD387:CS387" si="209">SUM(CD386:CD386)</f>
        <v>0</v>
      </c>
      <c r="CE387" s="158">
        <f t="shared" si="209"/>
        <v>0</v>
      </c>
      <c r="CF387" s="158">
        <f t="shared" si="209"/>
        <v>0</v>
      </c>
      <c r="CG387" s="158">
        <f t="shared" si="209"/>
        <v>0</v>
      </c>
      <c r="CH387" s="158">
        <f t="shared" si="209"/>
        <v>0</v>
      </c>
      <c r="CI387" s="158">
        <f t="shared" si="209"/>
        <v>0</v>
      </c>
      <c r="CJ387" s="158">
        <f t="shared" si="209"/>
        <v>0</v>
      </c>
      <c r="CK387" s="158">
        <f t="shared" si="209"/>
        <v>0</v>
      </c>
      <c r="CL387" s="158">
        <f t="shared" si="209"/>
        <v>0</v>
      </c>
      <c r="CM387" s="158">
        <f t="shared" si="209"/>
        <v>0</v>
      </c>
      <c r="CN387" s="158">
        <f t="shared" si="209"/>
        <v>0</v>
      </c>
      <c r="CO387" s="158">
        <f t="shared" si="209"/>
        <v>0</v>
      </c>
      <c r="CP387" s="158">
        <f t="shared" si="209"/>
        <v>0</v>
      </c>
      <c r="CQ387" s="158">
        <f t="shared" si="209"/>
        <v>0</v>
      </c>
      <c r="CR387" s="158">
        <f t="shared" si="209"/>
        <v>0</v>
      </c>
      <c r="CS387" s="158">
        <f t="shared" si="209"/>
        <v>0</v>
      </c>
      <c r="CT387" s="158">
        <f>SUM(CT386:CT386)</f>
        <v>108524888182</v>
      </c>
      <c r="CU387" s="158">
        <f>SUM(CU386:CU386)</f>
        <v>106036933375.14</v>
      </c>
      <c r="CV387" s="158">
        <f>SUM(CV386:CV386)</f>
        <v>106031629125.14</v>
      </c>
    </row>
    <row r="388" spans="1:101" ht="15" x14ac:dyDescent="0.25">
      <c r="A388" s="19"/>
      <c r="B388" s="216"/>
      <c r="C388" s="162"/>
      <c r="D388" s="161"/>
      <c r="E388" s="405"/>
      <c r="F388" s="405"/>
      <c r="G388" s="161"/>
      <c r="H388" s="162"/>
      <c r="I388" s="161"/>
      <c r="J388" s="406"/>
      <c r="K388" s="406"/>
      <c r="L388" s="406"/>
      <c r="M388" s="406"/>
      <c r="N388" s="164"/>
      <c r="O388" s="161"/>
      <c r="P388" s="162"/>
      <c r="Q388" s="165">
        <f>Q387+Q383+Q374</f>
        <v>0</v>
      </c>
      <c r="R388" s="165">
        <f t="shared" ref="R388:CC388" si="210">R387+R383+R374</f>
        <v>0</v>
      </c>
      <c r="S388" s="165">
        <f t="shared" si="210"/>
        <v>0</v>
      </c>
      <c r="T388" s="165">
        <f t="shared" si="210"/>
        <v>0</v>
      </c>
      <c r="U388" s="165">
        <f t="shared" si="210"/>
        <v>0</v>
      </c>
      <c r="V388" s="165">
        <f t="shared" si="210"/>
        <v>0</v>
      </c>
      <c r="W388" s="165">
        <f t="shared" si="210"/>
        <v>0</v>
      </c>
      <c r="X388" s="165">
        <f t="shared" si="210"/>
        <v>0</v>
      </c>
      <c r="Y388" s="165">
        <f t="shared" si="210"/>
        <v>0</v>
      </c>
      <c r="Z388" s="165">
        <f t="shared" si="210"/>
        <v>0</v>
      </c>
      <c r="AA388" s="165">
        <f t="shared" si="210"/>
        <v>0</v>
      </c>
      <c r="AB388" s="165">
        <f t="shared" si="210"/>
        <v>0</v>
      </c>
      <c r="AC388" s="165">
        <f t="shared" si="210"/>
        <v>0</v>
      </c>
      <c r="AD388" s="165">
        <f t="shared" si="210"/>
        <v>0</v>
      </c>
      <c r="AE388" s="165">
        <f t="shared" si="210"/>
        <v>0</v>
      </c>
      <c r="AF388" s="165">
        <f t="shared" si="210"/>
        <v>0</v>
      </c>
      <c r="AG388" s="165">
        <f t="shared" si="210"/>
        <v>0</v>
      </c>
      <c r="AH388" s="165">
        <f t="shared" si="210"/>
        <v>0</v>
      </c>
      <c r="AI388" s="165">
        <f t="shared" si="210"/>
        <v>5453350241</v>
      </c>
      <c r="AJ388" s="165">
        <f t="shared" si="210"/>
        <v>4408434665</v>
      </c>
      <c r="AK388" s="165">
        <f t="shared" si="210"/>
        <v>4294300048</v>
      </c>
      <c r="AL388" s="165">
        <f t="shared" si="210"/>
        <v>0</v>
      </c>
      <c r="AM388" s="165">
        <f t="shared" si="210"/>
        <v>0</v>
      </c>
      <c r="AN388" s="165">
        <f t="shared" si="210"/>
        <v>0</v>
      </c>
      <c r="AO388" s="165">
        <f t="shared" si="210"/>
        <v>0</v>
      </c>
      <c r="AP388" s="165">
        <f t="shared" si="210"/>
        <v>0</v>
      </c>
      <c r="AQ388" s="165">
        <f t="shared" si="210"/>
        <v>0</v>
      </c>
      <c r="AR388" s="165">
        <f t="shared" si="210"/>
        <v>0</v>
      </c>
      <c r="AS388" s="165">
        <f t="shared" si="210"/>
        <v>0</v>
      </c>
      <c r="AT388" s="165">
        <f t="shared" si="210"/>
        <v>0</v>
      </c>
      <c r="AU388" s="165">
        <f t="shared" si="210"/>
        <v>0</v>
      </c>
      <c r="AV388" s="165">
        <f t="shared" si="210"/>
        <v>0</v>
      </c>
      <c r="AW388" s="165">
        <f t="shared" si="210"/>
        <v>0</v>
      </c>
      <c r="AX388" s="165">
        <f t="shared" si="210"/>
        <v>0</v>
      </c>
      <c r="AY388" s="165">
        <f t="shared" si="210"/>
        <v>0</v>
      </c>
      <c r="AZ388" s="165">
        <f t="shared" si="210"/>
        <v>0</v>
      </c>
      <c r="BA388" s="165">
        <f t="shared" si="210"/>
        <v>0</v>
      </c>
      <c r="BB388" s="165">
        <f t="shared" si="210"/>
        <v>0</v>
      </c>
      <c r="BC388" s="165">
        <f t="shared" si="210"/>
        <v>0</v>
      </c>
      <c r="BD388" s="165">
        <f t="shared" si="210"/>
        <v>0</v>
      </c>
      <c r="BE388" s="165">
        <f t="shared" si="210"/>
        <v>0</v>
      </c>
      <c r="BF388" s="165">
        <f t="shared" si="210"/>
        <v>0</v>
      </c>
      <c r="BG388" s="165">
        <f t="shared" si="210"/>
        <v>107359118018</v>
      </c>
      <c r="BH388" s="165">
        <f t="shared" si="210"/>
        <v>104871163211</v>
      </c>
      <c r="BI388" s="165">
        <f t="shared" si="210"/>
        <v>104865858961</v>
      </c>
      <c r="BJ388" s="165">
        <f t="shared" si="210"/>
        <v>0</v>
      </c>
      <c r="BK388" s="165">
        <f t="shared" si="210"/>
        <v>0</v>
      </c>
      <c r="BL388" s="165">
        <f t="shared" si="210"/>
        <v>0</v>
      </c>
      <c r="BM388" s="165">
        <f t="shared" si="210"/>
        <v>1165770164</v>
      </c>
      <c r="BN388" s="165">
        <f t="shared" si="210"/>
        <v>1165770164.1400001</v>
      </c>
      <c r="BO388" s="165">
        <f t="shared" si="210"/>
        <v>1165770164.1400001</v>
      </c>
      <c r="BP388" s="165">
        <f t="shared" si="210"/>
        <v>6431354</v>
      </c>
      <c r="BQ388" s="165">
        <f t="shared" si="210"/>
        <v>6336943</v>
      </c>
      <c r="BR388" s="165">
        <f t="shared" si="210"/>
        <v>6336943</v>
      </c>
      <c r="BS388" s="165">
        <f t="shared" si="210"/>
        <v>1341180171</v>
      </c>
      <c r="BT388" s="165">
        <f t="shared" si="210"/>
        <v>976986480</v>
      </c>
      <c r="BU388" s="165">
        <f t="shared" si="210"/>
        <v>976986480</v>
      </c>
      <c r="BV388" s="165">
        <f t="shared" si="210"/>
        <v>0</v>
      </c>
      <c r="BW388" s="165">
        <f t="shared" si="210"/>
        <v>0</v>
      </c>
      <c r="BX388" s="165">
        <f t="shared" si="210"/>
        <v>0</v>
      </c>
      <c r="BY388" s="165">
        <f t="shared" si="210"/>
        <v>9011218541</v>
      </c>
      <c r="BZ388" s="165">
        <f t="shared" si="210"/>
        <v>7905360942</v>
      </c>
      <c r="CA388" s="165">
        <f t="shared" si="210"/>
        <v>7905360942</v>
      </c>
      <c r="CB388" s="165">
        <f t="shared" si="210"/>
        <v>0</v>
      </c>
      <c r="CC388" s="165">
        <f t="shared" si="210"/>
        <v>0</v>
      </c>
      <c r="CD388" s="165">
        <f t="shared" ref="CD388:CS388" si="211">CD387+CD383+CD374</f>
        <v>0</v>
      </c>
      <c r="CE388" s="165">
        <f t="shared" si="211"/>
        <v>4133400205</v>
      </c>
      <c r="CF388" s="165">
        <f t="shared" si="211"/>
        <v>3750745326</v>
      </c>
      <c r="CG388" s="165">
        <f t="shared" si="211"/>
        <v>3536722392</v>
      </c>
      <c r="CH388" s="165">
        <f t="shared" si="211"/>
        <v>0</v>
      </c>
      <c r="CI388" s="165">
        <f t="shared" si="211"/>
        <v>0</v>
      </c>
      <c r="CJ388" s="165">
        <f t="shared" si="211"/>
        <v>0</v>
      </c>
      <c r="CK388" s="165">
        <f t="shared" si="211"/>
        <v>0</v>
      </c>
      <c r="CL388" s="165">
        <f t="shared" si="211"/>
        <v>0</v>
      </c>
      <c r="CM388" s="165">
        <f t="shared" si="211"/>
        <v>0</v>
      </c>
      <c r="CN388" s="165">
        <f t="shared" si="211"/>
        <v>0</v>
      </c>
      <c r="CO388" s="165">
        <f t="shared" si="211"/>
        <v>0</v>
      </c>
      <c r="CP388" s="165">
        <f t="shared" si="211"/>
        <v>0</v>
      </c>
      <c r="CQ388" s="165">
        <f t="shared" si="211"/>
        <v>0</v>
      </c>
      <c r="CR388" s="165">
        <f t="shared" si="211"/>
        <v>0</v>
      </c>
      <c r="CS388" s="165">
        <f t="shared" si="211"/>
        <v>0</v>
      </c>
      <c r="CT388" s="165">
        <f>CT387+CT383+CT374</f>
        <v>128470468694</v>
      </c>
      <c r="CU388" s="165">
        <f>CU387+CU383+CU374</f>
        <v>123084797731.14</v>
      </c>
      <c r="CV388" s="165">
        <f>CV387+CV383+CV374</f>
        <v>122751335930.14</v>
      </c>
    </row>
    <row r="389" spans="1:101" s="27" customFormat="1" ht="15" x14ac:dyDescent="0.25">
      <c r="A389" s="19"/>
      <c r="B389" s="177"/>
      <c r="C389" s="949"/>
      <c r="D389" s="177"/>
      <c r="E389" s="398"/>
      <c r="F389" s="398"/>
      <c r="G389" s="177"/>
      <c r="H389" s="949"/>
      <c r="I389" s="177"/>
      <c r="J389" s="399"/>
      <c r="K389" s="399"/>
      <c r="L389" s="401"/>
      <c r="M389" s="401"/>
      <c r="N389" s="230"/>
      <c r="O389" s="221"/>
      <c r="P389" s="949"/>
      <c r="Q389" s="180"/>
      <c r="R389" s="180"/>
      <c r="S389" s="180"/>
      <c r="T389" s="180"/>
      <c r="U389" s="180"/>
      <c r="V389" s="180"/>
      <c r="W389" s="180"/>
      <c r="X389" s="180"/>
      <c r="Y389" s="180"/>
      <c r="Z389" s="180"/>
      <c r="AA389" s="180"/>
      <c r="AB389" s="180"/>
      <c r="AC389" s="180"/>
      <c r="AD389" s="180"/>
      <c r="AE389" s="180"/>
      <c r="AF389" s="180"/>
      <c r="AG389" s="106"/>
      <c r="AH389" s="106"/>
      <c r="AI389" s="106"/>
      <c r="AJ389" s="106"/>
      <c r="AK389" s="106"/>
      <c r="AL389" s="180"/>
      <c r="AM389" s="180"/>
      <c r="AN389" s="180"/>
      <c r="AO389" s="180"/>
      <c r="AP389" s="180"/>
      <c r="AQ389" s="180"/>
      <c r="AR389" s="180"/>
      <c r="AS389" s="180"/>
      <c r="AT389" s="180"/>
      <c r="AU389" s="180"/>
      <c r="AV389" s="180"/>
      <c r="AW389" s="180"/>
      <c r="AX389" s="180"/>
      <c r="AY389" s="180"/>
      <c r="AZ389" s="180"/>
      <c r="BA389" s="180"/>
      <c r="BB389" s="180"/>
      <c r="BC389" s="180"/>
      <c r="BD389" s="180"/>
      <c r="BE389" s="180"/>
      <c r="BF389" s="180"/>
      <c r="BG389" s="181"/>
      <c r="BH389" s="181"/>
      <c r="BI389" s="181"/>
      <c r="BJ389" s="181"/>
      <c r="BK389" s="181"/>
      <c r="BL389" s="181"/>
      <c r="BM389" s="181"/>
      <c r="BN389" s="181"/>
      <c r="BO389" s="181"/>
      <c r="BP389" s="181"/>
      <c r="BQ389" s="181"/>
      <c r="BR389" s="181"/>
      <c r="BS389" s="181"/>
      <c r="BT389" s="181"/>
      <c r="BU389" s="181"/>
      <c r="BV389" s="181"/>
      <c r="BW389" s="181"/>
      <c r="BX389" s="181"/>
      <c r="BY389" s="180"/>
      <c r="BZ389" s="180"/>
      <c r="CA389" s="180"/>
      <c r="CB389" s="180"/>
      <c r="CC389" s="106"/>
      <c r="CD389" s="106"/>
      <c r="CE389" s="286"/>
      <c r="CF389" s="286"/>
      <c r="CG389" s="286"/>
      <c r="CH389" s="106"/>
      <c r="CI389" s="106"/>
      <c r="CJ389" s="106"/>
      <c r="CK389" s="180"/>
      <c r="CL389" s="180"/>
      <c r="CM389" s="180"/>
      <c r="CN389" s="180"/>
      <c r="CO389" s="180"/>
      <c r="CP389" s="180"/>
      <c r="CQ389" s="180"/>
      <c r="CR389" s="180"/>
      <c r="CS389" s="180"/>
      <c r="CT389" s="25"/>
      <c r="CU389" s="76"/>
      <c r="CV389" s="76"/>
    </row>
    <row r="390" spans="1:101" s="27" customFormat="1" ht="15" x14ac:dyDescent="0.25">
      <c r="A390" s="19"/>
      <c r="B390" s="239">
        <v>6</v>
      </c>
      <c r="C390" s="145" t="s">
        <v>480</v>
      </c>
      <c r="D390" s="146"/>
      <c r="E390" s="146"/>
      <c r="F390" s="146"/>
      <c r="G390" s="146"/>
      <c r="H390" s="147"/>
      <c r="I390" s="146"/>
      <c r="J390" s="146"/>
      <c r="K390" s="146"/>
      <c r="L390" s="146"/>
      <c r="M390" s="146"/>
      <c r="N390" s="677"/>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c r="BI390" s="146"/>
      <c r="BJ390" s="146"/>
      <c r="BK390" s="146"/>
      <c r="BL390" s="146"/>
      <c r="BM390" s="146"/>
      <c r="BN390" s="146"/>
      <c r="BO390" s="146"/>
      <c r="BP390" s="146"/>
      <c r="BQ390" s="146"/>
      <c r="BR390" s="146"/>
      <c r="BS390" s="146"/>
      <c r="BT390" s="146"/>
      <c r="BU390" s="146"/>
      <c r="BV390" s="146"/>
      <c r="BW390" s="146"/>
      <c r="BX390" s="146"/>
      <c r="BY390" s="146"/>
      <c r="BZ390" s="146"/>
      <c r="CA390" s="146"/>
      <c r="CB390" s="146"/>
      <c r="CC390" s="146"/>
      <c r="CD390" s="146"/>
      <c r="CE390" s="148"/>
      <c r="CF390" s="148"/>
      <c r="CG390" s="148"/>
      <c r="CH390" s="146"/>
      <c r="CI390" s="146"/>
      <c r="CJ390" s="146"/>
      <c r="CK390" s="146"/>
      <c r="CL390" s="146"/>
      <c r="CM390" s="146"/>
      <c r="CN390" s="146"/>
      <c r="CO390" s="146"/>
      <c r="CP390" s="146"/>
      <c r="CQ390" s="146"/>
      <c r="CR390" s="146"/>
      <c r="CS390" s="146"/>
      <c r="CT390" s="526"/>
      <c r="CU390" s="526"/>
      <c r="CV390" s="526"/>
    </row>
    <row r="391" spans="1:101" s="27" customFormat="1" ht="15" x14ac:dyDescent="0.25">
      <c r="A391" s="19"/>
      <c r="B391" s="185"/>
      <c r="C391" s="930"/>
      <c r="D391" s="221"/>
      <c r="E391" s="930"/>
      <c r="F391" s="926"/>
      <c r="G391" s="407">
        <v>19</v>
      </c>
      <c r="H391" s="189" t="s">
        <v>481</v>
      </c>
      <c r="I391" s="189"/>
      <c r="J391" s="189"/>
      <c r="K391" s="189"/>
      <c r="L391" s="189"/>
      <c r="M391" s="189"/>
      <c r="N391" s="189"/>
      <c r="O391" s="189"/>
      <c r="P391" s="189"/>
      <c r="Q391" s="189"/>
      <c r="R391" s="189"/>
      <c r="S391" s="189"/>
      <c r="T391" s="189"/>
      <c r="U391" s="189"/>
      <c r="V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189"/>
      <c r="BU391" s="189"/>
      <c r="BV391" s="189"/>
      <c r="BW391" s="189"/>
      <c r="BX391" s="189"/>
      <c r="BY391" s="189"/>
      <c r="BZ391" s="189"/>
      <c r="CA391" s="189"/>
      <c r="CB391" s="189"/>
      <c r="CC391" s="189"/>
      <c r="CD391" s="189"/>
      <c r="CE391" s="190"/>
      <c r="CF391" s="190"/>
      <c r="CG391" s="190"/>
      <c r="CH391" s="189"/>
      <c r="CI391" s="189"/>
      <c r="CJ391" s="189"/>
      <c r="CK391" s="189"/>
      <c r="CL391" s="189"/>
      <c r="CM391" s="189"/>
      <c r="CN391" s="189"/>
      <c r="CO391" s="189"/>
      <c r="CP391" s="189"/>
      <c r="CQ391" s="189"/>
      <c r="CR391" s="189"/>
      <c r="CS391" s="189"/>
      <c r="CT391" s="522"/>
      <c r="CU391" s="522"/>
      <c r="CV391" s="522"/>
    </row>
    <row r="392" spans="1:101" s="27" customFormat="1" ht="102" customHeight="1" x14ac:dyDescent="0.25">
      <c r="A392" s="19"/>
      <c r="B392" s="18"/>
      <c r="C392" s="914"/>
      <c r="D392" s="90"/>
      <c r="E392" s="91"/>
      <c r="F392" s="923"/>
      <c r="G392" s="22"/>
      <c r="H392" s="929">
        <v>75</v>
      </c>
      <c r="I392" s="928" t="s">
        <v>482</v>
      </c>
      <c r="J392" s="56">
        <v>18</v>
      </c>
      <c r="K392" s="92">
        <v>20</v>
      </c>
      <c r="L392" s="645">
        <v>13</v>
      </c>
      <c r="M392" s="1123" t="s">
        <v>452</v>
      </c>
      <c r="N392" s="1017" t="s">
        <v>483</v>
      </c>
      <c r="O392" s="1012" t="s">
        <v>484</v>
      </c>
      <c r="P392" s="929" t="s">
        <v>34</v>
      </c>
      <c r="Q392" s="25">
        <v>0</v>
      </c>
      <c r="R392" s="25"/>
      <c r="S392" s="25"/>
      <c r="T392" s="25">
        <v>0</v>
      </c>
      <c r="U392" s="25"/>
      <c r="V392" s="25"/>
      <c r="W392" s="25">
        <v>0</v>
      </c>
      <c r="X392" s="25"/>
      <c r="Y392" s="25"/>
      <c r="Z392" s="25">
        <v>0</v>
      </c>
      <c r="AA392" s="25"/>
      <c r="AB392" s="25"/>
      <c r="AC392" s="25">
        <v>0</v>
      </c>
      <c r="AD392" s="25"/>
      <c r="AE392" s="25"/>
      <c r="AF392" s="25">
        <v>0</v>
      </c>
      <c r="AG392" s="106"/>
      <c r="AH392" s="106"/>
      <c r="AL392" s="25"/>
      <c r="AM392" s="25"/>
      <c r="AN392" s="25"/>
      <c r="AO392" s="25"/>
      <c r="AP392" s="25"/>
      <c r="AQ392" s="25"/>
      <c r="AR392" s="25"/>
      <c r="AS392" s="25"/>
      <c r="AT392" s="25"/>
      <c r="AU392" s="25">
        <v>0</v>
      </c>
      <c r="AV392" s="25"/>
      <c r="AW392" s="25"/>
      <c r="AX392" s="25"/>
      <c r="AY392" s="25"/>
      <c r="AZ392" s="25"/>
      <c r="BA392" s="25">
        <v>0</v>
      </c>
      <c r="BB392" s="25"/>
      <c r="BC392" s="25"/>
      <c r="BD392" s="25">
        <v>0</v>
      </c>
      <c r="BE392" s="25"/>
      <c r="BF392" s="25"/>
      <c r="BG392" s="25"/>
      <c r="BH392" s="25"/>
      <c r="BI392" s="25"/>
      <c r="BJ392" s="25"/>
      <c r="BK392" s="25"/>
      <c r="BL392" s="25"/>
      <c r="BM392" s="25"/>
      <c r="BN392" s="25"/>
      <c r="BO392" s="25"/>
      <c r="BP392" s="25"/>
      <c r="BQ392" s="25"/>
      <c r="BR392" s="25"/>
      <c r="BS392" s="25"/>
      <c r="BT392" s="25"/>
      <c r="BU392" s="25"/>
      <c r="BV392" s="25"/>
      <c r="BW392" s="25"/>
      <c r="BX392" s="25"/>
      <c r="BY392" s="25">
        <v>0</v>
      </c>
      <c r="BZ392" s="25"/>
      <c r="CA392" s="25"/>
      <c r="CB392" s="25">
        <v>0</v>
      </c>
      <c r="CC392" s="108"/>
      <c r="CD392" s="108"/>
      <c r="CE392" s="117">
        <v>0</v>
      </c>
      <c r="CF392" s="117"/>
      <c r="CG392" s="117"/>
      <c r="CH392" s="93"/>
      <c r="CI392" s="93"/>
      <c r="CJ392" s="93"/>
      <c r="CK392" s="25">
        <v>0</v>
      </c>
      <c r="CL392" s="26"/>
      <c r="CM392" s="26"/>
      <c r="CN392" s="26">
        <v>0</v>
      </c>
      <c r="CO392" s="26"/>
      <c r="CP392" s="26"/>
      <c r="CQ392" s="26"/>
      <c r="CR392" s="26"/>
      <c r="CS392" s="26"/>
      <c r="CT392" s="25">
        <f t="shared" ref="CT392:CV399" si="212">Q392+T392+W392+Z392+AC392+AF392+AI392+AL392+AO392+AR392+AU392+AX392+BA392+BD392+BG392+BJ392+BM392+BP392+BS392+BV392+BY392+CB392+CE392+CH392+CK392+CQ392+CN392</f>
        <v>0</v>
      </c>
      <c r="CU392" s="25">
        <f t="shared" si="212"/>
        <v>0</v>
      </c>
      <c r="CV392" s="25">
        <f t="shared" si="212"/>
        <v>0</v>
      </c>
    </row>
    <row r="393" spans="1:101" s="27" customFormat="1" ht="74.25" customHeight="1" x14ac:dyDescent="0.25">
      <c r="A393" s="19"/>
      <c r="B393" s="18"/>
      <c r="C393" s="915"/>
      <c r="D393" s="94"/>
      <c r="E393" s="95"/>
      <c r="F393" s="933"/>
      <c r="G393" s="28"/>
      <c r="H393" s="929">
        <v>76</v>
      </c>
      <c r="I393" s="928" t="s">
        <v>485</v>
      </c>
      <c r="J393" s="56">
        <v>0</v>
      </c>
      <c r="K393" s="92">
        <v>600</v>
      </c>
      <c r="L393" s="92">
        <v>837</v>
      </c>
      <c r="M393" s="1127"/>
      <c r="N393" s="1018"/>
      <c r="O393" s="1020"/>
      <c r="P393" s="929" t="s">
        <v>34</v>
      </c>
      <c r="Q393" s="25">
        <v>0</v>
      </c>
      <c r="R393" s="25"/>
      <c r="S393" s="25"/>
      <c r="T393" s="25">
        <v>0</v>
      </c>
      <c r="U393" s="25"/>
      <c r="V393" s="25"/>
      <c r="W393" s="25">
        <v>0</v>
      </c>
      <c r="X393" s="25"/>
      <c r="Y393" s="25"/>
      <c r="Z393" s="25">
        <v>0</v>
      </c>
      <c r="AA393" s="25"/>
      <c r="AB393" s="25"/>
      <c r="AC393" s="25">
        <v>0</v>
      </c>
      <c r="AD393" s="25"/>
      <c r="AE393" s="25"/>
      <c r="AF393" s="25">
        <v>0</v>
      </c>
      <c r="AG393" s="25"/>
      <c r="AH393" s="25"/>
      <c r="AI393" s="25">
        <v>159104816</v>
      </c>
      <c r="AJ393" s="25">
        <v>151904816</v>
      </c>
      <c r="AK393" s="25">
        <v>151904816</v>
      </c>
      <c r="AL393" s="25"/>
      <c r="AM393" s="25"/>
      <c r="AN393" s="25"/>
      <c r="AO393" s="25"/>
      <c r="AP393" s="25"/>
      <c r="AQ393" s="25"/>
      <c r="AR393" s="25"/>
      <c r="AS393" s="25"/>
      <c r="AT393" s="25"/>
      <c r="AU393" s="25">
        <v>0</v>
      </c>
      <c r="AV393" s="25"/>
      <c r="AW393" s="25"/>
      <c r="AX393" s="25"/>
      <c r="AY393" s="25"/>
      <c r="AZ393" s="25"/>
      <c r="BA393" s="25">
        <v>0</v>
      </c>
      <c r="BB393" s="25"/>
      <c r="BC393" s="25"/>
      <c r="BD393" s="25">
        <v>0</v>
      </c>
      <c r="BE393" s="25"/>
      <c r="BF393" s="25"/>
      <c r="BG393" s="25"/>
      <c r="BH393" s="25"/>
      <c r="BI393" s="25"/>
      <c r="BJ393" s="25"/>
      <c r="BK393" s="25"/>
      <c r="BL393" s="25"/>
      <c r="BM393" s="25"/>
      <c r="BN393" s="25"/>
      <c r="BO393" s="25"/>
      <c r="BP393" s="25"/>
      <c r="BQ393" s="25"/>
      <c r="BR393" s="25"/>
      <c r="BS393" s="25"/>
      <c r="BT393" s="25"/>
      <c r="BU393" s="25"/>
      <c r="BV393" s="25"/>
      <c r="BW393" s="25"/>
      <c r="BX393" s="25"/>
      <c r="BY393" s="25">
        <v>0</v>
      </c>
      <c r="BZ393" s="25"/>
      <c r="CA393" s="25"/>
      <c r="CB393" s="25">
        <v>0</v>
      </c>
      <c r="CC393" s="25"/>
      <c r="CD393" s="25"/>
      <c r="CE393" s="110">
        <v>0</v>
      </c>
      <c r="CF393" s="110"/>
      <c r="CG393" s="110"/>
      <c r="CH393" s="37"/>
      <c r="CI393" s="37"/>
      <c r="CJ393" s="37"/>
      <c r="CK393" s="25">
        <v>0</v>
      </c>
      <c r="CL393" s="26"/>
      <c r="CM393" s="26"/>
      <c r="CN393" s="26">
        <v>0</v>
      </c>
      <c r="CO393" s="26"/>
      <c r="CP393" s="26"/>
      <c r="CQ393" s="26"/>
      <c r="CR393" s="26"/>
      <c r="CS393" s="26"/>
      <c r="CT393" s="25">
        <f t="shared" si="212"/>
        <v>159104816</v>
      </c>
      <c r="CU393" s="25">
        <f t="shared" si="212"/>
        <v>151904816</v>
      </c>
      <c r="CV393" s="25">
        <f t="shared" si="212"/>
        <v>151904816</v>
      </c>
    </row>
    <row r="394" spans="1:101" s="27" customFormat="1" ht="147.75" customHeight="1" x14ac:dyDescent="0.25">
      <c r="A394" s="19"/>
      <c r="B394" s="18"/>
      <c r="C394" s="915">
        <v>16</v>
      </c>
      <c r="D394" s="94" t="s">
        <v>990</v>
      </c>
      <c r="E394" s="96">
        <v>45</v>
      </c>
      <c r="F394" s="924">
        <v>90</v>
      </c>
      <c r="G394" s="28"/>
      <c r="H394" s="929">
        <v>77</v>
      </c>
      <c r="I394" s="928" t="s">
        <v>486</v>
      </c>
      <c r="J394" s="56">
        <v>20</v>
      </c>
      <c r="K394" s="92">
        <v>50</v>
      </c>
      <c r="L394" s="92">
        <v>79</v>
      </c>
      <c r="M394" s="1127"/>
      <c r="N394" s="1018"/>
      <c r="O394" s="1020"/>
      <c r="P394" s="929" t="s">
        <v>34</v>
      </c>
      <c r="Q394" s="25">
        <v>0</v>
      </c>
      <c r="R394" s="25"/>
      <c r="S394" s="25"/>
      <c r="T394" s="25">
        <v>0</v>
      </c>
      <c r="U394" s="25"/>
      <c r="V394" s="25"/>
      <c r="W394" s="25">
        <v>0</v>
      </c>
      <c r="X394" s="25"/>
      <c r="Y394" s="25"/>
      <c r="Z394" s="25">
        <v>0</v>
      </c>
      <c r="AA394" s="25"/>
      <c r="AB394" s="25"/>
      <c r="AC394" s="25">
        <v>0</v>
      </c>
      <c r="AD394" s="25"/>
      <c r="AE394" s="25"/>
      <c r="AF394" s="25">
        <v>0</v>
      </c>
      <c r="AG394" s="25"/>
      <c r="AH394" s="25"/>
      <c r="AI394" s="25">
        <v>0</v>
      </c>
      <c r="AJ394" s="25"/>
      <c r="AK394" s="25"/>
      <c r="AL394" s="25"/>
      <c r="AM394" s="25"/>
      <c r="AN394" s="25"/>
      <c r="AO394" s="25"/>
      <c r="AP394" s="25"/>
      <c r="AQ394" s="25"/>
      <c r="AR394" s="25"/>
      <c r="AS394" s="25"/>
      <c r="AT394" s="25"/>
      <c r="AU394" s="25">
        <v>0</v>
      </c>
      <c r="AV394" s="25"/>
      <c r="AW394" s="25"/>
      <c r="AX394" s="25"/>
      <c r="AY394" s="25"/>
      <c r="AZ394" s="25"/>
      <c r="BA394" s="25">
        <v>0</v>
      </c>
      <c r="BB394" s="25"/>
      <c r="BC394" s="25"/>
      <c r="BD394" s="25">
        <v>0</v>
      </c>
      <c r="BE394" s="25"/>
      <c r="BF394" s="25"/>
      <c r="BG394" s="25"/>
      <c r="BH394" s="25"/>
      <c r="BI394" s="25"/>
      <c r="BJ394" s="25"/>
      <c r="BK394" s="25"/>
      <c r="BL394" s="25"/>
      <c r="BM394" s="25"/>
      <c r="BN394" s="25"/>
      <c r="BO394" s="25"/>
      <c r="BP394" s="25"/>
      <c r="BQ394" s="25"/>
      <c r="BR394" s="25"/>
      <c r="BS394" s="25"/>
      <c r="BT394" s="25"/>
      <c r="BU394" s="25"/>
      <c r="BV394" s="25"/>
      <c r="BW394" s="25"/>
      <c r="BX394" s="25"/>
      <c r="BY394" s="25">
        <v>0</v>
      </c>
      <c r="BZ394" s="25"/>
      <c r="CA394" s="25"/>
      <c r="CB394" s="25">
        <v>0</v>
      </c>
      <c r="CC394" s="25"/>
      <c r="CD394" s="25"/>
      <c r="CE394" s="110">
        <v>0</v>
      </c>
      <c r="CF394" s="110"/>
      <c r="CG394" s="110"/>
      <c r="CH394" s="37"/>
      <c r="CI394" s="37"/>
      <c r="CJ394" s="37"/>
      <c r="CK394" s="25">
        <v>0</v>
      </c>
      <c r="CL394" s="26"/>
      <c r="CM394" s="26"/>
      <c r="CN394" s="26">
        <v>0</v>
      </c>
      <c r="CO394" s="26"/>
      <c r="CP394" s="26"/>
      <c r="CQ394" s="26"/>
      <c r="CR394" s="26"/>
      <c r="CS394" s="26"/>
      <c r="CT394" s="25">
        <f t="shared" si="212"/>
        <v>0</v>
      </c>
      <c r="CU394" s="25">
        <f t="shared" si="212"/>
        <v>0</v>
      </c>
      <c r="CV394" s="25">
        <f t="shared" si="212"/>
        <v>0</v>
      </c>
    </row>
    <row r="395" spans="1:101" s="27" customFormat="1" ht="56.25" customHeight="1" x14ac:dyDescent="0.25">
      <c r="A395" s="19"/>
      <c r="B395" s="18"/>
      <c r="C395" s="915"/>
      <c r="D395" s="94"/>
      <c r="E395" s="95"/>
      <c r="F395" s="933"/>
      <c r="G395" s="28"/>
      <c r="H395" s="929">
        <v>78</v>
      </c>
      <c r="I395" s="928" t="s">
        <v>487</v>
      </c>
      <c r="J395" s="56">
        <v>7</v>
      </c>
      <c r="K395" s="92">
        <v>11</v>
      </c>
      <c r="L395" s="92">
        <v>9</v>
      </c>
      <c r="M395" s="1127"/>
      <c r="N395" s="1018"/>
      <c r="O395" s="1020"/>
      <c r="P395" s="929" t="s">
        <v>34</v>
      </c>
      <c r="Q395" s="25">
        <v>0</v>
      </c>
      <c r="R395" s="25"/>
      <c r="S395" s="25"/>
      <c r="T395" s="25">
        <v>0</v>
      </c>
      <c r="U395" s="25"/>
      <c r="V395" s="25"/>
      <c r="W395" s="25">
        <v>0</v>
      </c>
      <c r="X395" s="25"/>
      <c r="Y395" s="25"/>
      <c r="Z395" s="25">
        <v>0</v>
      </c>
      <c r="AA395" s="25"/>
      <c r="AB395" s="25"/>
      <c r="AC395" s="25">
        <v>0</v>
      </c>
      <c r="AD395" s="25"/>
      <c r="AE395" s="25"/>
      <c r="AF395" s="25">
        <v>0</v>
      </c>
      <c r="AG395" s="25"/>
      <c r="AH395" s="25"/>
      <c r="AI395" s="25">
        <v>0</v>
      </c>
      <c r="AJ395" s="25"/>
      <c r="AK395" s="25"/>
      <c r="AL395" s="25"/>
      <c r="AM395" s="25"/>
      <c r="AN395" s="25"/>
      <c r="AO395" s="25"/>
      <c r="AP395" s="25"/>
      <c r="AQ395" s="25"/>
      <c r="AR395" s="25"/>
      <c r="AS395" s="25"/>
      <c r="AT395" s="25"/>
      <c r="AU395" s="25">
        <v>0</v>
      </c>
      <c r="AV395" s="25"/>
      <c r="AW395" s="25"/>
      <c r="AX395" s="25"/>
      <c r="AY395" s="25"/>
      <c r="AZ395" s="25"/>
      <c r="BA395" s="25">
        <v>0</v>
      </c>
      <c r="BB395" s="25"/>
      <c r="BC395" s="25"/>
      <c r="BD395" s="25">
        <v>0</v>
      </c>
      <c r="BE395" s="25"/>
      <c r="BF395" s="25"/>
      <c r="BG395" s="25"/>
      <c r="BH395" s="25"/>
      <c r="BI395" s="25"/>
      <c r="BJ395" s="25"/>
      <c r="BK395" s="25"/>
      <c r="BL395" s="25"/>
      <c r="BM395" s="25"/>
      <c r="BN395" s="25"/>
      <c r="BO395" s="25"/>
      <c r="BP395" s="25"/>
      <c r="BQ395" s="25"/>
      <c r="BR395" s="25"/>
      <c r="BS395" s="25"/>
      <c r="BT395" s="25"/>
      <c r="BU395" s="25"/>
      <c r="BV395" s="25"/>
      <c r="BW395" s="25"/>
      <c r="BX395" s="25"/>
      <c r="BY395" s="25">
        <v>0</v>
      </c>
      <c r="BZ395" s="25"/>
      <c r="CA395" s="25"/>
      <c r="CB395" s="25">
        <v>0</v>
      </c>
      <c r="CC395" s="25"/>
      <c r="CD395" s="25"/>
      <c r="CE395" s="110">
        <v>0</v>
      </c>
      <c r="CF395" s="110"/>
      <c r="CG395" s="110"/>
      <c r="CH395" s="37"/>
      <c r="CI395" s="37"/>
      <c r="CJ395" s="37"/>
      <c r="CK395" s="25">
        <v>0</v>
      </c>
      <c r="CL395" s="26"/>
      <c r="CM395" s="26"/>
      <c r="CN395" s="26">
        <v>0</v>
      </c>
      <c r="CO395" s="26"/>
      <c r="CP395" s="26"/>
      <c r="CQ395" s="26"/>
      <c r="CR395" s="26"/>
      <c r="CS395" s="26"/>
      <c r="CT395" s="25">
        <f t="shared" si="212"/>
        <v>0</v>
      </c>
      <c r="CU395" s="25">
        <f t="shared" si="212"/>
        <v>0</v>
      </c>
      <c r="CV395" s="25">
        <f t="shared" si="212"/>
        <v>0</v>
      </c>
    </row>
    <row r="396" spans="1:101" s="27" customFormat="1" ht="98.25" customHeight="1" x14ac:dyDescent="0.25">
      <c r="A396" s="19"/>
      <c r="B396" s="18"/>
      <c r="C396" s="915">
        <v>17</v>
      </c>
      <c r="D396" s="94" t="s">
        <v>488</v>
      </c>
      <c r="E396" s="95">
        <v>0.63270000000000004</v>
      </c>
      <c r="F396" s="933">
        <v>0.5</v>
      </c>
      <c r="G396" s="28"/>
      <c r="H396" s="929">
        <v>79</v>
      </c>
      <c r="I396" s="928" t="s">
        <v>489</v>
      </c>
      <c r="J396" s="56">
        <v>96</v>
      </c>
      <c r="K396" s="92">
        <v>163</v>
      </c>
      <c r="L396" s="92">
        <v>125</v>
      </c>
      <c r="M396" s="1127"/>
      <c r="N396" s="1018"/>
      <c r="O396" s="1020"/>
      <c r="P396" s="929" t="s">
        <v>34</v>
      </c>
      <c r="Q396" s="25">
        <v>0</v>
      </c>
      <c r="R396" s="25"/>
      <c r="S396" s="25"/>
      <c r="T396" s="25">
        <v>0</v>
      </c>
      <c r="U396" s="25"/>
      <c r="V396" s="25"/>
      <c r="W396" s="25">
        <v>0</v>
      </c>
      <c r="X396" s="25"/>
      <c r="Y396" s="25"/>
      <c r="Z396" s="25">
        <v>0</v>
      </c>
      <c r="AA396" s="25"/>
      <c r="AB396" s="25"/>
      <c r="AC396" s="25">
        <v>0</v>
      </c>
      <c r="AD396" s="25"/>
      <c r="AE396" s="25"/>
      <c r="AF396" s="25">
        <v>0</v>
      </c>
      <c r="AG396" s="25"/>
      <c r="AH396" s="25"/>
      <c r="AI396" s="25">
        <v>0</v>
      </c>
      <c r="AJ396" s="25"/>
      <c r="AK396" s="25"/>
      <c r="AL396" s="25"/>
      <c r="AM396" s="25"/>
      <c r="AN396" s="25"/>
      <c r="AO396" s="25"/>
      <c r="AP396" s="25"/>
      <c r="AQ396" s="25"/>
      <c r="AR396" s="25"/>
      <c r="AS396" s="25"/>
      <c r="AT396" s="25"/>
      <c r="AU396" s="25">
        <v>0</v>
      </c>
      <c r="AV396" s="25"/>
      <c r="AW396" s="25"/>
      <c r="AX396" s="25"/>
      <c r="AY396" s="25"/>
      <c r="AZ396" s="25"/>
      <c r="BA396" s="25">
        <v>0</v>
      </c>
      <c r="BB396" s="25"/>
      <c r="BC396" s="25"/>
      <c r="BD396" s="25">
        <v>0</v>
      </c>
      <c r="BE396" s="25"/>
      <c r="BF396" s="25"/>
      <c r="BG396" s="25"/>
      <c r="BH396" s="25"/>
      <c r="BI396" s="25"/>
      <c r="BJ396" s="25"/>
      <c r="BK396" s="25"/>
      <c r="BL396" s="25"/>
      <c r="BM396" s="25"/>
      <c r="BN396" s="25"/>
      <c r="BO396" s="25"/>
      <c r="BP396" s="25"/>
      <c r="BQ396" s="25"/>
      <c r="BR396" s="25"/>
      <c r="BS396" s="25"/>
      <c r="BT396" s="25"/>
      <c r="BU396" s="25"/>
      <c r="BV396" s="25"/>
      <c r="BW396" s="25"/>
      <c r="BX396" s="25"/>
      <c r="BY396" s="25">
        <v>0</v>
      </c>
      <c r="BZ396" s="25"/>
      <c r="CA396" s="25"/>
      <c r="CB396" s="25">
        <v>0</v>
      </c>
      <c r="CC396" s="25"/>
      <c r="CD396" s="25"/>
      <c r="CE396" s="110">
        <v>0</v>
      </c>
      <c r="CF396" s="110"/>
      <c r="CG396" s="110"/>
      <c r="CH396" s="37"/>
      <c r="CI396" s="37"/>
      <c r="CJ396" s="37"/>
      <c r="CK396" s="25">
        <v>0</v>
      </c>
      <c r="CL396" s="26"/>
      <c r="CM396" s="26"/>
      <c r="CN396" s="26">
        <v>0</v>
      </c>
      <c r="CO396" s="26"/>
      <c r="CP396" s="26"/>
      <c r="CQ396" s="26"/>
      <c r="CR396" s="26"/>
      <c r="CS396" s="26"/>
      <c r="CT396" s="25">
        <f t="shared" si="212"/>
        <v>0</v>
      </c>
      <c r="CU396" s="25">
        <f t="shared" si="212"/>
        <v>0</v>
      </c>
      <c r="CV396" s="25">
        <f t="shared" si="212"/>
        <v>0</v>
      </c>
    </row>
    <row r="397" spans="1:101" s="27" customFormat="1" ht="28.5" x14ac:dyDescent="0.25">
      <c r="A397" s="19"/>
      <c r="B397" s="18"/>
      <c r="C397" s="915"/>
      <c r="D397" s="94"/>
      <c r="E397" s="95"/>
      <c r="F397" s="933"/>
      <c r="G397" s="28"/>
      <c r="H397" s="929">
        <v>80</v>
      </c>
      <c r="I397" s="928" t="s">
        <v>490</v>
      </c>
      <c r="J397" s="56">
        <v>2906</v>
      </c>
      <c r="K397" s="92">
        <v>3803</v>
      </c>
      <c r="L397" s="645">
        <v>3138</v>
      </c>
      <c r="M397" s="1127"/>
      <c r="N397" s="1018"/>
      <c r="O397" s="1020"/>
      <c r="P397" s="929" t="s">
        <v>34</v>
      </c>
      <c r="Q397" s="25">
        <v>0</v>
      </c>
      <c r="R397" s="25"/>
      <c r="S397" s="25"/>
      <c r="T397" s="25">
        <v>0</v>
      </c>
      <c r="U397" s="25"/>
      <c r="V397" s="25"/>
      <c r="W397" s="25">
        <v>0</v>
      </c>
      <c r="X397" s="25"/>
      <c r="Y397" s="25"/>
      <c r="Z397" s="25">
        <v>0</v>
      </c>
      <c r="AA397" s="25"/>
      <c r="AB397" s="25"/>
      <c r="AC397" s="25">
        <v>0</v>
      </c>
      <c r="AD397" s="25"/>
      <c r="AE397" s="25"/>
      <c r="AF397" s="25">
        <v>0</v>
      </c>
      <c r="AG397" s="25"/>
      <c r="AH397" s="25"/>
      <c r="AI397" s="25">
        <v>0</v>
      </c>
      <c r="AJ397" s="25"/>
      <c r="AK397" s="25"/>
      <c r="AL397" s="25"/>
      <c r="AM397" s="25"/>
      <c r="AN397" s="25"/>
      <c r="AO397" s="25"/>
      <c r="AP397" s="25"/>
      <c r="AQ397" s="25"/>
      <c r="AR397" s="25"/>
      <c r="AS397" s="25"/>
      <c r="AT397" s="25"/>
      <c r="AU397" s="25">
        <v>0</v>
      </c>
      <c r="AV397" s="25"/>
      <c r="AW397" s="25"/>
      <c r="AX397" s="25"/>
      <c r="AY397" s="25"/>
      <c r="AZ397" s="25"/>
      <c r="BA397" s="25">
        <v>0</v>
      </c>
      <c r="BB397" s="25"/>
      <c r="BC397" s="25"/>
      <c r="BD397" s="25">
        <v>0</v>
      </c>
      <c r="BE397" s="25"/>
      <c r="BF397" s="25"/>
      <c r="BG397" s="25"/>
      <c r="BH397" s="25"/>
      <c r="BI397" s="25"/>
      <c r="BJ397" s="25"/>
      <c r="BK397" s="25"/>
      <c r="BL397" s="25"/>
      <c r="BM397" s="25"/>
      <c r="BN397" s="25"/>
      <c r="BO397" s="25"/>
      <c r="BP397" s="25"/>
      <c r="BQ397" s="25"/>
      <c r="BR397" s="25"/>
      <c r="BS397" s="25"/>
      <c r="BT397" s="25"/>
      <c r="BU397" s="25"/>
      <c r="BV397" s="25"/>
      <c r="BW397" s="25"/>
      <c r="BX397" s="25"/>
      <c r="BY397" s="25">
        <v>0</v>
      </c>
      <c r="BZ397" s="25"/>
      <c r="CA397" s="25"/>
      <c r="CB397" s="25">
        <v>0</v>
      </c>
      <c r="CC397" s="25"/>
      <c r="CD397" s="25"/>
      <c r="CE397" s="110">
        <v>0</v>
      </c>
      <c r="CF397" s="110"/>
      <c r="CG397" s="110"/>
      <c r="CH397" s="37"/>
      <c r="CI397" s="37"/>
      <c r="CJ397" s="37"/>
      <c r="CK397" s="25">
        <v>0</v>
      </c>
      <c r="CL397" s="26"/>
      <c r="CM397" s="26"/>
      <c r="CN397" s="26">
        <v>0</v>
      </c>
      <c r="CO397" s="26"/>
      <c r="CP397" s="26"/>
      <c r="CQ397" s="26"/>
      <c r="CR397" s="26"/>
      <c r="CS397" s="26"/>
      <c r="CT397" s="25">
        <f t="shared" si="212"/>
        <v>0</v>
      </c>
      <c r="CU397" s="25">
        <f t="shared" si="212"/>
        <v>0</v>
      </c>
      <c r="CV397" s="25">
        <f t="shared" si="212"/>
        <v>0</v>
      </c>
    </row>
    <row r="398" spans="1:101" s="27" customFormat="1" ht="85.5" x14ac:dyDescent="0.25">
      <c r="A398" s="19"/>
      <c r="B398" s="18"/>
      <c r="C398" s="915"/>
      <c r="D398" s="918" t="s">
        <v>0</v>
      </c>
      <c r="E398" s="95"/>
      <c r="F398" s="933"/>
      <c r="G398" s="28"/>
      <c r="H398" s="929">
        <v>81</v>
      </c>
      <c r="I398" s="928" t="s">
        <v>491</v>
      </c>
      <c r="J398" s="30">
        <v>13</v>
      </c>
      <c r="K398" s="92">
        <v>25</v>
      </c>
      <c r="L398" s="645">
        <v>20</v>
      </c>
      <c r="M398" s="1127"/>
      <c r="N398" s="1018"/>
      <c r="O398" s="1020"/>
      <c r="P398" s="929" t="s">
        <v>34</v>
      </c>
      <c r="Q398" s="25">
        <v>0</v>
      </c>
      <c r="R398" s="25"/>
      <c r="S398" s="25"/>
      <c r="T398" s="25">
        <v>0</v>
      </c>
      <c r="U398" s="25"/>
      <c r="V398" s="25"/>
      <c r="W398" s="25">
        <v>0</v>
      </c>
      <c r="X398" s="25"/>
      <c r="Y398" s="25"/>
      <c r="Z398" s="25">
        <v>0</v>
      </c>
      <c r="AA398" s="25"/>
      <c r="AB398" s="25"/>
      <c r="AC398" s="25">
        <v>0</v>
      </c>
      <c r="AD398" s="25"/>
      <c r="AE398" s="25"/>
      <c r="AF398" s="25">
        <v>0</v>
      </c>
      <c r="AG398" s="25"/>
      <c r="AH398" s="25"/>
      <c r="AI398" s="25">
        <v>0</v>
      </c>
      <c r="AJ398" s="25"/>
      <c r="AK398" s="25"/>
      <c r="AL398" s="25"/>
      <c r="AM398" s="25"/>
      <c r="AN398" s="25"/>
      <c r="AO398" s="25"/>
      <c r="AP398" s="25"/>
      <c r="AQ398" s="25"/>
      <c r="AR398" s="25"/>
      <c r="AS398" s="25"/>
      <c r="AT398" s="25"/>
      <c r="AU398" s="25">
        <v>0</v>
      </c>
      <c r="AV398" s="25"/>
      <c r="AW398" s="25"/>
      <c r="AX398" s="25"/>
      <c r="AY398" s="25"/>
      <c r="AZ398" s="25"/>
      <c r="BA398" s="25">
        <v>0</v>
      </c>
      <c r="BB398" s="25"/>
      <c r="BC398" s="25"/>
      <c r="BD398" s="25">
        <v>0</v>
      </c>
      <c r="BE398" s="25"/>
      <c r="BF398" s="25"/>
      <c r="BG398" s="25"/>
      <c r="BH398" s="25"/>
      <c r="BI398" s="25"/>
      <c r="BJ398" s="25"/>
      <c r="BK398" s="25"/>
      <c r="BL398" s="25"/>
      <c r="BM398" s="25"/>
      <c r="BN398" s="25"/>
      <c r="BO398" s="25"/>
      <c r="BP398" s="25"/>
      <c r="BQ398" s="25"/>
      <c r="BR398" s="25"/>
      <c r="BS398" s="25"/>
      <c r="BT398" s="25"/>
      <c r="BU398" s="25"/>
      <c r="BV398" s="25"/>
      <c r="BW398" s="25"/>
      <c r="BX398" s="25"/>
      <c r="BY398" s="25">
        <v>0</v>
      </c>
      <c r="BZ398" s="25"/>
      <c r="CA398" s="25"/>
      <c r="CB398" s="25">
        <v>0</v>
      </c>
      <c r="CC398" s="25"/>
      <c r="CD398" s="25"/>
      <c r="CE398" s="110">
        <v>0</v>
      </c>
      <c r="CF398" s="110"/>
      <c r="CG398" s="110"/>
      <c r="CH398" s="37"/>
      <c r="CI398" s="37"/>
      <c r="CJ398" s="37"/>
      <c r="CK398" s="25">
        <v>0</v>
      </c>
      <c r="CL398" s="26"/>
      <c r="CM398" s="26"/>
      <c r="CN398" s="26">
        <v>0</v>
      </c>
      <c r="CO398" s="26"/>
      <c r="CP398" s="26"/>
      <c r="CQ398" s="26"/>
      <c r="CR398" s="26"/>
      <c r="CS398" s="26"/>
      <c r="CT398" s="25">
        <f t="shared" si="212"/>
        <v>0</v>
      </c>
      <c r="CU398" s="25">
        <f t="shared" si="212"/>
        <v>0</v>
      </c>
      <c r="CV398" s="25">
        <f t="shared" si="212"/>
        <v>0</v>
      </c>
    </row>
    <row r="399" spans="1:101" s="27" customFormat="1" ht="71.25" x14ac:dyDescent="0.25">
      <c r="A399" s="19"/>
      <c r="B399" s="18"/>
      <c r="C399" s="915"/>
      <c r="D399" s="918" t="s">
        <v>0</v>
      </c>
      <c r="E399" s="95"/>
      <c r="F399" s="933"/>
      <c r="G399" s="29"/>
      <c r="H399" s="929">
        <v>82</v>
      </c>
      <c r="I399" s="928" t="s">
        <v>492</v>
      </c>
      <c r="J399" s="30">
        <v>14</v>
      </c>
      <c r="K399" s="92">
        <v>25</v>
      </c>
      <c r="L399" s="645">
        <v>16</v>
      </c>
      <c r="M399" s="1124"/>
      <c r="N399" s="1019"/>
      <c r="O399" s="1013"/>
      <c r="P399" s="929" t="s">
        <v>34</v>
      </c>
      <c r="Q399" s="25">
        <v>0</v>
      </c>
      <c r="R399" s="25"/>
      <c r="S399" s="25"/>
      <c r="T399" s="25">
        <v>0</v>
      </c>
      <c r="U399" s="25"/>
      <c r="V399" s="25"/>
      <c r="W399" s="25">
        <v>0</v>
      </c>
      <c r="X399" s="25"/>
      <c r="Y399" s="25"/>
      <c r="Z399" s="25">
        <v>0</v>
      </c>
      <c r="AA399" s="25"/>
      <c r="AB399" s="25"/>
      <c r="AC399" s="25">
        <v>0</v>
      </c>
      <c r="AD399" s="25"/>
      <c r="AE399" s="25"/>
      <c r="AF399" s="25">
        <v>0</v>
      </c>
      <c r="AG399" s="25"/>
      <c r="AH399" s="25"/>
      <c r="AI399" s="25">
        <v>0</v>
      </c>
      <c r="AJ399" s="25"/>
      <c r="AK399" s="25"/>
      <c r="AL399" s="25"/>
      <c r="AM399" s="25"/>
      <c r="AN399" s="25"/>
      <c r="AO399" s="25"/>
      <c r="AP399" s="25"/>
      <c r="AQ399" s="25"/>
      <c r="AR399" s="25"/>
      <c r="AS399" s="25"/>
      <c r="AT399" s="25"/>
      <c r="AU399" s="25">
        <v>0</v>
      </c>
      <c r="AV399" s="25"/>
      <c r="AW399" s="25"/>
      <c r="AX399" s="25"/>
      <c r="AY399" s="25"/>
      <c r="AZ399" s="25"/>
      <c r="BA399" s="25">
        <v>0</v>
      </c>
      <c r="BB399" s="25"/>
      <c r="BC399" s="25"/>
      <c r="BD399" s="25">
        <v>0</v>
      </c>
      <c r="BE399" s="25"/>
      <c r="BF399" s="25"/>
      <c r="BG399" s="25"/>
      <c r="BH399" s="25"/>
      <c r="BI399" s="25"/>
      <c r="BJ399" s="25"/>
      <c r="BK399" s="25"/>
      <c r="BL399" s="25"/>
      <c r="BM399" s="25"/>
      <c r="BN399" s="25"/>
      <c r="BO399" s="25"/>
      <c r="BP399" s="25"/>
      <c r="BQ399" s="25"/>
      <c r="BR399" s="25"/>
      <c r="BS399" s="25"/>
      <c r="BT399" s="25"/>
      <c r="BU399" s="25"/>
      <c r="BV399" s="25"/>
      <c r="BW399" s="25"/>
      <c r="BX399" s="25"/>
      <c r="BY399" s="25">
        <v>0</v>
      </c>
      <c r="BZ399" s="25"/>
      <c r="CA399" s="25"/>
      <c r="CB399" s="25">
        <v>0</v>
      </c>
      <c r="CC399" s="25"/>
      <c r="CD399" s="25"/>
      <c r="CE399" s="110">
        <v>0</v>
      </c>
      <c r="CF399" s="110"/>
      <c r="CG399" s="110"/>
      <c r="CH399" s="37"/>
      <c r="CI399" s="37"/>
      <c r="CJ399" s="37"/>
      <c r="CK399" s="25">
        <v>0</v>
      </c>
      <c r="CL399" s="26"/>
      <c r="CM399" s="26"/>
      <c r="CN399" s="26">
        <v>0</v>
      </c>
      <c r="CO399" s="26"/>
      <c r="CP399" s="26"/>
      <c r="CQ399" s="26"/>
      <c r="CR399" s="26"/>
      <c r="CS399" s="26"/>
      <c r="CT399" s="25">
        <f t="shared" si="212"/>
        <v>0</v>
      </c>
      <c r="CU399" s="25">
        <f t="shared" si="212"/>
        <v>0</v>
      </c>
      <c r="CV399" s="25">
        <f t="shared" si="212"/>
        <v>0</v>
      </c>
    </row>
    <row r="400" spans="1:101" ht="15" x14ac:dyDescent="0.25">
      <c r="A400" s="19"/>
      <c r="B400" s="18"/>
      <c r="C400" s="915"/>
      <c r="D400" s="954"/>
      <c r="E400" s="408"/>
      <c r="F400" s="934"/>
      <c r="G400" s="409"/>
      <c r="H400" s="155"/>
      <c r="I400" s="154"/>
      <c r="J400" s="311"/>
      <c r="K400" s="311"/>
      <c r="L400" s="311"/>
      <c r="M400" s="311"/>
      <c r="N400" s="157"/>
      <c r="O400" s="154"/>
      <c r="P400" s="155"/>
      <c r="Q400" s="158">
        <f t="shared" ref="Q400:CB400" si="213">SUM(Q392:Q399)</f>
        <v>0</v>
      </c>
      <c r="R400" s="158">
        <f t="shared" si="213"/>
        <v>0</v>
      </c>
      <c r="S400" s="158">
        <f t="shared" si="213"/>
        <v>0</v>
      </c>
      <c r="T400" s="158">
        <f t="shared" si="213"/>
        <v>0</v>
      </c>
      <c r="U400" s="158">
        <f t="shared" si="213"/>
        <v>0</v>
      </c>
      <c r="V400" s="158">
        <f t="shared" si="213"/>
        <v>0</v>
      </c>
      <c r="W400" s="158">
        <f t="shared" si="213"/>
        <v>0</v>
      </c>
      <c r="X400" s="158">
        <f t="shared" si="213"/>
        <v>0</v>
      </c>
      <c r="Y400" s="158">
        <f t="shared" si="213"/>
        <v>0</v>
      </c>
      <c r="Z400" s="158">
        <f t="shared" si="213"/>
        <v>0</v>
      </c>
      <c r="AA400" s="158">
        <f t="shared" si="213"/>
        <v>0</v>
      </c>
      <c r="AB400" s="158">
        <f t="shared" si="213"/>
        <v>0</v>
      </c>
      <c r="AC400" s="158">
        <f t="shared" si="213"/>
        <v>0</v>
      </c>
      <c r="AD400" s="158">
        <f t="shared" si="213"/>
        <v>0</v>
      </c>
      <c r="AE400" s="158">
        <f t="shared" si="213"/>
        <v>0</v>
      </c>
      <c r="AF400" s="158">
        <f t="shared" si="213"/>
        <v>0</v>
      </c>
      <c r="AG400" s="158">
        <f t="shared" si="213"/>
        <v>0</v>
      </c>
      <c r="AH400" s="158">
        <f t="shared" si="213"/>
        <v>0</v>
      </c>
      <c r="AI400" s="158">
        <f t="shared" si="213"/>
        <v>159104816</v>
      </c>
      <c r="AJ400" s="158">
        <f t="shared" si="213"/>
        <v>151904816</v>
      </c>
      <c r="AK400" s="158">
        <f t="shared" si="213"/>
        <v>151904816</v>
      </c>
      <c r="AL400" s="158">
        <f t="shared" si="213"/>
        <v>0</v>
      </c>
      <c r="AM400" s="158">
        <f t="shared" si="213"/>
        <v>0</v>
      </c>
      <c r="AN400" s="158">
        <f t="shared" si="213"/>
        <v>0</v>
      </c>
      <c r="AO400" s="158">
        <f t="shared" si="213"/>
        <v>0</v>
      </c>
      <c r="AP400" s="158">
        <f t="shared" si="213"/>
        <v>0</v>
      </c>
      <c r="AQ400" s="158">
        <f t="shared" si="213"/>
        <v>0</v>
      </c>
      <c r="AR400" s="158">
        <f t="shared" si="213"/>
        <v>0</v>
      </c>
      <c r="AS400" s="158">
        <f t="shared" si="213"/>
        <v>0</v>
      </c>
      <c r="AT400" s="158">
        <f t="shared" si="213"/>
        <v>0</v>
      </c>
      <c r="AU400" s="158">
        <f t="shared" si="213"/>
        <v>0</v>
      </c>
      <c r="AV400" s="158">
        <f t="shared" si="213"/>
        <v>0</v>
      </c>
      <c r="AW400" s="158">
        <f t="shared" si="213"/>
        <v>0</v>
      </c>
      <c r="AX400" s="158">
        <f t="shared" si="213"/>
        <v>0</v>
      </c>
      <c r="AY400" s="158">
        <f t="shared" si="213"/>
        <v>0</v>
      </c>
      <c r="AZ400" s="158">
        <f t="shared" si="213"/>
        <v>0</v>
      </c>
      <c r="BA400" s="158">
        <f t="shared" si="213"/>
        <v>0</v>
      </c>
      <c r="BB400" s="158">
        <f t="shared" si="213"/>
        <v>0</v>
      </c>
      <c r="BC400" s="158">
        <f t="shared" si="213"/>
        <v>0</v>
      </c>
      <c r="BD400" s="158">
        <f t="shared" si="213"/>
        <v>0</v>
      </c>
      <c r="BE400" s="158">
        <f t="shared" si="213"/>
        <v>0</v>
      </c>
      <c r="BF400" s="158">
        <f t="shared" si="213"/>
        <v>0</v>
      </c>
      <c r="BG400" s="158">
        <f t="shared" si="213"/>
        <v>0</v>
      </c>
      <c r="BH400" s="158">
        <f t="shared" si="213"/>
        <v>0</v>
      </c>
      <c r="BI400" s="158">
        <f t="shared" si="213"/>
        <v>0</v>
      </c>
      <c r="BJ400" s="158">
        <f t="shared" si="213"/>
        <v>0</v>
      </c>
      <c r="BK400" s="158">
        <f t="shared" si="213"/>
        <v>0</v>
      </c>
      <c r="BL400" s="158">
        <f t="shared" si="213"/>
        <v>0</v>
      </c>
      <c r="BM400" s="158">
        <f t="shared" si="213"/>
        <v>0</v>
      </c>
      <c r="BN400" s="158">
        <f t="shared" si="213"/>
        <v>0</v>
      </c>
      <c r="BO400" s="158">
        <f t="shared" si="213"/>
        <v>0</v>
      </c>
      <c r="BP400" s="158">
        <f t="shared" si="213"/>
        <v>0</v>
      </c>
      <c r="BQ400" s="158">
        <f t="shared" si="213"/>
        <v>0</v>
      </c>
      <c r="BR400" s="158">
        <f t="shared" si="213"/>
        <v>0</v>
      </c>
      <c r="BS400" s="158">
        <f t="shared" si="213"/>
        <v>0</v>
      </c>
      <c r="BT400" s="158">
        <f t="shared" si="213"/>
        <v>0</v>
      </c>
      <c r="BU400" s="158">
        <f t="shared" si="213"/>
        <v>0</v>
      </c>
      <c r="BV400" s="158">
        <f t="shared" si="213"/>
        <v>0</v>
      </c>
      <c r="BW400" s="158">
        <f t="shared" si="213"/>
        <v>0</v>
      </c>
      <c r="BX400" s="158">
        <f t="shared" si="213"/>
        <v>0</v>
      </c>
      <c r="BY400" s="158">
        <f t="shared" si="213"/>
        <v>0</v>
      </c>
      <c r="BZ400" s="158">
        <f t="shared" si="213"/>
        <v>0</v>
      </c>
      <c r="CA400" s="158">
        <f t="shared" si="213"/>
        <v>0</v>
      </c>
      <c r="CB400" s="158">
        <f t="shared" si="213"/>
        <v>0</v>
      </c>
      <c r="CC400" s="158">
        <f t="shared" ref="CC400:CS400" si="214">SUM(CC392:CC399)</f>
        <v>0</v>
      </c>
      <c r="CD400" s="158">
        <f t="shared" si="214"/>
        <v>0</v>
      </c>
      <c r="CE400" s="158">
        <f t="shared" si="214"/>
        <v>0</v>
      </c>
      <c r="CF400" s="158">
        <f t="shared" si="214"/>
        <v>0</v>
      </c>
      <c r="CG400" s="158">
        <f t="shared" si="214"/>
        <v>0</v>
      </c>
      <c r="CH400" s="158">
        <f t="shared" si="214"/>
        <v>0</v>
      </c>
      <c r="CI400" s="158">
        <f t="shared" si="214"/>
        <v>0</v>
      </c>
      <c r="CJ400" s="158">
        <f t="shared" si="214"/>
        <v>0</v>
      </c>
      <c r="CK400" s="158">
        <f t="shared" si="214"/>
        <v>0</v>
      </c>
      <c r="CL400" s="158">
        <f t="shared" si="214"/>
        <v>0</v>
      </c>
      <c r="CM400" s="158">
        <f t="shared" si="214"/>
        <v>0</v>
      </c>
      <c r="CN400" s="158">
        <f t="shared" si="214"/>
        <v>0</v>
      </c>
      <c r="CO400" s="158">
        <f t="shared" si="214"/>
        <v>0</v>
      </c>
      <c r="CP400" s="158">
        <f t="shared" si="214"/>
        <v>0</v>
      </c>
      <c r="CQ400" s="158">
        <f t="shared" si="214"/>
        <v>0</v>
      </c>
      <c r="CR400" s="158">
        <f t="shared" si="214"/>
        <v>0</v>
      </c>
      <c r="CS400" s="158">
        <f t="shared" si="214"/>
        <v>0</v>
      </c>
      <c r="CT400" s="158">
        <f>SUM(CT392:CT399)</f>
        <v>159104816</v>
      </c>
      <c r="CU400" s="158">
        <f>SUM(CU392:CU399)</f>
        <v>151904816</v>
      </c>
      <c r="CV400" s="158">
        <f>SUM(CV392:CV399)</f>
        <v>151904816</v>
      </c>
    </row>
    <row r="401" spans="1:100" s="27" customFormat="1" ht="15" x14ac:dyDescent="0.25">
      <c r="A401" s="19"/>
      <c r="B401" s="19"/>
      <c r="C401" s="931"/>
      <c r="D401" s="177"/>
      <c r="E401" s="398"/>
      <c r="F401" s="398"/>
      <c r="G401" s="177"/>
      <c r="H401" s="949"/>
      <c r="I401" s="177"/>
      <c r="J401" s="314"/>
      <c r="K401" s="314"/>
      <c r="L401" s="329"/>
      <c r="M401" s="329"/>
      <c r="N401" s="230"/>
      <c r="O401" s="221"/>
      <c r="P401" s="949"/>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0"/>
      <c r="BS401" s="180"/>
      <c r="BT401" s="180"/>
      <c r="BU401" s="180"/>
      <c r="BV401" s="180"/>
      <c r="BW401" s="180"/>
      <c r="BX401" s="180"/>
      <c r="BY401" s="180"/>
      <c r="BZ401" s="180"/>
      <c r="CA401" s="180"/>
      <c r="CB401" s="180"/>
      <c r="CC401" s="180"/>
      <c r="CD401" s="180"/>
      <c r="CE401" s="182"/>
      <c r="CF401" s="182"/>
      <c r="CG401" s="182"/>
      <c r="CH401" s="180"/>
      <c r="CI401" s="180"/>
      <c r="CJ401" s="180"/>
      <c r="CK401" s="180"/>
      <c r="CL401" s="180"/>
      <c r="CM401" s="180"/>
      <c r="CN401" s="180"/>
      <c r="CO401" s="180"/>
      <c r="CP401" s="180"/>
      <c r="CQ401" s="180"/>
      <c r="CR401" s="180"/>
      <c r="CS401" s="180"/>
      <c r="CT401" s="25"/>
      <c r="CU401" s="76"/>
      <c r="CV401" s="76"/>
    </row>
    <row r="402" spans="1:100" ht="15" x14ac:dyDescent="0.25">
      <c r="A402" s="19"/>
      <c r="B402" s="19"/>
      <c r="C402" s="926"/>
      <c r="D402" s="953"/>
      <c r="E402" s="932"/>
      <c r="F402" s="932"/>
      <c r="G402" s="410">
        <v>20</v>
      </c>
      <c r="H402" s="271" t="s">
        <v>493</v>
      </c>
      <c r="I402" s="189"/>
      <c r="J402" s="189"/>
      <c r="K402" s="189"/>
      <c r="L402" s="189"/>
      <c r="M402" s="189"/>
      <c r="N402" s="189"/>
      <c r="O402" s="189"/>
      <c r="P402" s="189"/>
      <c r="Q402" s="189"/>
      <c r="R402" s="922"/>
      <c r="S402" s="922"/>
      <c r="T402" s="189"/>
      <c r="U402" s="189"/>
      <c r="V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c r="BY402" s="189"/>
      <c r="BZ402" s="189"/>
      <c r="CA402" s="189"/>
      <c r="CB402" s="189"/>
      <c r="CC402" s="189"/>
      <c r="CD402" s="189"/>
      <c r="CE402" s="190"/>
      <c r="CF402" s="190"/>
      <c r="CG402" s="190"/>
      <c r="CH402" s="189"/>
      <c r="CI402" s="189"/>
      <c r="CJ402" s="189"/>
      <c r="CK402" s="189"/>
      <c r="CL402" s="189"/>
      <c r="CM402" s="189"/>
      <c r="CN402" s="189"/>
      <c r="CO402" s="189"/>
      <c r="CP402" s="189"/>
      <c r="CQ402" s="189"/>
      <c r="CR402" s="189"/>
      <c r="CS402" s="189"/>
      <c r="CT402" s="522"/>
      <c r="CU402" s="522"/>
      <c r="CV402" s="522"/>
    </row>
    <row r="403" spans="1:100" s="27" customFormat="1" ht="63" customHeight="1" x14ac:dyDescent="0.25">
      <c r="A403" s="19"/>
      <c r="B403" s="18"/>
      <c r="C403" s="97"/>
      <c r="D403" s="98"/>
      <c r="E403" s="98"/>
      <c r="F403" s="98"/>
      <c r="G403" s="99"/>
      <c r="H403" s="929">
        <v>83</v>
      </c>
      <c r="I403" s="928" t="s">
        <v>494</v>
      </c>
      <c r="J403" s="56">
        <v>0</v>
      </c>
      <c r="K403" s="92">
        <v>27</v>
      </c>
      <c r="L403" s="92">
        <v>52</v>
      </c>
      <c r="M403" s="1128" t="s">
        <v>452</v>
      </c>
      <c r="N403" s="1017" t="s">
        <v>495</v>
      </c>
      <c r="O403" s="1012" t="s">
        <v>496</v>
      </c>
      <c r="P403" s="929" t="s">
        <v>34</v>
      </c>
      <c r="Q403" s="25">
        <v>0</v>
      </c>
      <c r="R403" s="25"/>
      <c r="S403" s="25"/>
      <c r="T403" s="25">
        <v>0</v>
      </c>
      <c r="U403" s="25"/>
      <c r="V403" s="25"/>
      <c r="W403" s="25">
        <v>0</v>
      </c>
      <c r="X403" s="25"/>
      <c r="Y403" s="25"/>
      <c r="Z403" s="25">
        <v>0</v>
      </c>
      <c r="AA403" s="25"/>
      <c r="AB403" s="25"/>
      <c r="AC403" s="25">
        <v>0</v>
      </c>
      <c r="AD403" s="25"/>
      <c r="AE403" s="25"/>
      <c r="AF403" s="25">
        <v>0</v>
      </c>
      <c r="AG403" s="25"/>
      <c r="AH403" s="25"/>
      <c r="AI403" s="25">
        <v>0</v>
      </c>
      <c r="AJ403" s="25"/>
      <c r="AK403" s="25"/>
      <c r="AL403" s="25"/>
      <c r="AM403" s="25"/>
      <c r="AN403" s="25"/>
      <c r="AO403" s="25"/>
      <c r="AP403" s="25"/>
      <c r="AQ403" s="25"/>
      <c r="AR403" s="25"/>
      <c r="AS403" s="25"/>
      <c r="AT403" s="25"/>
      <c r="AU403" s="25">
        <v>0</v>
      </c>
      <c r="AV403" s="25"/>
      <c r="AW403" s="25"/>
      <c r="AX403" s="25"/>
      <c r="AY403" s="25"/>
      <c r="AZ403" s="25"/>
      <c r="BA403" s="25">
        <v>0</v>
      </c>
      <c r="BB403" s="25"/>
      <c r="BC403" s="25"/>
      <c r="BD403" s="25">
        <v>0</v>
      </c>
      <c r="BE403" s="25"/>
      <c r="BF403" s="25"/>
      <c r="BG403" s="25"/>
      <c r="BH403" s="25"/>
      <c r="BI403" s="25"/>
      <c r="BJ403" s="25"/>
      <c r="BK403" s="25"/>
      <c r="BL403" s="25"/>
      <c r="BM403" s="25"/>
      <c r="BN403" s="25"/>
      <c r="BO403" s="25"/>
      <c r="BP403" s="25"/>
      <c r="BQ403" s="25"/>
      <c r="BR403" s="25"/>
      <c r="BS403" s="25"/>
      <c r="BT403" s="25"/>
      <c r="BU403" s="25"/>
      <c r="BV403" s="25"/>
      <c r="BW403" s="25"/>
      <c r="BX403" s="25"/>
      <c r="BY403" s="25">
        <v>0</v>
      </c>
      <c r="BZ403" s="25"/>
      <c r="CA403" s="25"/>
      <c r="CB403" s="25">
        <v>0</v>
      </c>
      <c r="CC403" s="25"/>
      <c r="CD403" s="25"/>
      <c r="CE403" s="692"/>
      <c r="CF403" s="692"/>
      <c r="CG403" s="692"/>
      <c r="CH403" s="37"/>
      <c r="CI403" s="37"/>
      <c r="CJ403" s="37"/>
      <c r="CK403" s="25">
        <v>0</v>
      </c>
      <c r="CL403" s="26"/>
      <c r="CM403" s="26"/>
      <c r="CN403" s="26">
        <v>0</v>
      </c>
      <c r="CO403" s="26"/>
      <c r="CP403" s="26"/>
      <c r="CQ403" s="26"/>
      <c r="CR403" s="26"/>
      <c r="CS403" s="26"/>
      <c r="CT403" s="25">
        <f t="shared" ref="CT403:CV412" si="215">Q403+T403+W403+Z403+AC403+AF403+AI403+AL403+AO403+AR403+AU403+AX403+BA403+BD403+BG403+BJ403+BM403+BP403+BS403+BV403+BY403+CB403+CE403+CH403+CK403+CQ403+CN403</f>
        <v>0</v>
      </c>
      <c r="CU403" s="25">
        <f t="shared" si="215"/>
        <v>0</v>
      </c>
      <c r="CV403" s="25">
        <f t="shared" si="215"/>
        <v>0</v>
      </c>
    </row>
    <row r="404" spans="1:100" s="27" customFormat="1" ht="86.25" customHeight="1" x14ac:dyDescent="0.25">
      <c r="A404" s="19"/>
      <c r="B404" s="18"/>
      <c r="C404" s="97"/>
      <c r="D404" s="98"/>
      <c r="E404" s="98"/>
      <c r="F404" s="98"/>
      <c r="G404" s="100"/>
      <c r="H404" s="929">
        <v>84</v>
      </c>
      <c r="I404" s="928" t="s">
        <v>497</v>
      </c>
      <c r="J404" s="56">
        <v>0</v>
      </c>
      <c r="K404" s="92">
        <v>15</v>
      </c>
      <c r="L404" s="92">
        <v>17</v>
      </c>
      <c r="M404" s="1129"/>
      <c r="N404" s="1018"/>
      <c r="O404" s="1020"/>
      <c r="P404" s="929" t="s">
        <v>34</v>
      </c>
      <c r="Q404" s="25">
        <v>0</v>
      </c>
      <c r="R404" s="25"/>
      <c r="S404" s="25"/>
      <c r="T404" s="25">
        <v>0</v>
      </c>
      <c r="U404" s="25"/>
      <c r="V404" s="25"/>
      <c r="W404" s="25">
        <v>0</v>
      </c>
      <c r="X404" s="25"/>
      <c r="Y404" s="25"/>
      <c r="Z404" s="25">
        <v>0</v>
      </c>
      <c r="AA404" s="25"/>
      <c r="AB404" s="25"/>
      <c r="AC404" s="25">
        <v>0</v>
      </c>
      <c r="AD404" s="25"/>
      <c r="AE404" s="25"/>
      <c r="AF404" s="25">
        <v>0</v>
      </c>
      <c r="AG404" s="25"/>
      <c r="AH404" s="25"/>
      <c r="AI404" s="25">
        <v>0</v>
      </c>
      <c r="AJ404" s="25"/>
      <c r="AK404" s="25"/>
      <c r="AL404" s="25"/>
      <c r="AM404" s="25"/>
      <c r="AN404" s="25"/>
      <c r="AO404" s="25"/>
      <c r="AP404" s="25"/>
      <c r="AQ404" s="25"/>
      <c r="AR404" s="25"/>
      <c r="AS404" s="25"/>
      <c r="AT404" s="25"/>
      <c r="AU404" s="25">
        <v>0</v>
      </c>
      <c r="AV404" s="25"/>
      <c r="AW404" s="25"/>
      <c r="AX404" s="25"/>
      <c r="AY404" s="25"/>
      <c r="AZ404" s="25"/>
      <c r="BA404" s="25">
        <v>0</v>
      </c>
      <c r="BB404" s="25"/>
      <c r="BC404" s="25"/>
      <c r="BD404" s="25">
        <v>0</v>
      </c>
      <c r="BE404" s="25"/>
      <c r="BF404" s="25"/>
      <c r="BG404" s="25"/>
      <c r="BH404" s="25"/>
      <c r="BI404" s="25"/>
      <c r="BJ404" s="25"/>
      <c r="BK404" s="25"/>
      <c r="BL404" s="25"/>
      <c r="BM404" s="25"/>
      <c r="BN404" s="25"/>
      <c r="BO404" s="25"/>
      <c r="BP404" s="25"/>
      <c r="BQ404" s="25"/>
      <c r="BR404" s="25"/>
      <c r="BS404" s="25"/>
      <c r="BT404" s="25"/>
      <c r="BU404" s="25"/>
      <c r="BV404" s="25"/>
      <c r="BW404" s="25"/>
      <c r="BX404" s="25"/>
      <c r="BY404" s="25">
        <v>0</v>
      </c>
      <c r="BZ404" s="25"/>
      <c r="CA404" s="25"/>
      <c r="CB404" s="25">
        <v>0</v>
      </c>
      <c r="CC404" s="25"/>
      <c r="CD404" s="25"/>
      <c r="CE404" s="692"/>
      <c r="CF404" s="692"/>
      <c r="CG404" s="692"/>
      <c r="CH404" s="37"/>
      <c r="CI404" s="37"/>
      <c r="CJ404" s="37"/>
      <c r="CK404" s="25">
        <v>0</v>
      </c>
      <c r="CL404" s="26"/>
      <c r="CM404" s="26"/>
      <c r="CN404" s="26">
        <v>0</v>
      </c>
      <c r="CO404" s="26"/>
      <c r="CP404" s="26"/>
      <c r="CQ404" s="26"/>
      <c r="CR404" s="26"/>
      <c r="CS404" s="26"/>
      <c r="CT404" s="25">
        <f t="shared" si="215"/>
        <v>0</v>
      </c>
      <c r="CU404" s="25">
        <f t="shared" si="215"/>
        <v>0</v>
      </c>
      <c r="CV404" s="25">
        <f t="shared" si="215"/>
        <v>0</v>
      </c>
    </row>
    <row r="405" spans="1:100" s="27" customFormat="1" ht="80.25" customHeight="1" x14ac:dyDescent="0.25">
      <c r="A405" s="19"/>
      <c r="B405" s="18"/>
      <c r="C405" s="97"/>
      <c r="D405" s="98"/>
      <c r="E405" s="98"/>
      <c r="F405" s="98"/>
      <c r="G405" s="100"/>
      <c r="H405" s="929">
        <v>85</v>
      </c>
      <c r="I405" s="928" t="s">
        <v>498</v>
      </c>
      <c r="J405" s="56">
        <v>0</v>
      </c>
      <c r="K405" s="92">
        <v>15</v>
      </c>
      <c r="L405" s="92">
        <v>26</v>
      </c>
      <c r="M405" s="1129"/>
      <c r="N405" s="1018"/>
      <c r="O405" s="1020"/>
      <c r="P405" s="929" t="s">
        <v>34</v>
      </c>
      <c r="Q405" s="25">
        <v>0</v>
      </c>
      <c r="R405" s="25"/>
      <c r="S405" s="25"/>
      <c r="T405" s="25">
        <v>0</v>
      </c>
      <c r="U405" s="25"/>
      <c r="V405" s="25"/>
      <c r="W405" s="25">
        <v>0</v>
      </c>
      <c r="X405" s="25"/>
      <c r="Y405" s="25"/>
      <c r="Z405" s="25">
        <v>0</v>
      </c>
      <c r="AA405" s="25"/>
      <c r="AB405" s="25"/>
      <c r="AC405" s="25">
        <v>0</v>
      </c>
      <c r="AD405" s="25"/>
      <c r="AE405" s="25"/>
      <c r="AF405" s="25">
        <v>0</v>
      </c>
      <c r="AG405" s="25"/>
      <c r="AH405" s="25"/>
      <c r="AI405" s="25">
        <v>20000000</v>
      </c>
      <c r="AJ405" s="25"/>
      <c r="AK405" s="25"/>
      <c r="AL405" s="25"/>
      <c r="AM405" s="25"/>
      <c r="AN405" s="25"/>
      <c r="AO405" s="25"/>
      <c r="AP405" s="25"/>
      <c r="AQ405" s="25"/>
      <c r="AR405" s="25"/>
      <c r="AS405" s="25"/>
      <c r="AT405" s="25"/>
      <c r="AU405" s="25">
        <v>0</v>
      </c>
      <c r="AV405" s="25"/>
      <c r="AW405" s="25"/>
      <c r="AX405" s="25"/>
      <c r="AY405" s="25"/>
      <c r="AZ405" s="25"/>
      <c r="BA405" s="25">
        <v>0</v>
      </c>
      <c r="BB405" s="25"/>
      <c r="BC405" s="25"/>
      <c r="BD405" s="25">
        <v>0</v>
      </c>
      <c r="BE405" s="25"/>
      <c r="BF405" s="25"/>
      <c r="BG405" s="25"/>
      <c r="BH405" s="25"/>
      <c r="BI405" s="25"/>
      <c r="BJ405" s="25"/>
      <c r="BK405" s="25"/>
      <c r="BL405" s="25"/>
      <c r="BM405" s="25"/>
      <c r="BN405" s="25"/>
      <c r="BO405" s="25"/>
      <c r="BP405" s="25"/>
      <c r="BQ405" s="25"/>
      <c r="BR405" s="25"/>
      <c r="BS405" s="25"/>
      <c r="BT405" s="25"/>
      <c r="BU405" s="25"/>
      <c r="BV405" s="25"/>
      <c r="BW405" s="25"/>
      <c r="BX405" s="25"/>
      <c r="BY405" s="25">
        <v>0</v>
      </c>
      <c r="BZ405" s="25"/>
      <c r="CA405" s="25"/>
      <c r="CB405" s="25">
        <v>0</v>
      </c>
      <c r="CC405" s="25"/>
      <c r="CD405" s="25"/>
      <c r="CE405" s="692"/>
      <c r="CF405" s="692"/>
      <c r="CG405" s="692"/>
      <c r="CH405" s="37"/>
      <c r="CI405" s="37"/>
      <c r="CJ405" s="37"/>
      <c r="CK405" s="25">
        <v>0</v>
      </c>
      <c r="CL405" s="26"/>
      <c r="CM405" s="26"/>
      <c r="CN405" s="26">
        <v>0</v>
      </c>
      <c r="CO405" s="26"/>
      <c r="CP405" s="26"/>
      <c r="CQ405" s="26"/>
      <c r="CR405" s="26"/>
      <c r="CS405" s="26"/>
      <c r="CT405" s="25">
        <f t="shared" si="215"/>
        <v>20000000</v>
      </c>
      <c r="CU405" s="25">
        <f t="shared" si="215"/>
        <v>0</v>
      </c>
      <c r="CV405" s="25">
        <f t="shared" si="215"/>
        <v>0</v>
      </c>
    </row>
    <row r="406" spans="1:100" s="27" customFormat="1" ht="188.25" customHeight="1" x14ac:dyDescent="0.25">
      <c r="A406" s="19"/>
      <c r="B406" s="18"/>
      <c r="C406" s="915">
        <v>14</v>
      </c>
      <c r="D406" s="28" t="s">
        <v>459</v>
      </c>
      <c r="E406" s="933">
        <v>6.2E-2</v>
      </c>
      <c r="F406" s="933">
        <v>0.03</v>
      </c>
      <c r="G406" s="100"/>
      <c r="H406" s="929">
        <v>87</v>
      </c>
      <c r="I406" s="928" t="s">
        <v>499</v>
      </c>
      <c r="J406" s="56">
        <v>0</v>
      </c>
      <c r="K406" s="92">
        <v>30</v>
      </c>
      <c r="L406" s="92">
        <v>30</v>
      </c>
      <c r="M406" s="1129"/>
      <c r="N406" s="1018"/>
      <c r="O406" s="1020"/>
      <c r="P406" s="929" t="s">
        <v>38</v>
      </c>
      <c r="Q406" s="25">
        <v>0</v>
      </c>
      <c r="R406" s="25"/>
      <c r="S406" s="25"/>
      <c r="T406" s="25">
        <v>0</v>
      </c>
      <c r="U406" s="25"/>
      <c r="V406" s="25"/>
      <c r="W406" s="25">
        <v>0</v>
      </c>
      <c r="X406" s="25"/>
      <c r="Y406" s="25"/>
      <c r="Z406" s="25">
        <v>0</v>
      </c>
      <c r="AA406" s="25"/>
      <c r="AB406" s="25"/>
      <c r="AC406" s="25">
        <v>0</v>
      </c>
      <c r="AD406" s="25"/>
      <c r="AE406" s="25"/>
      <c r="AF406" s="25">
        <v>0</v>
      </c>
      <c r="AG406" s="25"/>
      <c r="AH406" s="25"/>
      <c r="AI406" s="25">
        <v>0</v>
      </c>
      <c r="AJ406" s="25"/>
      <c r="AK406" s="25"/>
      <c r="AL406" s="25"/>
      <c r="AM406" s="25"/>
      <c r="AN406" s="25"/>
      <c r="AO406" s="25"/>
      <c r="AP406" s="25"/>
      <c r="AQ406" s="25"/>
      <c r="AR406" s="25"/>
      <c r="AS406" s="25"/>
      <c r="AT406" s="25"/>
      <c r="AU406" s="25">
        <v>0</v>
      </c>
      <c r="AV406" s="25"/>
      <c r="AW406" s="25"/>
      <c r="AX406" s="25"/>
      <c r="AY406" s="25"/>
      <c r="AZ406" s="25"/>
      <c r="BA406" s="25">
        <v>0</v>
      </c>
      <c r="BB406" s="25"/>
      <c r="BC406" s="25"/>
      <c r="BD406" s="25">
        <v>0</v>
      </c>
      <c r="BE406" s="25"/>
      <c r="BF406" s="25"/>
      <c r="BG406" s="691">
        <v>286276023</v>
      </c>
      <c r="BH406" s="691">
        <v>231068152</v>
      </c>
      <c r="BI406" s="691">
        <v>231068152</v>
      </c>
      <c r="BJ406" s="25"/>
      <c r="BK406" s="25"/>
      <c r="BL406" s="25"/>
      <c r="BM406" s="25"/>
      <c r="BN406" s="25"/>
      <c r="BO406" s="25"/>
      <c r="BP406" s="25"/>
      <c r="BQ406" s="25"/>
      <c r="BR406" s="25"/>
      <c r="BS406" s="25"/>
      <c r="BT406" s="25"/>
      <c r="BU406" s="25"/>
      <c r="BV406" s="25"/>
      <c r="BW406" s="25"/>
      <c r="BX406" s="25"/>
      <c r="BY406" s="25">
        <v>0</v>
      </c>
      <c r="BZ406" s="25"/>
      <c r="CA406" s="25"/>
      <c r="CB406" s="25">
        <v>0</v>
      </c>
      <c r="CC406" s="25"/>
      <c r="CD406" s="25"/>
      <c r="CE406" s="692">
        <f>10000000-10000000</f>
        <v>0</v>
      </c>
      <c r="CF406" s="692"/>
      <c r="CG406" s="692"/>
      <c r="CH406" s="37"/>
      <c r="CI406" s="37"/>
      <c r="CJ406" s="37"/>
      <c r="CK406" s="25">
        <v>0</v>
      </c>
      <c r="CL406" s="26"/>
      <c r="CM406" s="26"/>
      <c r="CN406" s="26">
        <v>0</v>
      </c>
      <c r="CO406" s="26"/>
      <c r="CP406" s="26"/>
      <c r="CQ406" s="26"/>
      <c r="CR406" s="26"/>
      <c r="CS406" s="26"/>
      <c r="CT406" s="25">
        <f t="shared" si="215"/>
        <v>286276023</v>
      </c>
      <c r="CU406" s="25">
        <f t="shared" si="215"/>
        <v>231068152</v>
      </c>
      <c r="CV406" s="25">
        <f t="shared" si="215"/>
        <v>231068152</v>
      </c>
    </row>
    <row r="407" spans="1:100" s="27" customFormat="1" ht="77.25" customHeight="1" x14ac:dyDescent="0.25">
      <c r="A407" s="19"/>
      <c r="B407" s="18"/>
      <c r="C407" s="915">
        <v>15</v>
      </c>
      <c r="D407" s="918" t="s">
        <v>450</v>
      </c>
      <c r="E407" s="933">
        <v>0.73229999999999995</v>
      </c>
      <c r="F407" s="933">
        <v>0.78</v>
      </c>
      <c r="G407" s="100"/>
      <c r="H407" s="929">
        <v>88</v>
      </c>
      <c r="I407" s="928" t="s">
        <v>500</v>
      </c>
      <c r="J407" s="56">
        <v>21</v>
      </c>
      <c r="K407" s="92">
        <v>29</v>
      </c>
      <c r="L407" s="92">
        <v>32</v>
      </c>
      <c r="M407" s="1129"/>
      <c r="N407" s="1018"/>
      <c r="O407" s="1020"/>
      <c r="P407" s="929" t="s">
        <v>34</v>
      </c>
      <c r="Q407" s="25">
        <v>0</v>
      </c>
      <c r="R407" s="25"/>
      <c r="S407" s="25"/>
      <c r="T407" s="25">
        <v>0</v>
      </c>
      <c r="U407" s="25"/>
      <c r="V407" s="25"/>
      <c r="W407" s="25">
        <v>0</v>
      </c>
      <c r="X407" s="25"/>
      <c r="Y407" s="25"/>
      <c r="Z407" s="25">
        <v>0</v>
      </c>
      <c r="AA407" s="25"/>
      <c r="AB407" s="25"/>
      <c r="AC407" s="25">
        <v>0</v>
      </c>
      <c r="AD407" s="25"/>
      <c r="AE407" s="25"/>
      <c r="AF407" s="25">
        <v>0</v>
      </c>
      <c r="AG407" s="25"/>
      <c r="AH407" s="25"/>
      <c r="AI407" s="25">
        <v>50000000</v>
      </c>
      <c r="AJ407" s="25">
        <v>49951440</v>
      </c>
      <c r="AK407" s="25">
        <v>49951440</v>
      </c>
      <c r="AL407" s="25"/>
      <c r="AM407" s="25"/>
      <c r="AN407" s="25"/>
      <c r="AO407" s="25"/>
      <c r="AP407" s="25"/>
      <c r="AQ407" s="25"/>
      <c r="AR407" s="25"/>
      <c r="AS407" s="25"/>
      <c r="AT407" s="25"/>
      <c r="AU407" s="25">
        <v>0</v>
      </c>
      <c r="AV407" s="25"/>
      <c r="AW407" s="25"/>
      <c r="AX407" s="25"/>
      <c r="AY407" s="25"/>
      <c r="AZ407" s="25"/>
      <c r="BA407" s="25">
        <v>0</v>
      </c>
      <c r="BB407" s="25"/>
      <c r="BC407" s="25"/>
      <c r="BD407" s="25">
        <v>0</v>
      </c>
      <c r="BE407" s="25"/>
      <c r="BF407" s="25"/>
      <c r="BG407" s="25"/>
      <c r="BH407" s="25"/>
      <c r="BI407" s="25"/>
      <c r="BJ407" s="25"/>
      <c r="BK407" s="25"/>
      <c r="BL407" s="25"/>
      <c r="BM407" s="25"/>
      <c r="BN407" s="25"/>
      <c r="BO407" s="25"/>
      <c r="BP407" s="25"/>
      <c r="BQ407" s="25"/>
      <c r="BR407" s="25"/>
      <c r="BS407" s="25"/>
      <c r="BT407" s="25"/>
      <c r="BU407" s="25"/>
      <c r="BV407" s="25"/>
      <c r="BW407" s="25"/>
      <c r="BX407" s="25"/>
      <c r="BY407" s="25">
        <v>0</v>
      </c>
      <c r="BZ407" s="25"/>
      <c r="CA407" s="25"/>
      <c r="CB407" s="25">
        <v>0</v>
      </c>
      <c r="CC407" s="25"/>
      <c r="CD407" s="25"/>
      <c r="CE407" s="692"/>
      <c r="CF407" s="692"/>
      <c r="CG407" s="692"/>
      <c r="CH407" s="37"/>
      <c r="CI407" s="37"/>
      <c r="CJ407" s="37"/>
      <c r="CK407" s="25">
        <v>0</v>
      </c>
      <c r="CL407" s="26"/>
      <c r="CM407" s="26"/>
      <c r="CN407" s="26">
        <v>0</v>
      </c>
      <c r="CO407" s="26"/>
      <c r="CP407" s="26"/>
      <c r="CQ407" s="26"/>
      <c r="CR407" s="26"/>
      <c r="CS407" s="26"/>
      <c r="CT407" s="25">
        <f t="shared" si="215"/>
        <v>50000000</v>
      </c>
      <c r="CU407" s="25">
        <f t="shared" si="215"/>
        <v>49951440</v>
      </c>
      <c r="CV407" s="25">
        <f t="shared" si="215"/>
        <v>49951440</v>
      </c>
    </row>
    <row r="408" spans="1:100" s="27" customFormat="1" ht="69" customHeight="1" x14ac:dyDescent="0.25">
      <c r="A408" s="19"/>
      <c r="B408" s="18"/>
      <c r="C408" s="915">
        <v>19</v>
      </c>
      <c r="D408" s="918" t="s">
        <v>455</v>
      </c>
      <c r="E408" s="933" t="s">
        <v>501</v>
      </c>
      <c r="F408" s="933" t="s">
        <v>502</v>
      </c>
      <c r="G408" s="100"/>
      <c r="H408" s="929">
        <v>86</v>
      </c>
      <c r="I408" s="928" t="s">
        <v>503</v>
      </c>
      <c r="J408" s="56">
        <v>0</v>
      </c>
      <c r="K408" s="92">
        <v>3</v>
      </c>
      <c r="L408" s="92">
        <v>3</v>
      </c>
      <c r="M408" s="1129"/>
      <c r="N408" s="1018"/>
      <c r="O408" s="1020"/>
      <c r="P408" s="929" t="s">
        <v>34</v>
      </c>
      <c r="Q408" s="25"/>
      <c r="R408" s="25"/>
      <c r="S408" s="25"/>
      <c r="T408" s="25"/>
      <c r="U408" s="25"/>
      <c r="V408" s="25"/>
      <c r="W408" s="25"/>
      <c r="X408" s="25"/>
      <c r="Y408" s="25"/>
      <c r="Z408" s="25"/>
      <c r="AA408" s="25"/>
      <c r="AB408" s="25"/>
      <c r="AC408" s="25"/>
      <c r="AD408" s="25"/>
      <c r="AE408" s="25"/>
      <c r="AF408" s="25"/>
      <c r="AG408" s="25"/>
      <c r="AH408" s="25"/>
      <c r="AI408" s="702">
        <f>46673401-26673401</f>
        <v>20000000</v>
      </c>
      <c r="AJ408" s="702"/>
      <c r="AK408" s="702"/>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25"/>
      <c r="CD408" s="25"/>
      <c r="CE408" s="692"/>
      <c r="CF408" s="692"/>
      <c r="CG408" s="692"/>
      <c r="CH408" s="37"/>
      <c r="CI408" s="37"/>
      <c r="CJ408" s="37"/>
      <c r="CK408" s="25"/>
      <c r="CL408" s="26"/>
      <c r="CM408" s="26"/>
      <c r="CN408" s="26"/>
      <c r="CO408" s="26"/>
      <c r="CP408" s="26"/>
      <c r="CQ408" s="26"/>
      <c r="CR408" s="26"/>
      <c r="CS408" s="26"/>
      <c r="CT408" s="25">
        <f t="shared" si="215"/>
        <v>20000000</v>
      </c>
      <c r="CU408" s="25">
        <f t="shared" si="215"/>
        <v>0</v>
      </c>
      <c r="CV408" s="25">
        <f t="shared" si="215"/>
        <v>0</v>
      </c>
    </row>
    <row r="409" spans="1:100" s="27" customFormat="1" ht="42.75" x14ac:dyDescent="0.25">
      <c r="A409" s="19"/>
      <c r="B409" s="18"/>
      <c r="C409" s="915"/>
      <c r="D409" s="28"/>
      <c r="E409" s="101"/>
      <c r="F409" s="101"/>
      <c r="G409" s="100"/>
      <c r="H409" s="929">
        <v>89</v>
      </c>
      <c r="I409" s="928" t="s">
        <v>504</v>
      </c>
      <c r="J409" s="56" t="s">
        <v>30</v>
      </c>
      <c r="K409" s="92">
        <v>13000</v>
      </c>
      <c r="L409" s="645">
        <v>14902</v>
      </c>
      <c r="M409" s="1129"/>
      <c r="N409" s="1018"/>
      <c r="O409" s="1020"/>
      <c r="P409" s="929" t="s">
        <v>34</v>
      </c>
      <c r="Q409" s="25">
        <v>0</v>
      </c>
      <c r="R409" s="25"/>
      <c r="S409" s="25"/>
      <c r="T409" s="25">
        <v>0</v>
      </c>
      <c r="U409" s="25"/>
      <c r="V409" s="25"/>
      <c r="W409" s="25">
        <v>0</v>
      </c>
      <c r="X409" s="25"/>
      <c r="Y409" s="25"/>
      <c r="Z409" s="25">
        <v>0</v>
      </c>
      <c r="AA409" s="25"/>
      <c r="AB409" s="25"/>
      <c r="AC409" s="25">
        <v>0</v>
      </c>
      <c r="AD409" s="25"/>
      <c r="AE409" s="25"/>
      <c r="AF409" s="25">
        <v>0</v>
      </c>
      <c r="AG409" s="25"/>
      <c r="AH409" s="25"/>
      <c r="AI409" s="25">
        <v>0</v>
      </c>
      <c r="AJ409" s="25"/>
      <c r="AK409" s="25"/>
      <c r="AL409" s="25"/>
      <c r="AM409" s="25"/>
      <c r="AN409" s="25"/>
      <c r="AO409" s="25"/>
      <c r="AP409" s="25"/>
      <c r="AQ409" s="25"/>
      <c r="AR409" s="25"/>
      <c r="AS409" s="25"/>
      <c r="AT409" s="25"/>
      <c r="AU409" s="25">
        <v>0</v>
      </c>
      <c r="AV409" s="25"/>
      <c r="AW409" s="25"/>
      <c r="AX409" s="25"/>
      <c r="AY409" s="25"/>
      <c r="AZ409" s="25"/>
      <c r="BA409" s="25">
        <v>0</v>
      </c>
      <c r="BB409" s="25"/>
      <c r="BC409" s="25"/>
      <c r="BD409" s="25">
        <v>0</v>
      </c>
      <c r="BE409" s="25"/>
      <c r="BF409" s="25"/>
      <c r="BG409" s="25"/>
      <c r="BH409" s="25"/>
      <c r="BI409" s="25"/>
      <c r="BJ409" s="25"/>
      <c r="BK409" s="25"/>
      <c r="BL409" s="25"/>
      <c r="BM409" s="25"/>
      <c r="BN409" s="25"/>
      <c r="BO409" s="25"/>
      <c r="BP409" s="25"/>
      <c r="BQ409" s="25"/>
      <c r="BR409" s="25"/>
      <c r="BS409" s="25"/>
      <c r="BT409" s="25"/>
      <c r="BU409" s="25"/>
      <c r="BV409" s="25"/>
      <c r="BW409" s="25"/>
      <c r="BX409" s="25"/>
      <c r="BY409" s="25">
        <v>0</v>
      </c>
      <c r="BZ409" s="25"/>
      <c r="CA409" s="25"/>
      <c r="CB409" s="25">
        <v>0</v>
      </c>
      <c r="CC409" s="25"/>
      <c r="CD409" s="25"/>
      <c r="CE409" s="692"/>
      <c r="CF409" s="692"/>
      <c r="CG409" s="692"/>
      <c r="CH409" s="37"/>
      <c r="CI409" s="37"/>
      <c r="CJ409" s="37"/>
      <c r="CK409" s="25">
        <v>0</v>
      </c>
      <c r="CL409" s="26"/>
      <c r="CM409" s="26"/>
      <c r="CN409" s="26">
        <v>0</v>
      </c>
      <c r="CO409" s="26"/>
      <c r="CP409" s="26"/>
      <c r="CQ409" s="26"/>
      <c r="CR409" s="26"/>
      <c r="CS409" s="26"/>
      <c r="CT409" s="25">
        <f t="shared" si="215"/>
        <v>0</v>
      </c>
      <c r="CU409" s="25">
        <f t="shared" si="215"/>
        <v>0</v>
      </c>
      <c r="CV409" s="25">
        <f t="shared" si="215"/>
        <v>0</v>
      </c>
    </row>
    <row r="410" spans="1:100" s="27" customFormat="1" ht="42.75" x14ac:dyDescent="0.25">
      <c r="A410" s="19"/>
      <c r="B410" s="18"/>
      <c r="C410" s="915"/>
      <c r="D410" s="28"/>
      <c r="E410" s="101"/>
      <c r="F410" s="101"/>
      <c r="G410" s="100"/>
      <c r="H410" s="929">
        <v>90</v>
      </c>
      <c r="I410" s="928" t="s">
        <v>505</v>
      </c>
      <c r="J410" s="56">
        <v>100</v>
      </c>
      <c r="K410" s="92">
        <v>115</v>
      </c>
      <c r="L410" s="92">
        <v>117</v>
      </c>
      <c r="M410" s="1129"/>
      <c r="N410" s="1018"/>
      <c r="O410" s="1020"/>
      <c r="P410" s="929" t="s">
        <v>34</v>
      </c>
      <c r="Q410" s="25">
        <v>0</v>
      </c>
      <c r="R410" s="25"/>
      <c r="S410" s="25"/>
      <c r="T410" s="25">
        <v>0</v>
      </c>
      <c r="U410" s="25"/>
      <c r="V410" s="25"/>
      <c r="W410" s="25">
        <v>0</v>
      </c>
      <c r="X410" s="25"/>
      <c r="Y410" s="25"/>
      <c r="Z410" s="25">
        <v>0</v>
      </c>
      <c r="AA410" s="25"/>
      <c r="AB410" s="25"/>
      <c r="AC410" s="25">
        <v>0</v>
      </c>
      <c r="AD410" s="25"/>
      <c r="AE410" s="25"/>
      <c r="AF410" s="25">
        <v>0</v>
      </c>
      <c r="AG410" s="25"/>
      <c r="AH410" s="25"/>
      <c r="AI410" s="690">
        <v>10000000</v>
      </c>
      <c r="AJ410" s="690">
        <v>10000000</v>
      </c>
      <c r="AK410" s="690">
        <v>10000000</v>
      </c>
      <c r="AL410" s="25"/>
      <c r="AM410" s="25"/>
      <c r="AN410" s="25"/>
      <c r="AO410" s="25"/>
      <c r="AP410" s="25"/>
      <c r="AQ410" s="25"/>
      <c r="AR410" s="25"/>
      <c r="AS410" s="25"/>
      <c r="AT410" s="25"/>
      <c r="AU410" s="25">
        <v>0</v>
      </c>
      <c r="AV410" s="25"/>
      <c r="AW410" s="25"/>
      <c r="AX410" s="25"/>
      <c r="AY410" s="25"/>
      <c r="AZ410" s="25"/>
      <c r="BA410" s="25">
        <v>0</v>
      </c>
      <c r="BB410" s="25"/>
      <c r="BC410" s="25"/>
      <c r="BD410" s="25">
        <v>0</v>
      </c>
      <c r="BE410" s="25"/>
      <c r="BF410" s="25"/>
      <c r="BG410" s="25"/>
      <c r="BH410" s="25"/>
      <c r="BI410" s="25"/>
      <c r="BJ410" s="25"/>
      <c r="BK410" s="25"/>
      <c r="BL410" s="25"/>
      <c r="BM410" s="25"/>
      <c r="BN410" s="25"/>
      <c r="BO410" s="25"/>
      <c r="BP410" s="25"/>
      <c r="BQ410" s="25"/>
      <c r="BR410" s="25"/>
      <c r="BS410" s="25"/>
      <c r="BT410" s="25"/>
      <c r="BU410" s="25"/>
      <c r="BV410" s="25"/>
      <c r="BW410" s="25"/>
      <c r="BX410" s="25"/>
      <c r="BY410" s="25">
        <v>0</v>
      </c>
      <c r="BZ410" s="25"/>
      <c r="CA410" s="25"/>
      <c r="CB410" s="25">
        <v>0</v>
      </c>
      <c r="CC410" s="25"/>
      <c r="CD410" s="25"/>
      <c r="CE410" s="692">
        <v>36000000</v>
      </c>
      <c r="CF410" s="692">
        <v>35000000</v>
      </c>
      <c r="CG410" s="692">
        <v>35000000</v>
      </c>
      <c r="CH410" s="37"/>
      <c r="CI410" s="37"/>
      <c r="CJ410" s="37"/>
      <c r="CK410" s="25">
        <v>0</v>
      </c>
      <c r="CL410" s="26"/>
      <c r="CM410" s="26"/>
      <c r="CN410" s="26">
        <v>0</v>
      </c>
      <c r="CO410" s="26"/>
      <c r="CP410" s="26"/>
      <c r="CQ410" s="26"/>
      <c r="CR410" s="26"/>
      <c r="CS410" s="26"/>
      <c r="CT410" s="25">
        <f t="shared" si="215"/>
        <v>46000000</v>
      </c>
      <c r="CU410" s="25">
        <f t="shared" si="215"/>
        <v>45000000</v>
      </c>
      <c r="CV410" s="25">
        <f t="shared" si="215"/>
        <v>45000000</v>
      </c>
    </row>
    <row r="411" spans="1:100" s="27" customFormat="1" ht="57" x14ac:dyDescent="0.25">
      <c r="A411" s="19"/>
      <c r="B411" s="18"/>
      <c r="C411" s="915"/>
      <c r="D411" s="28"/>
      <c r="E411" s="101"/>
      <c r="F411" s="101"/>
      <c r="G411" s="100"/>
      <c r="H411" s="929">
        <v>91</v>
      </c>
      <c r="I411" s="928" t="s">
        <v>506</v>
      </c>
      <c r="J411" s="56">
        <v>0</v>
      </c>
      <c r="K411" s="92">
        <v>54</v>
      </c>
      <c r="L411" s="92">
        <v>54</v>
      </c>
      <c r="M411" s="1129"/>
      <c r="N411" s="1018"/>
      <c r="O411" s="1020"/>
      <c r="P411" s="929" t="s">
        <v>38</v>
      </c>
      <c r="Q411" s="25">
        <v>0</v>
      </c>
      <c r="R411" s="25"/>
      <c r="S411" s="25"/>
      <c r="T411" s="25">
        <v>0</v>
      </c>
      <c r="U411" s="25"/>
      <c r="V411" s="25"/>
      <c r="W411" s="25">
        <v>0</v>
      </c>
      <c r="X411" s="25"/>
      <c r="Y411" s="25"/>
      <c r="Z411" s="25">
        <v>0</v>
      </c>
      <c r="AA411" s="25"/>
      <c r="AB411" s="25"/>
      <c r="AC411" s="25">
        <v>0</v>
      </c>
      <c r="AD411" s="25"/>
      <c r="AE411" s="25"/>
      <c r="AF411" s="25">
        <v>0</v>
      </c>
      <c r="AG411" s="25"/>
      <c r="AH411" s="25"/>
      <c r="AI411" s="690">
        <v>190000000</v>
      </c>
      <c r="AJ411" s="690">
        <v>179829600</v>
      </c>
      <c r="AK411" s="690">
        <v>179829600</v>
      </c>
      <c r="AL411" s="25"/>
      <c r="AM411" s="25"/>
      <c r="AN411" s="25"/>
      <c r="AO411" s="25"/>
      <c r="AP411" s="25"/>
      <c r="AQ411" s="25"/>
      <c r="AR411" s="25"/>
      <c r="AS411" s="25"/>
      <c r="AT411" s="25"/>
      <c r="AU411" s="25">
        <v>0</v>
      </c>
      <c r="AV411" s="25"/>
      <c r="AW411" s="25"/>
      <c r="AX411" s="25"/>
      <c r="AY411" s="25"/>
      <c r="AZ411" s="25"/>
      <c r="BA411" s="25">
        <v>0</v>
      </c>
      <c r="BB411" s="25"/>
      <c r="BC411" s="25"/>
      <c r="BD411" s="25">
        <v>0</v>
      </c>
      <c r="BE411" s="25"/>
      <c r="BF411" s="25"/>
      <c r="BG411" s="25"/>
      <c r="BH411" s="25"/>
      <c r="BI411" s="25"/>
      <c r="BJ411" s="25"/>
      <c r="BK411" s="25"/>
      <c r="BL411" s="25"/>
      <c r="BM411" s="25"/>
      <c r="BN411" s="25"/>
      <c r="BO411" s="25"/>
      <c r="BP411" s="25"/>
      <c r="BQ411" s="25"/>
      <c r="BR411" s="25"/>
      <c r="BS411" s="25"/>
      <c r="BT411" s="25"/>
      <c r="BU411" s="25"/>
      <c r="BV411" s="25"/>
      <c r="BW411" s="25"/>
      <c r="BX411" s="25"/>
      <c r="BY411" s="25">
        <v>0</v>
      </c>
      <c r="BZ411" s="25"/>
      <c r="CA411" s="25"/>
      <c r="CB411" s="25">
        <v>0</v>
      </c>
      <c r="CC411" s="25"/>
      <c r="CD411" s="25"/>
      <c r="CE411" s="692"/>
      <c r="CF411" s="692"/>
      <c r="CG411" s="692"/>
      <c r="CH411" s="37"/>
      <c r="CI411" s="37"/>
      <c r="CJ411" s="37"/>
      <c r="CK411" s="25">
        <v>0</v>
      </c>
      <c r="CL411" s="26"/>
      <c r="CM411" s="26"/>
      <c r="CN411" s="26">
        <v>0</v>
      </c>
      <c r="CO411" s="26"/>
      <c r="CP411" s="26"/>
      <c r="CQ411" s="26"/>
      <c r="CR411" s="26"/>
      <c r="CS411" s="26"/>
      <c r="CT411" s="25">
        <f t="shared" si="215"/>
        <v>190000000</v>
      </c>
      <c r="CU411" s="25">
        <f t="shared" si="215"/>
        <v>179829600</v>
      </c>
      <c r="CV411" s="25">
        <f t="shared" si="215"/>
        <v>179829600</v>
      </c>
    </row>
    <row r="412" spans="1:100" s="27" customFormat="1" ht="84.75" customHeight="1" x14ac:dyDescent="0.25">
      <c r="A412" s="19"/>
      <c r="B412" s="18"/>
      <c r="C412" s="915"/>
      <c r="D412" s="918"/>
      <c r="E412" s="933"/>
      <c r="F412" s="933"/>
      <c r="G412" s="102"/>
      <c r="H412" s="929">
        <v>92</v>
      </c>
      <c r="I412" s="928" t="s">
        <v>507</v>
      </c>
      <c r="J412" s="56">
        <v>0</v>
      </c>
      <c r="K412" s="87">
        <v>2</v>
      </c>
      <c r="L412" s="911">
        <v>7</v>
      </c>
      <c r="M412" s="1130"/>
      <c r="N412" s="1019"/>
      <c r="O412" s="1013"/>
      <c r="P412" s="929" t="s">
        <v>34</v>
      </c>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692"/>
      <c r="CF412" s="692"/>
      <c r="CG412" s="692"/>
      <c r="CH412" s="37"/>
      <c r="CI412" s="37"/>
      <c r="CJ412" s="37"/>
      <c r="CK412" s="25"/>
      <c r="CL412" s="26"/>
      <c r="CM412" s="26"/>
      <c r="CN412" s="26"/>
      <c r="CO412" s="26"/>
      <c r="CP412" s="26"/>
      <c r="CQ412" s="26"/>
      <c r="CR412" s="26"/>
      <c r="CS412" s="26"/>
      <c r="CT412" s="25">
        <f t="shared" si="215"/>
        <v>0</v>
      </c>
      <c r="CU412" s="25">
        <f t="shared" si="215"/>
        <v>0</v>
      </c>
      <c r="CV412" s="25">
        <f t="shared" si="215"/>
        <v>0</v>
      </c>
    </row>
    <row r="413" spans="1:100" ht="15" x14ac:dyDescent="0.25">
      <c r="A413" s="19"/>
      <c r="B413" s="18"/>
      <c r="C413" s="916"/>
      <c r="D413" s="954"/>
      <c r="E413" s="934"/>
      <c r="F413" s="934"/>
      <c r="G413" s="409"/>
      <c r="H413" s="155"/>
      <c r="I413" s="154"/>
      <c r="J413" s="396"/>
      <c r="K413" s="411"/>
      <c r="L413" s="411"/>
      <c r="M413" s="411"/>
      <c r="N413" s="157"/>
      <c r="O413" s="154"/>
      <c r="P413" s="155"/>
      <c r="Q413" s="158">
        <f>SUM(Q403:Q412)</f>
        <v>0</v>
      </c>
      <c r="R413" s="158">
        <f t="shared" ref="R413:CC413" si="216">SUM(R403:R412)</f>
        <v>0</v>
      </c>
      <c r="S413" s="158">
        <f t="shared" si="216"/>
        <v>0</v>
      </c>
      <c r="T413" s="158">
        <f t="shared" si="216"/>
        <v>0</v>
      </c>
      <c r="U413" s="158">
        <f t="shared" si="216"/>
        <v>0</v>
      </c>
      <c r="V413" s="158">
        <f t="shared" si="216"/>
        <v>0</v>
      </c>
      <c r="W413" s="158">
        <f t="shared" si="216"/>
        <v>0</v>
      </c>
      <c r="X413" s="158">
        <f t="shared" si="216"/>
        <v>0</v>
      </c>
      <c r="Y413" s="158">
        <f t="shared" si="216"/>
        <v>0</v>
      </c>
      <c r="Z413" s="158">
        <f t="shared" si="216"/>
        <v>0</v>
      </c>
      <c r="AA413" s="158">
        <f t="shared" si="216"/>
        <v>0</v>
      </c>
      <c r="AB413" s="158">
        <f t="shared" si="216"/>
        <v>0</v>
      </c>
      <c r="AC413" s="158">
        <f t="shared" si="216"/>
        <v>0</v>
      </c>
      <c r="AD413" s="158">
        <f t="shared" si="216"/>
        <v>0</v>
      </c>
      <c r="AE413" s="158">
        <f t="shared" si="216"/>
        <v>0</v>
      </c>
      <c r="AF413" s="158">
        <f t="shared" si="216"/>
        <v>0</v>
      </c>
      <c r="AG413" s="158">
        <f t="shared" si="216"/>
        <v>0</v>
      </c>
      <c r="AH413" s="158">
        <f t="shared" si="216"/>
        <v>0</v>
      </c>
      <c r="AI413" s="158">
        <f t="shared" si="216"/>
        <v>290000000</v>
      </c>
      <c r="AJ413" s="158">
        <f t="shared" si="216"/>
        <v>239781040</v>
      </c>
      <c r="AK413" s="158">
        <f t="shared" si="216"/>
        <v>239781040</v>
      </c>
      <c r="AL413" s="158">
        <f t="shared" si="216"/>
        <v>0</v>
      </c>
      <c r="AM413" s="158">
        <f t="shared" si="216"/>
        <v>0</v>
      </c>
      <c r="AN413" s="158">
        <f t="shared" si="216"/>
        <v>0</v>
      </c>
      <c r="AO413" s="158">
        <f t="shared" si="216"/>
        <v>0</v>
      </c>
      <c r="AP413" s="158">
        <f t="shared" si="216"/>
        <v>0</v>
      </c>
      <c r="AQ413" s="158">
        <f t="shared" si="216"/>
        <v>0</v>
      </c>
      <c r="AR413" s="158">
        <f t="shared" si="216"/>
        <v>0</v>
      </c>
      <c r="AS413" s="158">
        <f t="shared" si="216"/>
        <v>0</v>
      </c>
      <c r="AT413" s="158">
        <f t="shared" si="216"/>
        <v>0</v>
      </c>
      <c r="AU413" s="158">
        <f t="shared" si="216"/>
        <v>0</v>
      </c>
      <c r="AV413" s="158">
        <f t="shared" si="216"/>
        <v>0</v>
      </c>
      <c r="AW413" s="158">
        <f t="shared" si="216"/>
        <v>0</v>
      </c>
      <c r="AX413" s="158">
        <f t="shared" si="216"/>
        <v>0</v>
      </c>
      <c r="AY413" s="158">
        <f t="shared" si="216"/>
        <v>0</v>
      </c>
      <c r="AZ413" s="158">
        <f t="shared" si="216"/>
        <v>0</v>
      </c>
      <c r="BA413" s="158">
        <f t="shared" si="216"/>
        <v>0</v>
      </c>
      <c r="BB413" s="158">
        <f t="shared" si="216"/>
        <v>0</v>
      </c>
      <c r="BC413" s="158">
        <f t="shared" si="216"/>
        <v>0</v>
      </c>
      <c r="BD413" s="158">
        <f t="shared" si="216"/>
        <v>0</v>
      </c>
      <c r="BE413" s="158">
        <f t="shared" si="216"/>
        <v>0</v>
      </c>
      <c r="BF413" s="158">
        <f t="shared" si="216"/>
        <v>0</v>
      </c>
      <c r="BG413" s="158">
        <f t="shared" si="216"/>
        <v>286276023</v>
      </c>
      <c r="BH413" s="158">
        <f t="shared" si="216"/>
        <v>231068152</v>
      </c>
      <c r="BI413" s="158">
        <f t="shared" si="216"/>
        <v>231068152</v>
      </c>
      <c r="BJ413" s="158">
        <f t="shared" si="216"/>
        <v>0</v>
      </c>
      <c r="BK413" s="158">
        <f t="shared" si="216"/>
        <v>0</v>
      </c>
      <c r="BL413" s="158">
        <f t="shared" si="216"/>
        <v>0</v>
      </c>
      <c r="BM413" s="158">
        <f t="shared" si="216"/>
        <v>0</v>
      </c>
      <c r="BN413" s="158">
        <f t="shared" si="216"/>
        <v>0</v>
      </c>
      <c r="BO413" s="158">
        <f t="shared" si="216"/>
        <v>0</v>
      </c>
      <c r="BP413" s="158">
        <f t="shared" si="216"/>
        <v>0</v>
      </c>
      <c r="BQ413" s="158">
        <f t="shared" si="216"/>
        <v>0</v>
      </c>
      <c r="BR413" s="158">
        <f t="shared" si="216"/>
        <v>0</v>
      </c>
      <c r="BS413" s="158">
        <f t="shared" si="216"/>
        <v>0</v>
      </c>
      <c r="BT413" s="158">
        <f t="shared" si="216"/>
        <v>0</v>
      </c>
      <c r="BU413" s="158">
        <f t="shared" si="216"/>
        <v>0</v>
      </c>
      <c r="BV413" s="158">
        <f t="shared" si="216"/>
        <v>0</v>
      </c>
      <c r="BW413" s="158">
        <f t="shared" si="216"/>
        <v>0</v>
      </c>
      <c r="BX413" s="158">
        <f t="shared" si="216"/>
        <v>0</v>
      </c>
      <c r="BY413" s="158">
        <f t="shared" si="216"/>
        <v>0</v>
      </c>
      <c r="BZ413" s="158">
        <f t="shared" si="216"/>
        <v>0</v>
      </c>
      <c r="CA413" s="158">
        <f t="shared" si="216"/>
        <v>0</v>
      </c>
      <c r="CB413" s="158">
        <f t="shared" si="216"/>
        <v>0</v>
      </c>
      <c r="CC413" s="158">
        <f t="shared" si="216"/>
        <v>0</v>
      </c>
      <c r="CD413" s="158">
        <f t="shared" ref="CD413:CS413" si="217">SUM(CD403:CD412)</f>
        <v>0</v>
      </c>
      <c r="CE413" s="158">
        <f t="shared" si="217"/>
        <v>36000000</v>
      </c>
      <c r="CF413" s="158">
        <f t="shared" si="217"/>
        <v>35000000</v>
      </c>
      <c r="CG413" s="158">
        <f t="shared" si="217"/>
        <v>35000000</v>
      </c>
      <c r="CH413" s="158">
        <f t="shared" si="217"/>
        <v>0</v>
      </c>
      <c r="CI413" s="158">
        <f t="shared" si="217"/>
        <v>0</v>
      </c>
      <c r="CJ413" s="158">
        <f t="shared" si="217"/>
        <v>0</v>
      </c>
      <c r="CK413" s="158">
        <f t="shared" si="217"/>
        <v>0</v>
      </c>
      <c r="CL413" s="158">
        <f t="shared" si="217"/>
        <v>0</v>
      </c>
      <c r="CM413" s="158">
        <f t="shared" si="217"/>
        <v>0</v>
      </c>
      <c r="CN413" s="158">
        <f t="shared" si="217"/>
        <v>0</v>
      </c>
      <c r="CO413" s="158">
        <f t="shared" si="217"/>
        <v>0</v>
      </c>
      <c r="CP413" s="158">
        <f t="shared" si="217"/>
        <v>0</v>
      </c>
      <c r="CQ413" s="158">
        <f t="shared" si="217"/>
        <v>0</v>
      </c>
      <c r="CR413" s="158">
        <f t="shared" si="217"/>
        <v>0</v>
      </c>
      <c r="CS413" s="158">
        <f t="shared" si="217"/>
        <v>0</v>
      </c>
      <c r="CT413" s="158">
        <f>SUM(CT403:CT412)</f>
        <v>612276023</v>
      </c>
      <c r="CU413" s="158">
        <f>SUM(CU403:CU412)</f>
        <v>505849192</v>
      </c>
      <c r="CV413" s="158">
        <f>SUM(CV403:CV412)</f>
        <v>505849192</v>
      </c>
    </row>
    <row r="414" spans="1:100" ht="15" x14ac:dyDescent="0.25">
      <c r="A414" s="19"/>
      <c r="B414" s="19"/>
      <c r="C414" s="949"/>
      <c r="D414" s="177"/>
      <c r="E414" s="398"/>
      <c r="F414" s="398"/>
      <c r="G414" s="177"/>
      <c r="H414" s="949"/>
      <c r="I414" s="177"/>
      <c r="J414" s="314"/>
      <c r="K414" s="314"/>
      <c r="L414" s="329"/>
      <c r="M414" s="329"/>
      <c r="N414" s="230"/>
      <c r="O414" s="221"/>
      <c r="P414" s="949"/>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c r="AU414" s="180"/>
      <c r="AV414" s="180"/>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0"/>
      <c r="BS414" s="180"/>
      <c r="BT414" s="180"/>
      <c r="BU414" s="180"/>
      <c r="BV414" s="180"/>
      <c r="BW414" s="180"/>
      <c r="BX414" s="180"/>
      <c r="BY414" s="180"/>
      <c r="BZ414" s="180"/>
      <c r="CA414" s="180"/>
      <c r="CB414" s="180"/>
      <c r="CC414" s="180"/>
      <c r="CD414" s="180"/>
      <c r="CE414" s="182"/>
      <c r="CF414" s="182"/>
      <c r="CG414" s="182"/>
      <c r="CH414" s="180"/>
      <c r="CI414" s="180"/>
      <c r="CJ414" s="180"/>
      <c r="CK414" s="180"/>
      <c r="CL414" s="180"/>
      <c r="CM414" s="180"/>
      <c r="CN414" s="180"/>
      <c r="CO414" s="180"/>
      <c r="CP414" s="180"/>
      <c r="CQ414" s="180"/>
      <c r="CR414" s="180"/>
      <c r="CS414" s="180"/>
      <c r="CT414" s="25"/>
      <c r="CU414" s="516"/>
      <c r="CV414" s="516"/>
    </row>
    <row r="415" spans="1:100" ht="15" x14ac:dyDescent="0.25">
      <c r="A415" s="19"/>
      <c r="B415" s="19"/>
      <c r="C415" s="926"/>
      <c r="D415" s="953"/>
      <c r="E415" s="932"/>
      <c r="F415" s="932"/>
      <c r="G415" s="254">
        <v>21</v>
      </c>
      <c r="H415" s="271" t="s">
        <v>508</v>
      </c>
      <c r="I415" s="189"/>
      <c r="J415" s="189"/>
      <c r="K415" s="189"/>
      <c r="L415" s="189"/>
      <c r="M415" s="189"/>
      <c r="N415" s="189"/>
      <c r="O415" s="189"/>
      <c r="P415" s="189"/>
      <c r="Q415" s="189"/>
      <c r="R415" s="922"/>
      <c r="S415" s="922"/>
      <c r="T415" s="189"/>
      <c r="U415" s="189"/>
      <c r="V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189"/>
      <c r="BU415" s="189"/>
      <c r="BV415" s="189"/>
      <c r="BW415" s="189"/>
      <c r="BX415" s="189"/>
      <c r="BY415" s="189"/>
      <c r="BZ415" s="189"/>
      <c r="CA415" s="189"/>
      <c r="CB415" s="189"/>
      <c r="CC415" s="189"/>
      <c r="CD415" s="189"/>
      <c r="CE415" s="190"/>
      <c r="CF415" s="190"/>
      <c r="CG415" s="190"/>
      <c r="CH415" s="189"/>
      <c r="CI415" s="189"/>
      <c r="CJ415" s="189"/>
      <c r="CK415" s="189"/>
      <c r="CL415" s="189"/>
      <c r="CM415" s="189"/>
      <c r="CN415" s="189"/>
      <c r="CO415" s="189"/>
      <c r="CP415" s="189"/>
      <c r="CQ415" s="189"/>
      <c r="CR415" s="189"/>
      <c r="CS415" s="189"/>
      <c r="CT415" s="522"/>
      <c r="CU415" s="522"/>
      <c r="CV415" s="522"/>
    </row>
    <row r="416" spans="1:100" s="27" customFormat="1" ht="42.75" x14ac:dyDescent="0.25">
      <c r="A416" s="19"/>
      <c r="B416" s="18"/>
      <c r="C416" s="914">
        <v>14</v>
      </c>
      <c r="D416" s="22" t="s">
        <v>459</v>
      </c>
      <c r="E416" s="932">
        <v>6.2E-2</v>
      </c>
      <c r="F416" s="932">
        <v>0.03</v>
      </c>
      <c r="G416" s="99"/>
      <c r="H416" s="929">
        <v>93</v>
      </c>
      <c r="I416" s="928" t="s">
        <v>509</v>
      </c>
      <c r="J416" s="56" t="s">
        <v>30</v>
      </c>
      <c r="K416" s="92">
        <v>18</v>
      </c>
      <c r="L416" s="92">
        <v>4</v>
      </c>
      <c r="M416" s="1128" t="s">
        <v>452</v>
      </c>
      <c r="N416" s="1017" t="s">
        <v>510</v>
      </c>
      <c r="O416" s="1012" t="s">
        <v>511</v>
      </c>
      <c r="P416" s="929" t="s">
        <v>34</v>
      </c>
      <c r="Q416" s="25">
        <v>0</v>
      </c>
      <c r="R416" s="25"/>
      <c r="S416" s="25"/>
      <c r="T416" s="25">
        <v>0</v>
      </c>
      <c r="U416" s="25"/>
      <c r="V416" s="25"/>
      <c r="W416" s="25">
        <v>0</v>
      </c>
      <c r="X416" s="25"/>
      <c r="Y416" s="25"/>
      <c r="Z416" s="25">
        <v>0</v>
      </c>
      <c r="AA416" s="25"/>
      <c r="AB416" s="25"/>
      <c r="AC416" s="25">
        <v>0</v>
      </c>
      <c r="AD416" s="25"/>
      <c r="AE416" s="25"/>
      <c r="AF416" s="25">
        <v>0</v>
      </c>
      <c r="AG416" s="25"/>
      <c r="AH416" s="25"/>
      <c r="AI416" s="25">
        <v>0</v>
      </c>
      <c r="AJ416" s="25"/>
      <c r="AK416" s="25"/>
      <c r="AL416" s="25"/>
      <c r="AM416" s="25"/>
      <c r="AN416" s="25"/>
      <c r="AO416" s="25"/>
      <c r="AP416" s="25"/>
      <c r="AQ416" s="25"/>
      <c r="AR416" s="25"/>
      <c r="AS416" s="25"/>
      <c r="AT416" s="25"/>
      <c r="AU416" s="25">
        <v>0</v>
      </c>
      <c r="AV416" s="25"/>
      <c r="AW416" s="25"/>
      <c r="AX416" s="25"/>
      <c r="AY416" s="25"/>
      <c r="AZ416" s="25"/>
      <c r="BA416" s="25">
        <v>0</v>
      </c>
      <c r="BB416" s="25"/>
      <c r="BC416" s="25"/>
      <c r="BD416" s="25">
        <v>0</v>
      </c>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25">
        <v>0</v>
      </c>
      <c r="BZ416" s="25"/>
      <c r="CA416" s="25"/>
      <c r="CB416" s="25">
        <v>0</v>
      </c>
      <c r="CC416" s="25"/>
      <c r="CD416" s="25"/>
      <c r="CE416" s="692">
        <v>0</v>
      </c>
      <c r="CF416" s="692"/>
      <c r="CG416" s="692"/>
      <c r="CH416" s="37"/>
      <c r="CI416" s="37"/>
      <c r="CJ416" s="37"/>
      <c r="CK416" s="25">
        <v>0</v>
      </c>
      <c r="CL416" s="26"/>
      <c r="CM416" s="26"/>
      <c r="CN416" s="26">
        <v>0</v>
      </c>
      <c r="CO416" s="26"/>
      <c r="CP416" s="26"/>
      <c r="CQ416" s="26"/>
      <c r="CR416" s="26"/>
      <c r="CS416" s="26"/>
      <c r="CT416" s="25">
        <f t="shared" ref="CT416:CV419" si="218">Q416+T416+W416+Z416+AC416+AF416+AI416+AL416+AO416+AR416+AU416+AX416+BA416+BD416+BG416+BJ416+BM416+BP416+BS416+BV416+BY416+CB416+CE416+CH416+CK416+CQ416+CN416</f>
        <v>0</v>
      </c>
      <c r="CU416" s="25">
        <f t="shared" si="218"/>
        <v>0</v>
      </c>
      <c r="CV416" s="25">
        <f t="shared" si="218"/>
        <v>0</v>
      </c>
    </row>
    <row r="417" spans="1:100" s="27" customFormat="1" ht="62.25" customHeight="1" x14ac:dyDescent="0.25">
      <c r="A417" s="19"/>
      <c r="B417" s="18"/>
      <c r="C417" s="915">
        <v>15</v>
      </c>
      <c r="D417" s="918" t="s">
        <v>450</v>
      </c>
      <c r="E417" s="933">
        <v>0.73229999999999995</v>
      </c>
      <c r="F417" s="933">
        <v>0.78</v>
      </c>
      <c r="G417" s="100"/>
      <c r="H417" s="929">
        <v>94</v>
      </c>
      <c r="I417" s="928" t="s">
        <v>512</v>
      </c>
      <c r="J417" s="56">
        <v>70</v>
      </c>
      <c r="K417" s="92">
        <v>30</v>
      </c>
      <c r="L417" s="92">
        <v>0</v>
      </c>
      <c r="M417" s="1129"/>
      <c r="N417" s="1018"/>
      <c r="O417" s="1020"/>
      <c r="P417" s="929" t="s">
        <v>34</v>
      </c>
      <c r="Q417" s="25">
        <v>0</v>
      </c>
      <c r="R417" s="25"/>
      <c r="S417" s="25"/>
      <c r="T417" s="25">
        <v>0</v>
      </c>
      <c r="U417" s="25"/>
      <c r="V417" s="25"/>
      <c r="W417" s="25">
        <v>0</v>
      </c>
      <c r="X417" s="25"/>
      <c r="Y417" s="25"/>
      <c r="Z417" s="25">
        <v>0</v>
      </c>
      <c r="AA417" s="25"/>
      <c r="AB417" s="25"/>
      <c r="AC417" s="25">
        <v>0</v>
      </c>
      <c r="AD417" s="25"/>
      <c r="AE417" s="25"/>
      <c r="AF417" s="25">
        <v>0</v>
      </c>
      <c r="AG417" s="25"/>
      <c r="AH417" s="25"/>
      <c r="AI417" s="25">
        <v>253000000</v>
      </c>
      <c r="AJ417" s="25"/>
      <c r="AK417" s="25"/>
      <c r="AL417" s="25"/>
      <c r="AM417" s="25"/>
      <c r="AN417" s="25"/>
      <c r="AO417" s="25"/>
      <c r="AP417" s="25"/>
      <c r="AQ417" s="25"/>
      <c r="AR417" s="25"/>
      <c r="AS417" s="25"/>
      <c r="AT417" s="25"/>
      <c r="AU417" s="25">
        <v>0</v>
      </c>
      <c r="AV417" s="25"/>
      <c r="AW417" s="25"/>
      <c r="AX417" s="25"/>
      <c r="AY417" s="25"/>
      <c r="AZ417" s="25"/>
      <c r="BA417" s="25">
        <v>0</v>
      </c>
      <c r="BB417" s="25"/>
      <c r="BC417" s="25"/>
      <c r="BD417" s="25">
        <v>0</v>
      </c>
      <c r="BE417" s="25"/>
      <c r="BF417" s="25"/>
      <c r="BG417" s="13"/>
      <c r="BH417" s="13"/>
      <c r="BI417" s="13"/>
      <c r="BJ417" s="13"/>
      <c r="BK417" s="13"/>
      <c r="BL417" s="13"/>
      <c r="BM417" s="13"/>
      <c r="BN417" s="13"/>
      <c r="BO417" s="13"/>
      <c r="BP417" s="13"/>
      <c r="BQ417" s="13"/>
      <c r="BR417" s="13"/>
      <c r="BS417" s="13"/>
      <c r="BT417" s="13"/>
      <c r="BU417" s="13"/>
      <c r="BV417" s="13"/>
      <c r="BW417" s="13"/>
      <c r="BX417" s="13"/>
      <c r="BY417" s="25">
        <v>0</v>
      </c>
      <c r="BZ417" s="25"/>
      <c r="CA417" s="25"/>
      <c r="CB417" s="25">
        <v>0</v>
      </c>
      <c r="CC417" s="25"/>
      <c r="CD417" s="25"/>
      <c r="CE417" s="692">
        <v>0</v>
      </c>
      <c r="CF417" s="692"/>
      <c r="CG417" s="692"/>
      <c r="CH417" s="37"/>
      <c r="CI417" s="37"/>
      <c r="CJ417" s="37"/>
      <c r="CK417" s="25">
        <v>0</v>
      </c>
      <c r="CL417" s="26"/>
      <c r="CM417" s="26"/>
      <c r="CN417" s="26">
        <v>0</v>
      </c>
      <c r="CO417" s="26"/>
      <c r="CP417" s="26"/>
      <c r="CQ417" s="26"/>
      <c r="CR417" s="26"/>
      <c r="CS417" s="26"/>
      <c r="CT417" s="25">
        <f t="shared" si="218"/>
        <v>253000000</v>
      </c>
      <c r="CU417" s="25">
        <f t="shared" si="218"/>
        <v>0</v>
      </c>
      <c r="CV417" s="25">
        <f t="shared" si="218"/>
        <v>0</v>
      </c>
    </row>
    <row r="418" spans="1:100" s="27" customFormat="1" ht="81.75" customHeight="1" x14ac:dyDescent="0.25">
      <c r="A418" s="19"/>
      <c r="B418" s="18"/>
      <c r="C418" s="915">
        <v>19</v>
      </c>
      <c r="D418" s="918" t="s">
        <v>455</v>
      </c>
      <c r="E418" s="933" t="s">
        <v>513</v>
      </c>
      <c r="F418" s="933" t="s">
        <v>514</v>
      </c>
      <c r="G418" s="100"/>
      <c r="H418" s="929">
        <v>95</v>
      </c>
      <c r="I418" s="928" t="s">
        <v>515</v>
      </c>
      <c r="J418" s="56">
        <v>0</v>
      </c>
      <c r="K418" s="92">
        <v>500</v>
      </c>
      <c r="L418" s="92">
        <v>500</v>
      </c>
      <c r="M418" s="1129"/>
      <c r="N418" s="1018"/>
      <c r="O418" s="1020"/>
      <c r="P418" s="929" t="s">
        <v>38</v>
      </c>
      <c r="Q418" s="25">
        <v>0</v>
      </c>
      <c r="R418" s="25"/>
      <c r="S418" s="25"/>
      <c r="T418" s="25">
        <v>0</v>
      </c>
      <c r="U418" s="25"/>
      <c r="V418" s="25"/>
      <c r="W418" s="25">
        <v>0</v>
      </c>
      <c r="X418" s="25"/>
      <c r="Y418" s="25"/>
      <c r="Z418" s="25">
        <v>0</v>
      </c>
      <c r="AA418" s="25"/>
      <c r="AB418" s="25"/>
      <c r="AC418" s="25">
        <v>0</v>
      </c>
      <c r="AD418" s="25"/>
      <c r="AE418" s="25"/>
      <c r="AF418" s="25">
        <v>0</v>
      </c>
      <c r="AG418" s="25"/>
      <c r="AH418" s="25"/>
      <c r="AI418" s="25">
        <v>4500000</v>
      </c>
      <c r="AJ418" s="25">
        <v>4500000</v>
      </c>
      <c r="AK418" s="25">
        <v>4500000</v>
      </c>
      <c r="AL418" s="25"/>
      <c r="AM418" s="25"/>
      <c r="AN418" s="25"/>
      <c r="AO418" s="25"/>
      <c r="AP418" s="25"/>
      <c r="AQ418" s="25"/>
      <c r="AR418" s="25"/>
      <c r="AS418" s="25"/>
      <c r="AT418" s="25"/>
      <c r="AU418" s="25">
        <v>0</v>
      </c>
      <c r="AV418" s="25"/>
      <c r="AW418" s="25"/>
      <c r="AX418" s="25"/>
      <c r="AY418" s="25"/>
      <c r="AZ418" s="25"/>
      <c r="BA418" s="25">
        <v>0</v>
      </c>
      <c r="BB418" s="25"/>
      <c r="BC418" s="25"/>
      <c r="BD418" s="25">
        <v>0</v>
      </c>
      <c r="BE418" s="25"/>
      <c r="BF418" s="25"/>
      <c r="BG418" s="13"/>
      <c r="BH418" s="13"/>
      <c r="BI418" s="13"/>
      <c r="BJ418" s="13"/>
      <c r="BK418" s="13"/>
      <c r="BL418" s="13"/>
      <c r="BM418" s="13"/>
      <c r="BN418" s="13"/>
      <c r="BO418" s="13"/>
      <c r="BP418" s="13"/>
      <c r="BQ418" s="13"/>
      <c r="BR418" s="13"/>
      <c r="BS418" s="13"/>
      <c r="BT418" s="13"/>
      <c r="BU418" s="13"/>
      <c r="BV418" s="13"/>
      <c r="BW418" s="13"/>
      <c r="BX418" s="13"/>
      <c r="BY418" s="25">
        <v>0</v>
      </c>
      <c r="BZ418" s="25"/>
      <c r="CA418" s="25"/>
      <c r="CB418" s="25">
        <v>0</v>
      </c>
      <c r="CC418" s="25"/>
      <c r="CD418" s="25"/>
      <c r="CE418" s="692">
        <f>13700000-13700000</f>
        <v>0</v>
      </c>
      <c r="CF418" s="692"/>
      <c r="CG418" s="692"/>
      <c r="CH418" s="37"/>
      <c r="CI418" s="37"/>
      <c r="CJ418" s="37"/>
      <c r="CK418" s="25">
        <v>0</v>
      </c>
      <c r="CL418" s="26"/>
      <c r="CM418" s="26"/>
      <c r="CN418" s="26">
        <v>0</v>
      </c>
      <c r="CO418" s="26"/>
      <c r="CP418" s="26"/>
      <c r="CQ418" s="26"/>
      <c r="CR418" s="26"/>
      <c r="CS418" s="26"/>
      <c r="CT418" s="25">
        <f t="shared" si="218"/>
        <v>4500000</v>
      </c>
      <c r="CU418" s="25">
        <f t="shared" si="218"/>
        <v>4500000</v>
      </c>
      <c r="CV418" s="25">
        <f t="shared" si="218"/>
        <v>4500000</v>
      </c>
    </row>
    <row r="419" spans="1:100" s="27" customFormat="1" ht="48.75" customHeight="1" x14ac:dyDescent="0.25">
      <c r="A419" s="19"/>
      <c r="B419" s="18"/>
      <c r="C419" s="916"/>
      <c r="D419" s="29"/>
      <c r="E419" s="29"/>
      <c r="F419" s="412"/>
      <c r="G419" s="102"/>
      <c r="H419" s="929">
        <v>96</v>
      </c>
      <c r="I419" s="928" t="s">
        <v>516</v>
      </c>
      <c r="J419" s="56">
        <v>0</v>
      </c>
      <c r="K419" s="92">
        <v>2</v>
      </c>
      <c r="L419" s="92">
        <v>4</v>
      </c>
      <c r="M419" s="1130"/>
      <c r="N419" s="1019"/>
      <c r="O419" s="1013"/>
      <c r="P419" s="929" t="s">
        <v>34</v>
      </c>
      <c r="Q419" s="25">
        <v>0</v>
      </c>
      <c r="R419" s="25"/>
      <c r="S419" s="25"/>
      <c r="T419" s="25">
        <v>0</v>
      </c>
      <c r="U419" s="25"/>
      <c r="V419" s="25"/>
      <c r="W419" s="25">
        <v>0</v>
      </c>
      <c r="X419" s="25"/>
      <c r="Y419" s="25"/>
      <c r="Z419" s="25">
        <v>0</v>
      </c>
      <c r="AA419" s="25"/>
      <c r="AB419" s="25"/>
      <c r="AC419" s="25">
        <v>0</v>
      </c>
      <c r="AD419" s="25"/>
      <c r="AE419" s="25"/>
      <c r="AF419" s="25">
        <v>0</v>
      </c>
      <c r="AG419" s="25"/>
      <c r="AH419" s="25"/>
      <c r="AI419" s="25">
        <v>0</v>
      </c>
      <c r="AJ419" s="25"/>
      <c r="AK419" s="25"/>
      <c r="AL419" s="25"/>
      <c r="AM419" s="25"/>
      <c r="AN419" s="25"/>
      <c r="AO419" s="25"/>
      <c r="AP419" s="25"/>
      <c r="AQ419" s="25"/>
      <c r="AR419" s="25"/>
      <c r="AS419" s="25"/>
      <c r="AT419" s="25"/>
      <c r="AU419" s="25">
        <v>0</v>
      </c>
      <c r="AV419" s="25"/>
      <c r="AW419" s="25"/>
      <c r="AX419" s="25"/>
      <c r="AY419" s="25"/>
      <c r="AZ419" s="25"/>
      <c r="BA419" s="25">
        <v>0</v>
      </c>
      <c r="BB419" s="25"/>
      <c r="BC419" s="25"/>
      <c r="BD419" s="25">
        <v>0</v>
      </c>
      <c r="BE419" s="25"/>
      <c r="BF419" s="25"/>
      <c r="BG419" s="13"/>
      <c r="BH419" s="13"/>
      <c r="BI419" s="13"/>
      <c r="BJ419" s="13"/>
      <c r="BK419" s="13"/>
      <c r="BL419" s="13"/>
      <c r="BM419" s="13"/>
      <c r="BN419" s="13"/>
      <c r="BO419" s="13"/>
      <c r="BP419" s="13"/>
      <c r="BQ419" s="13"/>
      <c r="BR419" s="13"/>
      <c r="BS419" s="13"/>
      <c r="BT419" s="13"/>
      <c r="BU419" s="13"/>
      <c r="BV419" s="13"/>
      <c r="BW419" s="13"/>
      <c r="BX419" s="13"/>
      <c r="BY419" s="25">
        <v>0</v>
      </c>
      <c r="BZ419" s="25"/>
      <c r="CA419" s="25"/>
      <c r="CB419" s="25">
        <v>0</v>
      </c>
      <c r="CC419" s="25"/>
      <c r="CD419" s="25"/>
      <c r="CE419" s="692">
        <v>16300000</v>
      </c>
      <c r="CF419" s="692">
        <v>16300000</v>
      </c>
      <c r="CG419" s="692">
        <v>16300000</v>
      </c>
      <c r="CH419" s="37"/>
      <c r="CI419" s="37"/>
      <c r="CJ419" s="37"/>
      <c r="CK419" s="25">
        <v>0</v>
      </c>
      <c r="CL419" s="26"/>
      <c r="CM419" s="26"/>
      <c r="CN419" s="26">
        <v>0</v>
      </c>
      <c r="CO419" s="26"/>
      <c r="CP419" s="26"/>
      <c r="CQ419" s="26"/>
      <c r="CR419" s="26"/>
      <c r="CS419" s="26"/>
      <c r="CT419" s="25">
        <f t="shared" si="218"/>
        <v>16300000</v>
      </c>
      <c r="CU419" s="25">
        <f t="shared" si="218"/>
        <v>16300000</v>
      </c>
      <c r="CV419" s="25">
        <f t="shared" si="218"/>
        <v>16300000</v>
      </c>
    </row>
    <row r="420" spans="1:100" ht="15" x14ac:dyDescent="0.25">
      <c r="A420" s="19"/>
      <c r="B420" s="19"/>
      <c r="C420" s="927"/>
      <c r="D420" s="928"/>
      <c r="E420" s="581"/>
      <c r="F420" s="79"/>
      <c r="G420" s="154"/>
      <c r="H420" s="155"/>
      <c r="I420" s="154"/>
      <c r="J420" s="396"/>
      <c r="K420" s="411"/>
      <c r="L420" s="411"/>
      <c r="M420" s="411"/>
      <c r="N420" s="157"/>
      <c r="O420" s="154"/>
      <c r="P420" s="155"/>
      <c r="Q420" s="158">
        <f t="shared" ref="Q420:CB420" si="219">SUM(Q416:Q419)</f>
        <v>0</v>
      </c>
      <c r="R420" s="158">
        <f t="shared" si="219"/>
        <v>0</v>
      </c>
      <c r="S420" s="158">
        <f t="shared" si="219"/>
        <v>0</v>
      </c>
      <c r="T420" s="158">
        <f t="shared" si="219"/>
        <v>0</v>
      </c>
      <c r="U420" s="158">
        <f t="shared" si="219"/>
        <v>0</v>
      </c>
      <c r="V420" s="158">
        <f t="shared" si="219"/>
        <v>0</v>
      </c>
      <c r="W420" s="158">
        <f t="shared" si="219"/>
        <v>0</v>
      </c>
      <c r="X420" s="158">
        <f t="shared" si="219"/>
        <v>0</v>
      </c>
      <c r="Y420" s="158">
        <f t="shared" si="219"/>
        <v>0</v>
      </c>
      <c r="Z420" s="158">
        <f t="shared" si="219"/>
        <v>0</v>
      </c>
      <c r="AA420" s="158">
        <f t="shared" si="219"/>
        <v>0</v>
      </c>
      <c r="AB420" s="158">
        <f t="shared" si="219"/>
        <v>0</v>
      </c>
      <c r="AC420" s="158">
        <f t="shared" si="219"/>
        <v>0</v>
      </c>
      <c r="AD420" s="158">
        <f t="shared" si="219"/>
        <v>0</v>
      </c>
      <c r="AE420" s="158">
        <f t="shared" si="219"/>
        <v>0</v>
      </c>
      <c r="AF420" s="158">
        <f t="shared" si="219"/>
        <v>0</v>
      </c>
      <c r="AG420" s="158">
        <f t="shared" si="219"/>
        <v>0</v>
      </c>
      <c r="AH420" s="158">
        <f t="shared" si="219"/>
        <v>0</v>
      </c>
      <c r="AI420" s="158">
        <f t="shared" si="219"/>
        <v>257500000</v>
      </c>
      <c r="AJ420" s="158">
        <f t="shared" si="219"/>
        <v>4500000</v>
      </c>
      <c r="AK420" s="158">
        <f t="shared" si="219"/>
        <v>4500000</v>
      </c>
      <c r="AL420" s="158">
        <f t="shared" si="219"/>
        <v>0</v>
      </c>
      <c r="AM420" s="158">
        <f t="shared" si="219"/>
        <v>0</v>
      </c>
      <c r="AN420" s="158">
        <f t="shared" si="219"/>
        <v>0</v>
      </c>
      <c r="AO420" s="158">
        <f t="shared" si="219"/>
        <v>0</v>
      </c>
      <c r="AP420" s="158">
        <f t="shared" si="219"/>
        <v>0</v>
      </c>
      <c r="AQ420" s="158">
        <f t="shared" si="219"/>
        <v>0</v>
      </c>
      <c r="AR420" s="158">
        <f t="shared" si="219"/>
        <v>0</v>
      </c>
      <c r="AS420" s="158">
        <f t="shared" si="219"/>
        <v>0</v>
      </c>
      <c r="AT420" s="158">
        <f t="shared" si="219"/>
        <v>0</v>
      </c>
      <c r="AU420" s="158">
        <f t="shared" si="219"/>
        <v>0</v>
      </c>
      <c r="AV420" s="158">
        <f t="shared" si="219"/>
        <v>0</v>
      </c>
      <c r="AW420" s="158">
        <f t="shared" si="219"/>
        <v>0</v>
      </c>
      <c r="AX420" s="158">
        <f t="shared" si="219"/>
        <v>0</v>
      </c>
      <c r="AY420" s="158">
        <f t="shared" si="219"/>
        <v>0</v>
      </c>
      <c r="AZ420" s="158">
        <f t="shared" si="219"/>
        <v>0</v>
      </c>
      <c r="BA420" s="158">
        <f t="shared" si="219"/>
        <v>0</v>
      </c>
      <c r="BB420" s="158">
        <f t="shared" si="219"/>
        <v>0</v>
      </c>
      <c r="BC420" s="158">
        <f t="shared" si="219"/>
        <v>0</v>
      </c>
      <c r="BD420" s="158">
        <f t="shared" si="219"/>
        <v>0</v>
      </c>
      <c r="BE420" s="158">
        <f t="shared" si="219"/>
        <v>0</v>
      </c>
      <c r="BF420" s="158">
        <f t="shared" si="219"/>
        <v>0</v>
      </c>
      <c r="BG420" s="158">
        <f t="shared" si="219"/>
        <v>0</v>
      </c>
      <c r="BH420" s="158">
        <f t="shared" si="219"/>
        <v>0</v>
      </c>
      <c r="BI420" s="158">
        <f t="shared" si="219"/>
        <v>0</v>
      </c>
      <c r="BJ420" s="158">
        <f t="shared" si="219"/>
        <v>0</v>
      </c>
      <c r="BK420" s="158">
        <f t="shared" si="219"/>
        <v>0</v>
      </c>
      <c r="BL420" s="158">
        <f t="shared" si="219"/>
        <v>0</v>
      </c>
      <c r="BM420" s="158">
        <f t="shared" si="219"/>
        <v>0</v>
      </c>
      <c r="BN420" s="158">
        <f t="shared" si="219"/>
        <v>0</v>
      </c>
      <c r="BO420" s="158">
        <f t="shared" si="219"/>
        <v>0</v>
      </c>
      <c r="BP420" s="158">
        <f t="shared" si="219"/>
        <v>0</v>
      </c>
      <c r="BQ420" s="158">
        <f t="shared" si="219"/>
        <v>0</v>
      </c>
      <c r="BR420" s="158">
        <f t="shared" si="219"/>
        <v>0</v>
      </c>
      <c r="BS420" s="158">
        <f t="shared" si="219"/>
        <v>0</v>
      </c>
      <c r="BT420" s="158">
        <f t="shared" si="219"/>
        <v>0</v>
      </c>
      <c r="BU420" s="158">
        <f t="shared" si="219"/>
        <v>0</v>
      </c>
      <c r="BV420" s="158">
        <f t="shared" si="219"/>
        <v>0</v>
      </c>
      <c r="BW420" s="158">
        <f t="shared" si="219"/>
        <v>0</v>
      </c>
      <c r="BX420" s="158">
        <f t="shared" si="219"/>
        <v>0</v>
      </c>
      <c r="BY420" s="158">
        <f t="shared" si="219"/>
        <v>0</v>
      </c>
      <c r="BZ420" s="158">
        <f t="shared" si="219"/>
        <v>0</v>
      </c>
      <c r="CA420" s="158">
        <f t="shared" si="219"/>
        <v>0</v>
      </c>
      <c r="CB420" s="158">
        <f t="shared" si="219"/>
        <v>0</v>
      </c>
      <c r="CC420" s="158">
        <f t="shared" ref="CC420:CS420" si="220">SUM(CC416:CC419)</f>
        <v>0</v>
      </c>
      <c r="CD420" s="158">
        <f t="shared" si="220"/>
        <v>0</v>
      </c>
      <c r="CE420" s="158">
        <f t="shared" si="220"/>
        <v>16300000</v>
      </c>
      <c r="CF420" s="158">
        <f t="shared" si="220"/>
        <v>16300000</v>
      </c>
      <c r="CG420" s="158">
        <f t="shared" si="220"/>
        <v>16300000</v>
      </c>
      <c r="CH420" s="158">
        <f t="shared" si="220"/>
        <v>0</v>
      </c>
      <c r="CI420" s="158">
        <f t="shared" si="220"/>
        <v>0</v>
      </c>
      <c r="CJ420" s="158">
        <f t="shared" si="220"/>
        <v>0</v>
      </c>
      <c r="CK420" s="158">
        <f t="shared" si="220"/>
        <v>0</v>
      </c>
      <c r="CL420" s="158">
        <f t="shared" si="220"/>
        <v>0</v>
      </c>
      <c r="CM420" s="158">
        <f t="shared" si="220"/>
        <v>0</v>
      </c>
      <c r="CN420" s="158">
        <f t="shared" si="220"/>
        <v>0</v>
      </c>
      <c r="CO420" s="158">
        <f t="shared" si="220"/>
        <v>0</v>
      </c>
      <c r="CP420" s="158">
        <f t="shared" si="220"/>
        <v>0</v>
      </c>
      <c r="CQ420" s="158">
        <f t="shared" si="220"/>
        <v>0</v>
      </c>
      <c r="CR420" s="158">
        <f t="shared" si="220"/>
        <v>0</v>
      </c>
      <c r="CS420" s="158">
        <f t="shared" si="220"/>
        <v>0</v>
      </c>
      <c r="CT420" s="158">
        <f>SUM(CT416:CT419)</f>
        <v>273800000</v>
      </c>
      <c r="CU420" s="158">
        <f>SUM(CU416:CU419)</f>
        <v>20800000</v>
      </c>
      <c r="CV420" s="158">
        <f>SUM(CV416:CV419)</f>
        <v>20800000</v>
      </c>
    </row>
    <row r="421" spans="1:100" ht="15" x14ac:dyDescent="0.25">
      <c r="A421" s="19"/>
      <c r="B421" s="19"/>
      <c r="C421" s="949"/>
      <c r="D421" s="177"/>
      <c r="E421" s="398"/>
      <c r="F421" s="398"/>
      <c r="G421" s="177"/>
      <c r="H421" s="949"/>
      <c r="I421" s="177"/>
      <c r="J421" s="314"/>
      <c r="K421" s="314"/>
      <c r="L421" s="329"/>
      <c r="M421" s="329"/>
      <c r="N421" s="230"/>
      <c r="O421" s="221"/>
      <c r="P421" s="949"/>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c r="BZ421" s="180"/>
      <c r="CA421" s="180"/>
      <c r="CB421" s="180"/>
      <c r="CC421" s="180"/>
      <c r="CD421" s="180"/>
      <c r="CE421" s="182"/>
      <c r="CF421" s="182"/>
      <c r="CG421" s="182"/>
      <c r="CH421" s="180"/>
      <c r="CI421" s="180"/>
      <c r="CJ421" s="180"/>
      <c r="CK421" s="180"/>
      <c r="CL421" s="180"/>
      <c r="CM421" s="180"/>
      <c r="CN421" s="180"/>
      <c r="CO421" s="180"/>
      <c r="CP421" s="180"/>
      <c r="CQ421" s="180"/>
      <c r="CR421" s="180"/>
      <c r="CS421" s="180"/>
      <c r="CT421" s="25"/>
      <c r="CU421" s="516"/>
      <c r="CV421" s="516"/>
    </row>
    <row r="422" spans="1:100" ht="15" x14ac:dyDescent="0.25">
      <c r="A422" s="19"/>
      <c r="B422" s="19"/>
      <c r="C422" s="927"/>
      <c r="D422" s="153"/>
      <c r="E422" s="83"/>
      <c r="F422" s="83"/>
      <c r="G422" s="188">
        <v>22</v>
      </c>
      <c r="H422" s="189" t="s">
        <v>517</v>
      </c>
      <c r="I422" s="189"/>
      <c r="J422" s="189"/>
      <c r="K422" s="189"/>
      <c r="L422" s="189"/>
      <c r="M422" s="189"/>
      <c r="N422" s="189"/>
      <c r="O422" s="189"/>
      <c r="P422" s="189"/>
      <c r="Q422" s="189"/>
      <c r="R422" s="922"/>
      <c r="S422" s="922"/>
      <c r="T422" s="189"/>
      <c r="U422" s="189"/>
      <c r="V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c r="BY422" s="189"/>
      <c r="BZ422" s="189"/>
      <c r="CA422" s="189"/>
      <c r="CB422" s="189"/>
      <c r="CC422" s="189"/>
      <c r="CD422" s="189"/>
      <c r="CE422" s="190"/>
      <c r="CF422" s="190"/>
      <c r="CG422" s="190"/>
      <c r="CH422" s="189"/>
      <c r="CI422" s="189"/>
      <c r="CJ422" s="189"/>
      <c r="CK422" s="189"/>
      <c r="CL422" s="189"/>
      <c r="CM422" s="189"/>
      <c r="CN422" s="189"/>
      <c r="CO422" s="189"/>
      <c r="CP422" s="189"/>
      <c r="CQ422" s="189"/>
      <c r="CR422" s="189"/>
      <c r="CS422" s="189"/>
      <c r="CT422" s="522"/>
      <c r="CU422" s="522"/>
      <c r="CV422" s="522"/>
    </row>
    <row r="423" spans="1:100" s="27" customFormat="1" ht="163.5" customHeight="1" x14ac:dyDescent="0.25">
      <c r="A423" s="19"/>
      <c r="B423" s="19"/>
      <c r="C423" s="927" t="s">
        <v>473</v>
      </c>
      <c r="D423" s="928" t="s">
        <v>474</v>
      </c>
      <c r="E423" s="83" t="s">
        <v>518</v>
      </c>
      <c r="F423" s="83" t="s">
        <v>519</v>
      </c>
      <c r="G423" s="928"/>
      <c r="H423" s="929">
        <v>97</v>
      </c>
      <c r="I423" s="928" t="s">
        <v>520</v>
      </c>
      <c r="J423" s="56" t="s">
        <v>30</v>
      </c>
      <c r="K423" s="87">
        <v>33</v>
      </c>
      <c r="L423" s="87">
        <v>37</v>
      </c>
      <c r="M423" s="913" t="s">
        <v>452</v>
      </c>
      <c r="N423" s="36" t="s">
        <v>521</v>
      </c>
      <c r="O423" s="928" t="s">
        <v>522</v>
      </c>
      <c r="P423" s="929" t="s">
        <v>34</v>
      </c>
      <c r="Q423" s="25">
        <v>0</v>
      </c>
      <c r="R423" s="25"/>
      <c r="S423" s="25"/>
      <c r="T423" s="25">
        <v>0</v>
      </c>
      <c r="U423" s="25"/>
      <c r="V423" s="25"/>
      <c r="W423" s="25">
        <v>0</v>
      </c>
      <c r="X423" s="25"/>
      <c r="Y423" s="25"/>
      <c r="Z423" s="25">
        <v>0</v>
      </c>
      <c r="AA423" s="25"/>
      <c r="AB423" s="25"/>
      <c r="AC423" s="25">
        <v>0</v>
      </c>
      <c r="AD423" s="25"/>
      <c r="AE423" s="25"/>
      <c r="AF423" s="25">
        <v>0</v>
      </c>
      <c r="AG423" s="25"/>
      <c r="AH423" s="25"/>
      <c r="AI423" s="25">
        <v>43300000</v>
      </c>
      <c r="AJ423" s="25">
        <v>8000000</v>
      </c>
      <c r="AK423" s="25">
        <v>8000000</v>
      </c>
      <c r="AL423" s="25"/>
      <c r="AM423" s="25"/>
      <c r="AN423" s="25"/>
      <c r="AO423" s="25"/>
      <c r="AP423" s="25"/>
      <c r="AQ423" s="25"/>
      <c r="AR423" s="25"/>
      <c r="AS423" s="25"/>
      <c r="AT423" s="25"/>
      <c r="AU423" s="25">
        <v>0</v>
      </c>
      <c r="AV423" s="25"/>
      <c r="AW423" s="25"/>
      <c r="AX423" s="25"/>
      <c r="AY423" s="25"/>
      <c r="AZ423" s="25"/>
      <c r="BA423" s="25">
        <v>0</v>
      </c>
      <c r="BB423" s="25"/>
      <c r="BC423" s="25"/>
      <c r="BD423" s="25">
        <v>0</v>
      </c>
      <c r="BE423" s="108"/>
      <c r="BF423" s="108"/>
      <c r="BG423" s="108"/>
      <c r="BH423" s="108"/>
      <c r="BI423" s="108"/>
      <c r="BJ423" s="108"/>
      <c r="BK423" s="108"/>
      <c r="BL423" s="108"/>
      <c r="BM423" s="108"/>
      <c r="BN423" s="108"/>
      <c r="BO423" s="108"/>
      <c r="BP423" s="108"/>
      <c r="BQ423" s="108"/>
      <c r="BR423" s="108"/>
      <c r="BS423" s="108"/>
      <c r="BT423" s="108"/>
      <c r="BU423" s="108"/>
      <c r="BV423" s="108"/>
      <c r="BW423" s="108"/>
      <c r="BX423" s="108"/>
      <c r="BY423" s="108">
        <v>0</v>
      </c>
      <c r="BZ423" s="108"/>
      <c r="CA423" s="108"/>
      <c r="CB423" s="25">
        <v>0</v>
      </c>
      <c r="CC423" s="25"/>
      <c r="CD423" s="25"/>
      <c r="CE423" s="110">
        <v>0</v>
      </c>
      <c r="CF423" s="110"/>
      <c r="CG423" s="110"/>
      <c r="CH423" s="37"/>
      <c r="CI423" s="37"/>
      <c r="CJ423" s="37"/>
      <c r="CK423" s="25">
        <v>0</v>
      </c>
      <c r="CL423" s="26"/>
      <c r="CM423" s="26"/>
      <c r="CN423" s="26">
        <v>0</v>
      </c>
      <c r="CO423" s="26"/>
      <c r="CP423" s="26"/>
      <c r="CQ423" s="26"/>
      <c r="CR423" s="26"/>
      <c r="CS423" s="26"/>
      <c r="CT423" s="25">
        <f>Q423+T423+W423+Z423+AC423+AF423+AI423+AL423+AO423+AR423+AU423+AX423+BA423+BD423+BG423+BJ423+BM423+BP423+BS423+BV423+BY423+CB423+CE423+CH423+CK423+CQ423+CN423</f>
        <v>43300000</v>
      </c>
      <c r="CU423" s="25">
        <f>R423+U423+X423+AA423+AD423+AG423+AJ423+AM423+AP423+AS423+AV423+AY423+BB423+BE423+BH423+BK423+BN423+BQ423+BT423+BW423+BZ423+CC423+CF423+CI423+CL423+CR423+CO423</f>
        <v>8000000</v>
      </c>
      <c r="CV423" s="25">
        <f>S423+V423+Y423+AB423+AE423+AH423+AK423+AN423+AQ423+AT423+AW423+AZ423+BC423+BF423+BI423+BL423+BO423+BR423+BU423+BX423+CA423+CD423+CG423+CJ423+CM423+CS423+CP423</f>
        <v>8000000</v>
      </c>
    </row>
    <row r="424" spans="1:100" ht="15" x14ac:dyDescent="0.25">
      <c r="A424" s="19"/>
      <c r="B424" s="152"/>
      <c r="C424" s="927"/>
      <c r="D424" s="928"/>
      <c r="E424" s="413"/>
      <c r="F424" s="413"/>
      <c r="G424" s="154"/>
      <c r="H424" s="155"/>
      <c r="I424" s="154"/>
      <c r="J424" s="396"/>
      <c r="K424" s="411"/>
      <c r="L424" s="411"/>
      <c r="M424" s="411"/>
      <c r="N424" s="157"/>
      <c r="O424" s="154"/>
      <c r="P424" s="155"/>
      <c r="Q424" s="158">
        <f>SUM(Q423)</f>
        <v>0</v>
      </c>
      <c r="R424" s="158">
        <f t="shared" ref="R424:CC424" si="221">SUM(R423)</f>
        <v>0</v>
      </c>
      <c r="S424" s="158">
        <f t="shared" si="221"/>
        <v>0</v>
      </c>
      <c r="T424" s="158">
        <f t="shared" si="221"/>
        <v>0</v>
      </c>
      <c r="U424" s="158">
        <f t="shared" si="221"/>
        <v>0</v>
      </c>
      <c r="V424" s="158">
        <f t="shared" si="221"/>
        <v>0</v>
      </c>
      <c r="W424" s="158">
        <f t="shared" si="221"/>
        <v>0</v>
      </c>
      <c r="X424" s="158">
        <f t="shared" si="221"/>
        <v>0</v>
      </c>
      <c r="Y424" s="158">
        <f t="shared" si="221"/>
        <v>0</v>
      </c>
      <c r="Z424" s="158">
        <f t="shared" si="221"/>
        <v>0</v>
      </c>
      <c r="AA424" s="158">
        <f t="shared" si="221"/>
        <v>0</v>
      </c>
      <c r="AB424" s="158">
        <f t="shared" si="221"/>
        <v>0</v>
      </c>
      <c r="AC424" s="158">
        <f t="shared" si="221"/>
        <v>0</v>
      </c>
      <c r="AD424" s="158">
        <f t="shared" si="221"/>
        <v>0</v>
      </c>
      <c r="AE424" s="158">
        <f t="shared" si="221"/>
        <v>0</v>
      </c>
      <c r="AF424" s="158">
        <f t="shared" si="221"/>
        <v>0</v>
      </c>
      <c r="AG424" s="158">
        <f t="shared" si="221"/>
        <v>0</v>
      </c>
      <c r="AH424" s="158">
        <f t="shared" si="221"/>
        <v>0</v>
      </c>
      <c r="AI424" s="158">
        <f t="shared" si="221"/>
        <v>43300000</v>
      </c>
      <c r="AJ424" s="158">
        <f t="shared" si="221"/>
        <v>8000000</v>
      </c>
      <c r="AK424" s="158">
        <f t="shared" si="221"/>
        <v>8000000</v>
      </c>
      <c r="AL424" s="158">
        <f t="shared" si="221"/>
        <v>0</v>
      </c>
      <c r="AM424" s="158">
        <f t="shared" si="221"/>
        <v>0</v>
      </c>
      <c r="AN424" s="158">
        <f t="shared" si="221"/>
        <v>0</v>
      </c>
      <c r="AO424" s="158">
        <f t="shared" si="221"/>
        <v>0</v>
      </c>
      <c r="AP424" s="158">
        <f t="shared" si="221"/>
        <v>0</v>
      </c>
      <c r="AQ424" s="158">
        <f t="shared" si="221"/>
        <v>0</v>
      </c>
      <c r="AR424" s="158">
        <f t="shared" si="221"/>
        <v>0</v>
      </c>
      <c r="AS424" s="158">
        <f t="shared" si="221"/>
        <v>0</v>
      </c>
      <c r="AT424" s="158">
        <f t="shared" si="221"/>
        <v>0</v>
      </c>
      <c r="AU424" s="158">
        <f t="shared" si="221"/>
        <v>0</v>
      </c>
      <c r="AV424" s="158">
        <f t="shared" si="221"/>
        <v>0</v>
      </c>
      <c r="AW424" s="158">
        <f t="shared" si="221"/>
        <v>0</v>
      </c>
      <c r="AX424" s="158">
        <f t="shared" si="221"/>
        <v>0</v>
      </c>
      <c r="AY424" s="158">
        <f t="shared" si="221"/>
        <v>0</v>
      </c>
      <c r="AZ424" s="158">
        <f t="shared" si="221"/>
        <v>0</v>
      </c>
      <c r="BA424" s="158">
        <f t="shared" si="221"/>
        <v>0</v>
      </c>
      <c r="BB424" s="158">
        <f t="shared" si="221"/>
        <v>0</v>
      </c>
      <c r="BC424" s="158">
        <f t="shared" si="221"/>
        <v>0</v>
      </c>
      <c r="BD424" s="158">
        <f t="shared" si="221"/>
        <v>0</v>
      </c>
      <c r="BE424" s="158">
        <f t="shared" si="221"/>
        <v>0</v>
      </c>
      <c r="BF424" s="158">
        <f t="shared" si="221"/>
        <v>0</v>
      </c>
      <c r="BG424" s="158">
        <f t="shared" si="221"/>
        <v>0</v>
      </c>
      <c r="BH424" s="158">
        <f t="shared" si="221"/>
        <v>0</v>
      </c>
      <c r="BI424" s="158">
        <f t="shared" si="221"/>
        <v>0</v>
      </c>
      <c r="BJ424" s="158">
        <f t="shared" si="221"/>
        <v>0</v>
      </c>
      <c r="BK424" s="158">
        <f t="shared" si="221"/>
        <v>0</v>
      </c>
      <c r="BL424" s="158">
        <f t="shared" si="221"/>
        <v>0</v>
      </c>
      <c r="BM424" s="158">
        <f t="shared" si="221"/>
        <v>0</v>
      </c>
      <c r="BN424" s="158">
        <f t="shared" si="221"/>
        <v>0</v>
      </c>
      <c r="BO424" s="158">
        <f t="shared" si="221"/>
        <v>0</v>
      </c>
      <c r="BP424" s="158">
        <f t="shared" si="221"/>
        <v>0</v>
      </c>
      <c r="BQ424" s="158">
        <f t="shared" si="221"/>
        <v>0</v>
      </c>
      <c r="BR424" s="158">
        <f t="shared" si="221"/>
        <v>0</v>
      </c>
      <c r="BS424" s="158">
        <f t="shared" si="221"/>
        <v>0</v>
      </c>
      <c r="BT424" s="158">
        <f t="shared" si="221"/>
        <v>0</v>
      </c>
      <c r="BU424" s="158">
        <f t="shared" si="221"/>
        <v>0</v>
      </c>
      <c r="BV424" s="158">
        <f t="shared" si="221"/>
        <v>0</v>
      </c>
      <c r="BW424" s="158">
        <f t="shared" si="221"/>
        <v>0</v>
      </c>
      <c r="BX424" s="158">
        <f t="shared" si="221"/>
        <v>0</v>
      </c>
      <c r="BY424" s="158">
        <f t="shared" si="221"/>
        <v>0</v>
      </c>
      <c r="BZ424" s="158">
        <f t="shared" si="221"/>
        <v>0</v>
      </c>
      <c r="CA424" s="158">
        <f t="shared" si="221"/>
        <v>0</v>
      </c>
      <c r="CB424" s="158">
        <f t="shared" si="221"/>
        <v>0</v>
      </c>
      <c r="CC424" s="158">
        <f t="shared" si="221"/>
        <v>0</v>
      </c>
      <c r="CD424" s="158">
        <f t="shared" ref="CD424:CS424" si="222">SUM(CD423)</f>
        <v>0</v>
      </c>
      <c r="CE424" s="158">
        <f t="shared" si="222"/>
        <v>0</v>
      </c>
      <c r="CF424" s="158">
        <f t="shared" si="222"/>
        <v>0</v>
      </c>
      <c r="CG424" s="158">
        <f t="shared" si="222"/>
        <v>0</v>
      </c>
      <c r="CH424" s="158">
        <f t="shared" si="222"/>
        <v>0</v>
      </c>
      <c r="CI424" s="158">
        <f t="shared" si="222"/>
        <v>0</v>
      </c>
      <c r="CJ424" s="158">
        <f t="shared" si="222"/>
        <v>0</v>
      </c>
      <c r="CK424" s="158">
        <f t="shared" si="222"/>
        <v>0</v>
      </c>
      <c r="CL424" s="158">
        <f t="shared" si="222"/>
        <v>0</v>
      </c>
      <c r="CM424" s="158">
        <f t="shared" si="222"/>
        <v>0</v>
      </c>
      <c r="CN424" s="158">
        <f t="shared" si="222"/>
        <v>0</v>
      </c>
      <c r="CO424" s="158">
        <f t="shared" si="222"/>
        <v>0</v>
      </c>
      <c r="CP424" s="158">
        <f t="shared" si="222"/>
        <v>0</v>
      </c>
      <c r="CQ424" s="158">
        <f t="shared" si="222"/>
        <v>0</v>
      </c>
      <c r="CR424" s="158">
        <f t="shared" si="222"/>
        <v>0</v>
      </c>
      <c r="CS424" s="158">
        <f t="shared" si="222"/>
        <v>0</v>
      </c>
      <c r="CT424" s="158">
        <f>SUM(CT423)</f>
        <v>43300000</v>
      </c>
      <c r="CU424" s="158">
        <f>SUM(CU423)</f>
        <v>8000000</v>
      </c>
      <c r="CV424" s="158">
        <f>SUM(CV423)</f>
        <v>8000000</v>
      </c>
    </row>
    <row r="425" spans="1:100" ht="15" x14ac:dyDescent="0.25">
      <c r="A425" s="19"/>
      <c r="B425" s="216"/>
      <c r="C425" s="162"/>
      <c r="D425" s="161"/>
      <c r="E425" s="405"/>
      <c r="F425" s="405"/>
      <c r="G425" s="161"/>
      <c r="H425" s="162"/>
      <c r="I425" s="161"/>
      <c r="J425" s="406"/>
      <c r="K425" s="406"/>
      <c r="L425" s="406"/>
      <c r="M425" s="406"/>
      <c r="N425" s="164"/>
      <c r="O425" s="161"/>
      <c r="P425" s="162"/>
      <c r="Q425" s="165">
        <f>Q424+Q420+Q413+Q400</f>
        <v>0</v>
      </c>
      <c r="R425" s="165">
        <f t="shared" ref="R425:CC425" si="223">R424+R420+R413+R400</f>
        <v>0</v>
      </c>
      <c r="S425" s="165">
        <f t="shared" si="223"/>
        <v>0</v>
      </c>
      <c r="T425" s="165">
        <f t="shared" si="223"/>
        <v>0</v>
      </c>
      <c r="U425" s="165">
        <f t="shared" si="223"/>
        <v>0</v>
      </c>
      <c r="V425" s="165">
        <f t="shared" si="223"/>
        <v>0</v>
      </c>
      <c r="W425" s="165">
        <f t="shared" si="223"/>
        <v>0</v>
      </c>
      <c r="X425" s="165">
        <f t="shared" si="223"/>
        <v>0</v>
      </c>
      <c r="Y425" s="165">
        <f t="shared" si="223"/>
        <v>0</v>
      </c>
      <c r="Z425" s="165">
        <f t="shared" si="223"/>
        <v>0</v>
      </c>
      <c r="AA425" s="165">
        <f t="shared" si="223"/>
        <v>0</v>
      </c>
      <c r="AB425" s="165">
        <f t="shared" si="223"/>
        <v>0</v>
      </c>
      <c r="AC425" s="165">
        <f t="shared" si="223"/>
        <v>0</v>
      </c>
      <c r="AD425" s="165">
        <f t="shared" si="223"/>
        <v>0</v>
      </c>
      <c r="AE425" s="165">
        <f t="shared" si="223"/>
        <v>0</v>
      </c>
      <c r="AF425" s="165">
        <f t="shared" si="223"/>
        <v>0</v>
      </c>
      <c r="AG425" s="165">
        <f t="shared" si="223"/>
        <v>0</v>
      </c>
      <c r="AH425" s="165">
        <f t="shared" si="223"/>
        <v>0</v>
      </c>
      <c r="AI425" s="165">
        <f t="shared" si="223"/>
        <v>749904816</v>
      </c>
      <c r="AJ425" s="165">
        <f t="shared" si="223"/>
        <v>404185856</v>
      </c>
      <c r="AK425" s="165">
        <f t="shared" si="223"/>
        <v>404185856</v>
      </c>
      <c r="AL425" s="165">
        <f t="shared" si="223"/>
        <v>0</v>
      </c>
      <c r="AM425" s="165">
        <f t="shared" si="223"/>
        <v>0</v>
      </c>
      <c r="AN425" s="165">
        <f t="shared" si="223"/>
        <v>0</v>
      </c>
      <c r="AO425" s="165">
        <f t="shared" si="223"/>
        <v>0</v>
      </c>
      <c r="AP425" s="165">
        <f t="shared" si="223"/>
        <v>0</v>
      </c>
      <c r="AQ425" s="165">
        <f t="shared" si="223"/>
        <v>0</v>
      </c>
      <c r="AR425" s="165">
        <f t="shared" si="223"/>
        <v>0</v>
      </c>
      <c r="AS425" s="165">
        <f t="shared" si="223"/>
        <v>0</v>
      </c>
      <c r="AT425" s="165">
        <f t="shared" si="223"/>
        <v>0</v>
      </c>
      <c r="AU425" s="165">
        <f t="shared" si="223"/>
        <v>0</v>
      </c>
      <c r="AV425" s="165">
        <f t="shared" si="223"/>
        <v>0</v>
      </c>
      <c r="AW425" s="165">
        <f t="shared" si="223"/>
        <v>0</v>
      </c>
      <c r="AX425" s="165">
        <f t="shared" si="223"/>
        <v>0</v>
      </c>
      <c r="AY425" s="165">
        <f t="shared" si="223"/>
        <v>0</v>
      </c>
      <c r="AZ425" s="165">
        <f t="shared" si="223"/>
        <v>0</v>
      </c>
      <c r="BA425" s="165">
        <f t="shared" si="223"/>
        <v>0</v>
      </c>
      <c r="BB425" s="165">
        <f t="shared" si="223"/>
        <v>0</v>
      </c>
      <c r="BC425" s="165">
        <f t="shared" si="223"/>
        <v>0</v>
      </c>
      <c r="BD425" s="165">
        <f t="shared" si="223"/>
        <v>0</v>
      </c>
      <c r="BE425" s="165">
        <f t="shared" si="223"/>
        <v>0</v>
      </c>
      <c r="BF425" s="165">
        <f t="shared" si="223"/>
        <v>0</v>
      </c>
      <c r="BG425" s="165">
        <f t="shared" si="223"/>
        <v>286276023</v>
      </c>
      <c r="BH425" s="165">
        <f t="shared" si="223"/>
        <v>231068152</v>
      </c>
      <c r="BI425" s="165">
        <f t="shared" si="223"/>
        <v>231068152</v>
      </c>
      <c r="BJ425" s="165">
        <f t="shared" si="223"/>
        <v>0</v>
      </c>
      <c r="BK425" s="165">
        <f t="shared" si="223"/>
        <v>0</v>
      </c>
      <c r="BL425" s="165">
        <f t="shared" si="223"/>
        <v>0</v>
      </c>
      <c r="BM425" s="165">
        <f t="shared" si="223"/>
        <v>0</v>
      </c>
      <c r="BN425" s="165">
        <f t="shared" si="223"/>
        <v>0</v>
      </c>
      <c r="BO425" s="165">
        <f t="shared" si="223"/>
        <v>0</v>
      </c>
      <c r="BP425" s="165">
        <f t="shared" si="223"/>
        <v>0</v>
      </c>
      <c r="BQ425" s="165">
        <f t="shared" si="223"/>
        <v>0</v>
      </c>
      <c r="BR425" s="165">
        <f t="shared" si="223"/>
        <v>0</v>
      </c>
      <c r="BS425" s="165">
        <f t="shared" si="223"/>
        <v>0</v>
      </c>
      <c r="BT425" s="165">
        <f t="shared" si="223"/>
        <v>0</v>
      </c>
      <c r="BU425" s="165">
        <f t="shared" si="223"/>
        <v>0</v>
      </c>
      <c r="BV425" s="165">
        <f t="shared" si="223"/>
        <v>0</v>
      </c>
      <c r="BW425" s="165">
        <f t="shared" si="223"/>
        <v>0</v>
      </c>
      <c r="BX425" s="165">
        <f t="shared" si="223"/>
        <v>0</v>
      </c>
      <c r="BY425" s="165">
        <f t="shared" si="223"/>
        <v>0</v>
      </c>
      <c r="BZ425" s="165">
        <f t="shared" si="223"/>
        <v>0</v>
      </c>
      <c r="CA425" s="165">
        <f t="shared" si="223"/>
        <v>0</v>
      </c>
      <c r="CB425" s="165">
        <f t="shared" si="223"/>
        <v>0</v>
      </c>
      <c r="CC425" s="165">
        <f t="shared" si="223"/>
        <v>0</v>
      </c>
      <c r="CD425" s="165">
        <f t="shared" ref="CD425:CS425" si="224">CD424+CD420+CD413+CD400</f>
        <v>0</v>
      </c>
      <c r="CE425" s="165">
        <f t="shared" si="224"/>
        <v>52300000</v>
      </c>
      <c r="CF425" s="165">
        <f t="shared" si="224"/>
        <v>51300000</v>
      </c>
      <c r="CG425" s="165">
        <f t="shared" si="224"/>
        <v>51300000</v>
      </c>
      <c r="CH425" s="165">
        <f t="shared" si="224"/>
        <v>0</v>
      </c>
      <c r="CI425" s="165">
        <f t="shared" si="224"/>
        <v>0</v>
      </c>
      <c r="CJ425" s="165">
        <f t="shared" si="224"/>
        <v>0</v>
      </c>
      <c r="CK425" s="165">
        <f t="shared" si="224"/>
        <v>0</v>
      </c>
      <c r="CL425" s="165">
        <f t="shared" si="224"/>
        <v>0</v>
      </c>
      <c r="CM425" s="165">
        <f t="shared" si="224"/>
        <v>0</v>
      </c>
      <c r="CN425" s="165">
        <f t="shared" si="224"/>
        <v>0</v>
      </c>
      <c r="CO425" s="165">
        <f t="shared" si="224"/>
        <v>0</v>
      </c>
      <c r="CP425" s="165">
        <f t="shared" si="224"/>
        <v>0</v>
      </c>
      <c r="CQ425" s="165">
        <f t="shared" si="224"/>
        <v>0</v>
      </c>
      <c r="CR425" s="165">
        <f t="shared" si="224"/>
        <v>0</v>
      </c>
      <c r="CS425" s="165">
        <f t="shared" si="224"/>
        <v>0</v>
      </c>
      <c r="CT425" s="165">
        <f>CT424+CT420+CT413+CT400</f>
        <v>1088480839</v>
      </c>
      <c r="CU425" s="165">
        <f>CU424+CU420+CU413+CU400</f>
        <v>686554008</v>
      </c>
      <c r="CV425" s="165">
        <f>CV424+CV420+CV413+CV400</f>
        <v>686554008</v>
      </c>
    </row>
    <row r="426" spans="1:100" ht="15" x14ac:dyDescent="0.25">
      <c r="A426" s="19"/>
      <c r="B426" s="414"/>
      <c r="C426" s="931"/>
      <c r="D426" s="414"/>
      <c r="E426" s="415"/>
      <c r="F426" s="415"/>
      <c r="G426" s="414"/>
      <c r="H426" s="931"/>
      <c r="I426" s="414"/>
      <c r="J426" s="416"/>
      <c r="K426" s="416"/>
      <c r="L426" s="417"/>
      <c r="M426" s="417"/>
      <c r="N426" s="418"/>
      <c r="O426" s="419"/>
      <c r="P426" s="931"/>
      <c r="Q426" s="277"/>
      <c r="R426" s="277"/>
      <c r="S426" s="277"/>
      <c r="T426" s="277"/>
      <c r="U426" s="277"/>
      <c r="V426" s="277"/>
      <c r="W426" s="277"/>
      <c r="X426" s="277"/>
      <c r="Y426" s="277"/>
      <c r="Z426" s="277"/>
      <c r="AA426" s="277"/>
      <c r="AB426" s="277"/>
      <c r="AC426" s="277"/>
      <c r="AD426" s="277"/>
      <c r="AE426" s="277"/>
      <c r="AF426" s="277"/>
      <c r="AG426" s="106"/>
      <c r="AH426" s="106"/>
      <c r="AI426" s="106"/>
      <c r="AJ426" s="106"/>
      <c r="AK426" s="106"/>
      <c r="AL426" s="277"/>
      <c r="AM426" s="277"/>
      <c r="AN426" s="277"/>
      <c r="AO426" s="277"/>
      <c r="AP426" s="277"/>
      <c r="AQ426" s="277"/>
      <c r="AR426" s="277"/>
      <c r="AS426" s="277"/>
      <c r="AT426" s="277"/>
      <c r="AU426" s="277"/>
      <c r="AV426" s="277"/>
      <c r="AW426" s="277"/>
      <c r="AX426" s="277"/>
      <c r="AY426" s="277"/>
      <c r="AZ426" s="277"/>
      <c r="BA426" s="277"/>
      <c r="BB426" s="277"/>
      <c r="BC426" s="277"/>
      <c r="BD426" s="277"/>
      <c r="BE426" s="277"/>
      <c r="BF426" s="277"/>
      <c r="BG426" s="420"/>
      <c r="BH426" s="420"/>
      <c r="BI426" s="420"/>
      <c r="BJ426" s="420"/>
      <c r="BK426" s="420"/>
      <c r="BL426" s="420"/>
      <c r="BM426" s="420"/>
      <c r="BN426" s="420"/>
      <c r="BO426" s="420"/>
      <c r="BP426" s="420"/>
      <c r="BQ426" s="420"/>
      <c r="BR426" s="420"/>
      <c r="BS426" s="420"/>
      <c r="BT426" s="420"/>
      <c r="BU426" s="420"/>
      <c r="BV426" s="420"/>
      <c r="BW426" s="420"/>
      <c r="BX426" s="420"/>
      <c r="BY426" s="277"/>
      <c r="BZ426" s="277"/>
      <c r="CA426" s="277"/>
      <c r="CB426" s="277"/>
      <c r="CC426" s="106"/>
      <c r="CD426" s="106"/>
      <c r="CE426" s="286"/>
      <c r="CF426" s="286"/>
      <c r="CG426" s="286"/>
      <c r="CH426" s="106"/>
      <c r="CI426" s="106"/>
      <c r="CJ426" s="106"/>
      <c r="CK426" s="277"/>
      <c r="CL426" s="277"/>
      <c r="CM426" s="277"/>
      <c r="CN426" s="277"/>
      <c r="CO426" s="277"/>
      <c r="CP426" s="277"/>
      <c r="CQ426" s="277"/>
      <c r="CR426" s="277"/>
      <c r="CS426" s="277"/>
      <c r="CT426" s="25"/>
      <c r="CU426" s="516"/>
      <c r="CV426" s="516"/>
    </row>
    <row r="427" spans="1:100" ht="15" x14ac:dyDescent="0.25">
      <c r="A427" s="19"/>
      <c r="B427" s="239">
        <v>7</v>
      </c>
      <c r="C427" s="145" t="s">
        <v>523</v>
      </c>
      <c r="D427" s="146"/>
      <c r="E427" s="146"/>
      <c r="F427" s="146"/>
      <c r="G427" s="146"/>
      <c r="H427" s="147"/>
      <c r="I427" s="146"/>
      <c r="J427" s="146"/>
      <c r="K427" s="146"/>
      <c r="L427" s="146"/>
      <c r="M427" s="146"/>
      <c r="N427" s="677"/>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c r="BI427" s="146"/>
      <c r="BJ427" s="146"/>
      <c r="BK427" s="146"/>
      <c r="BL427" s="146"/>
      <c r="BM427" s="146"/>
      <c r="BN427" s="146"/>
      <c r="BO427" s="146"/>
      <c r="BP427" s="146"/>
      <c r="BQ427" s="146"/>
      <c r="BR427" s="146"/>
      <c r="BS427" s="146"/>
      <c r="BT427" s="146"/>
      <c r="BU427" s="146"/>
      <c r="BV427" s="146"/>
      <c r="BW427" s="146"/>
      <c r="BX427" s="146"/>
      <c r="BY427" s="146"/>
      <c r="BZ427" s="146"/>
      <c r="CA427" s="146"/>
      <c r="CB427" s="146"/>
      <c r="CC427" s="146"/>
      <c r="CD427" s="146"/>
      <c r="CE427" s="148"/>
      <c r="CF427" s="148"/>
      <c r="CG427" s="148"/>
      <c r="CH427" s="146"/>
      <c r="CI427" s="146"/>
      <c r="CJ427" s="146"/>
      <c r="CK427" s="146"/>
      <c r="CL427" s="146"/>
      <c r="CM427" s="146"/>
      <c r="CN427" s="146"/>
      <c r="CO427" s="146"/>
      <c r="CP427" s="146"/>
      <c r="CQ427" s="146"/>
      <c r="CR427" s="146"/>
      <c r="CS427" s="146"/>
      <c r="CT427" s="526"/>
      <c r="CU427" s="526"/>
      <c r="CV427" s="526"/>
    </row>
    <row r="428" spans="1:100" ht="15" x14ac:dyDescent="0.25">
      <c r="A428" s="19"/>
      <c r="B428" s="185"/>
      <c r="C428" s="949"/>
      <c r="D428" s="177"/>
      <c r="E428" s="949"/>
      <c r="F428" s="927"/>
      <c r="G428" s="339">
        <v>23</v>
      </c>
      <c r="H428" s="189" t="s">
        <v>524</v>
      </c>
      <c r="I428" s="189"/>
      <c r="J428" s="189"/>
      <c r="K428" s="189"/>
      <c r="L428" s="189"/>
      <c r="M428" s="189"/>
      <c r="N428" s="189"/>
      <c r="O428" s="189"/>
      <c r="P428" s="189"/>
      <c r="Q428" s="189"/>
      <c r="R428" s="922"/>
      <c r="S428" s="922"/>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c r="BM428" s="189"/>
      <c r="BN428" s="189"/>
      <c r="BO428" s="189"/>
      <c r="BP428" s="189"/>
      <c r="BQ428" s="189"/>
      <c r="BR428" s="189"/>
      <c r="BS428" s="189"/>
      <c r="BT428" s="189"/>
      <c r="BU428" s="189"/>
      <c r="BV428" s="189"/>
      <c r="BW428" s="189"/>
      <c r="BX428" s="189"/>
      <c r="BY428" s="189"/>
      <c r="BZ428" s="189"/>
      <c r="CA428" s="189"/>
      <c r="CB428" s="189"/>
      <c r="CC428" s="189"/>
      <c r="CD428" s="189"/>
      <c r="CE428" s="190"/>
      <c r="CF428" s="190"/>
      <c r="CG428" s="190"/>
      <c r="CH428" s="189"/>
      <c r="CI428" s="189"/>
      <c r="CJ428" s="189"/>
      <c r="CK428" s="189"/>
      <c r="CL428" s="189"/>
      <c r="CM428" s="189"/>
      <c r="CN428" s="189"/>
      <c r="CO428" s="189"/>
      <c r="CP428" s="189"/>
      <c r="CQ428" s="189"/>
      <c r="CR428" s="189"/>
      <c r="CS428" s="189"/>
      <c r="CT428" s="522"/>
      <c r="CU428" s="522"/>
      <c r="CV428" s="522"/>
    </row>
    <row r="429" spans="1:100" s="27" customFormat="1" ht="61.5" customHeight="1" x14ac:dyDescent="0.25">
      <c r="A429" s="18"/>
      <c r="B429" s="185"/>
      <c r="C429" s="926"/>
      <c r="D429" s="22"/>
      <c r="E429" s="83"/>
      <c r="F429" s="83"/>
      <c r="G429" s="22"/>
      <c r="H429" s="929">
        <v>98</v>
      </c>
      <c r="I429" s="928" t="s">
        <v>525</v>
      </c>
      <c r="J429" s="56">
        <v>60</v>
      </c>
      <c r="K429" s="87">
        <v>55</v>
      </c>
      <c r="L429" s="952">
        <v>20</v>
      </c>
      <c r="M429" s="1123" t="s">
        <v>452</v>
      </c>
      <c r="N429" s="1017" t="s">
        <v>526</v>
      </c>
      <c r="O429" s="1012" t="s">
        <v>527</v>
      </c>
      <c r="P429" s="929" t="s">
        <v>38</v>
      </c>
      <c r="Q429" s="25">
        <v>0</v>
      </c>
      <c r="R429" s="25"/>
      <c r="S429" s="25"/>
      <c r="T429" s="25">
        <v>0</v>
      </c>
      <c r="U429" s="25"/>
      <c r="V429" s="25"/>
      <c r="W429" s="25">
        <v>0</v>
      </c>
      <c r="X429" s="25"/>
      <c r="Y429" s="25"/>
      <c r="Z429" s="25">
        <v>0</v>
      </c>
      <c r="AA429" s="25"/>
      <c r="AB429" s="25"/>
      <c r="AC429" s="25">
        <v>0</v>
      </c>
      <c r="AD429" s="25"/>
      <c r="AE429" s="25"/>
      <c r="AF429" s="25">
        <v>0</v>
      </c>
      <c r="AG429" s="25"/>
      <c r="AH429" s="25"/>
      <c r="AI429" s="25">
        <f>20600000-20600000</f>
        <v>0</v>
      </c>
      <c r="AJ429" s="25"/>
      <c r="AK429" s="25"/>
      <c r="AL429" s="25"/>
      <c r="AM429" s="25"/>
      <c r="AN429" s="25"/>
      <c r="AO429" s="25"/>
      <c r="AP429" s="25"/>
      <c r="AQ429" s="25"/>
      <c r="AR429" s="25"/>
      <c r="AS429" s="25"/>
      <c r="AT429" s="25"/>
      <c r="AU429" s="25">
        <v>0</v>
      </c>
      <c r="AV429" s="25"/>
      <c r="AW429" s="25"/>
      <c r="AX429" s="25"/>
      <c r="AY429" s="25"/>
      <c r="AZ429" s="25"/>
      <c r="BA429" s="25">
        <v>0</v>
      </c>
      <c r="BB429" s="25"/>
      <c r="BC429" s="25"/>
      <c r="BD429" s="25">
        <v>0</v>
      </c>
      <c r="BE429" s="26"/>
      <c r="BF429" s="26"/>
      <c r="BG429" s="9"/>
      <c r="BH429" s="9"/>
      <c r="BI429" s="9"/>
      <c r="BJ429" s="9"/>
      <c r="BK429" s="9"/>
      <c r="BL429" s="9"/>
      <c r="BM429" s="9"/>
      <c r="BN429" s="9"/>
      <c r="BO429" s="9"/>
      <c r="BP429" s="9"/>
      <c r="BQ429" s="9"/>
      <c r="BR429" s="9"/>
      <c r="BS429" s="9"/>
      <c r="BT429" s="9"/>
      <c r="BU429" s="9"/>
      <c r="BV429" s="9"/>
      <c r="BW429" s="9"/>
      <c r="BX429" s="9"/>
      <c r="BY429" s="25">
        <v>0</v>
      </c>
      <c r="BZ429" s="25"/>
      <c r="CA429" s="25"/>
      <c r="CB429" s="25">
        <v>0</v>
      </c>
      <c r="CC429" s="25"/>
      <c r="CD429" s="25"/>
      <c r="CE429" s="110">
        <v>0</v>
      </c>
      <c r="CF429" s="110"/>
      <c r="CG429" s="110"/>
      <c r="CH429" s="37"/>
      <c r="CI429" s="37"/>
      <c r="CJ429" s="37"/>
      <c r="CK429" s="25">
        <v>0</v>
      </c>
      <c r="CL429" s="26"/>
      <c r="CM429" s="26"/>
      <c r="CN429" s="26">
        <v>0</v>
      </c>
      <c r="CO429" s="26"/>
      <c r="CP429" s="26"/>
      <c r="CQ429" s="26"/>
      <c r="CR429" s="26"/>
      <c r="CS429" s="26"/>
      <c r="CT429" s="25">
        <f t="shared" ref="CT429:CV433" si="225">Q429+T429+W429+Z429+AC429+AF429+AI429+AL429+AO429+AR429+AU429+AX429+BA429+BD429+BG429+BJ429+BM429+BP429+BS429+BV429+BY429+CB429+CE429+CH429+CK429+CQ429+CN429</f>
        <v>0</v>
      </c>
      <c r="CU429" s="25">
        <f t="shared" si="225"/>
        <v>0</v>
      </c>
      <c r="CV429" s="25">
        <f t="shared" si="225"/>
        <v>0</v>
      </c>
    </row>
    <row r="430" spans="1:100" s="27" customFormat="1" ht="132.75" customHeight="1" x14ac:dyDescent="0.25">
      <c r="A430" s="18"/>
      <c r="B430" s="19"/>
      <c r="C430" s="920">
        <v>16</v>
      </c>
      <c r="D430" s="918" t="s">
        <v>991</v>
      </c>
      <c r="E430" s="10">
        <v>45</v>
      </c>
      <c r="F430" s="10">
        <v>90</v>
      </c>
      <c r="G430" s="28"/>
      <c r="H430" s="929">
        <v>99</v>
      </c>
      <c r="I430" s="928" t="s">
        <v>528</v>
      </c>
      <c r="J430" s="56">
        <v>76</v>
      </c>
      <c r="K430" s="92">
        <v>150</v>
      </c>
      <c r="L430" s="92">
        <v>112</v>
      </c>
      <c r="M430" s="1127"/>
      <c r="N430" s="1018"/>
      <c r="O430" s="1020"/>
      <c r="P430" s="929" t="s">
        <v>38</v>
      </c>
      <c r="Q430" s="25">
        <v>0</v>
      </c>
      <c r="R430" s="25"/>
      <c r="S430" s="25"/>
      <c r="T430" s="25">
        <v>0</v>
      </c>
      <c r="U430" s="25"/>
      <c r="V430" s="25"/>
      <c r="W430" s="25">
        <v>0</v>
      </c>
      <c r="X430" s="25"/>
      <c r="Y430" s="25"/>
      <c r="Z430" s="25">
        <v>0</v>
      </c>
      <c r="AA430" s="25"/>
      <c r="AB430" s="25"/>
      <c r="AC430" s="25">
        <v>0</v>
      </c>
      <c r="AD430" s="25"/>
      <c r="AE430" s="25"/>
      <c r="AF430" s="25">
        <v>0</v>
      </c>
      <c r="AG430" s="25"/>
      <c r="AH430" s="25"/>
      <c r="AI430" s="25">
        <f>41200000-41200000</f>
        <v>0</v>
      </c>
      <c r="AJ430" s="25"/>
      <c r="AK430" s="25"/>
      <c r="AL430" s="25"/>
      <c r="AM430" s="25"/>
      <c r="AN430" s="25"/>
      <c r="AO430" s="25"/>
      <c r="AP430" s="25"/>
      <c r="AQ430" s="25"/>
      <c r="AR430" s="25"/>
      <c r="AS430" s="25"/>
      <c r="AT430" s="25"/>
      <c r="AU430" s="25">
        <v>0</v>
      </c>
      <c r="AV430" s="25"/>
      <c r="AW430" s="25"/>
      <c r="AX430" s="25"/>
      <c r="AY430" s="25"/>
      <c r="AZ430" s="25"/>
      <c r="BA430" s="25">
        <v>0</v>
      </c>
      <c r="BB430" s="25"/>
      <c r="BC430" s="25"/>
      <c r="BD430" s="25">
        <v>0</v>
      </c>
      <c r="BE430" s="26"/>
      <c r="BF430" s="26"/>
      <c r="BG430" s="9"/>
      <c r="BH430" s="9"/>
      <c r="BI430" s="9"/>
      <c r="BJ430" s="9"/>
      <c r="BK430" s="9"/>
      <c r="BL430" s="9"/>
      <c r="BM430" s="9"/>
      <c r="BN430" s="9"/>
      <c r="BO430" s="9"/>
      <c r="BP430" s="9"/>
      <c r="BQ430" s="9"/>
      <c r="BR430" s="9"/>
      <c r="BS430" s="9"/>
      <c r="BT430" s="9"/>
      <c r="BU430" s="9"/>
      <c r="BV430" s="9"/>
      <c r="BW430" s="9"/>
      <c r="BX430" s="9"/>
      <c r="BY430" s="25">
        <v>0</v>
      </c>
      <c r="BZ430" s="25"/>
      <c r="CA430" s="25"/>
      <c r="CB430" s="25">
        <v>0</v>
      </c>
      <c r="CC430" s="25"/>
      <c r="CD430" s="25"/>
      <c r="CE430" s="110">
        <v>0</v>
      </c>
      <c r="CF430" s="110"/>
      <c r="CG430" s="110"/>
      <c r="CH430" s="37"/>
      <c r="CI430" s="37"/>
      <c r="CJ430" s="37"/>
      <c r="CK430" s="25">
        <v>0</v>
      </c>
      <c r="CL430" s="26"/>
      <c r="CM430" s="26"/>
      <c r="CN430" s="26">
        <v>0</v>
      </c>
      <c r="CO430" s="26"/>
      <c r="CP430" s="26"/>
      <c r="CQ430" s="26"/>
      <c r="CR430" s="26"/>
      <c r="CS430" s="26"/>
      <c r="CT430" s="25">
        <f t="shared" si="225"/>
        <v>0</v>
      </c>
      <c r="CU430" s="25">
        <f t="shared" si="225"/>
        <v>0</v>
      </c>
      <c r="CV430" s="25">
        <f t="shared" si="225"/>
        <v>0</v>
      </c>
    </row>
    <row r="431" spans="1:100" s="27" customFormat="1" ht="147" customHeight="1" x14ac:dyDescent="0.25">
      <c r="A431" s="18"/>
      <c r="B431" s="19"/>
      <c r="C431" s="920">
        <v>17</v>
      </c>
      <c r="D431" s="918" t="s">
        <v>488</v>
      </c>
      <c r="E431" s="83">
        <v>0.63270000000000004</v>
      </c>
      <c r="F431" s="83">
        <v>0.5</v>
      </c>
      <c r="G431" s="28"/>
      <c r="H431" s="929">
        <v>100</v>
      </c>
      <c r="I431" s="928" t="s">
        <v>529</v>
      </c>
      <c r="J431" s="56">
        <v>0</v>
      </c>
      <c r="K431" s="92">
        <v>6</v>
      </c>
      <c r="L431" s="92">
        <v>0</v>
      </c>
      <c r="M431" s="1127"/>
      <c r="N431" s="1018"/>
      <c r="O431" s="1020"/>
      <c r="P431" s="929" t="s">
        <v>38</v>
      </c>
      <c r="Q431" s="25">
        <v>0</v>
      </c>
      <c r="R431" s="25"/>
      <c r="S431" s="25"/>
      <c r="T431" s="25">
        <v>0</v>
      </c>
      <c r="U431" s="25"/>
      <c r="V431" s="25"/>
      <c r="W431" s="25">
        <v>0</v>
      </c>
      <c r="X431" s="25"/>
      <c r="Y431" s="25"/>
      <c r="Z431" s="25">
        <v>0</v>
      </c>
      <c r="AA431" s="25"/>
      <c r="AB431" s="25"/>
      <c r="AC431" s="25">
        <v>0</v>
      </c>
      <c r="AD431" s="25"/>
      <c r="AE431" s="25"/>
      <c r="AF431" s="25">
        <v>0</v>
      </c>
      <c r="AG431" s="25"/>
      <c r="AH431" s="25"/>
      <c r="AI431" s="25">
        <v>0</v>
      </c>
      <c r="AJ431" s="25"/>
      <c r="AK431" s="25"/>
      <c r="AL431" s="25"/>
      <c r="AM431" s="25"/>
      <c r="AN431" s="25"/>
      <c r="AO431" s="25"/>
      <c r="AP431" s="25"/>
      <c r="AQ431" s="25"/>
      <c r="AR431" s="25"/>
      <c r="AS431" s="25"/>
      <c r="AT431" s="25"/>
      <c r="AU431" s="25">
        <v>0</v>
      </c>
      <c r="AV431" s="25"/>
      <c r="AW431" s="25"/>
      <c r="AX431" s="25"/>
      <c r="AY431" s="25"/>
      <c r="AZ431" s="25"/>
      <c r="BA431" s="25">
        <v>0</v>
      </c>
      <c r="BB431" s="25"/>
      <c r="BC431" s="25"/>
      <c r="BD431" s="25">
        <v>0</v>
      </c>
      <c r="BE431" s="26"/>
      <c r="BF431" s="26"/>
      <c r="BG431" s="9"/>
      <c r="BH431" s="9"/>
      <c r="BI431" s="9"/>
      <c r="BJ431" s="9"/>
      <c r="BK431" s="9"/>
      <c r="BL431" s="9"/>
      <c r="BM431" s="9"/>
      <c r="BN431" s="9"/>
      <c r="BO431" s="9"/>
      <c r="BP431" s="9"/>
      <c r="BQ431" s="9"/>
      <c r="BR431" s="9"/>
      <c r="BS431" s="9"/>
      <c r="BT431" s="9"/>
      <c r="BU431" s="9"/>
      <c r="BV431" s="9"/>
      <c r="BW431" s="9"/>
      <c r="BX431" s="9"/>
      <c r="BY431" s="25">
        <v>0</v>
      </c>
      <c r="BZ431" s="25"/>
      <c r="CA431" s="25"/>
      <c r="CB431" s="25">
        <v>0</v>
      </c>
      <c r="CC431" s="25"/>
      <c r="CD431" s="25"/>
      <c r="CE431" s="110">
        <v>0</v>
      </c>
      <c r="CF431" s="110"/>
      <c r="CG431" s="110"/>
      <c r="CH431" s="37"/>
      <c r="CI431" s="37"/>
      <c r="CJ431" s="37"/>
      <c r="CK431" s="25">
        <v>0</v>
      </c>
      <c r="CL431" s="26"/>
      <c r="CM431" s="26"/>
      <c r="CN431" s="26">
        <v>0</v>
      </c>
      <c r="CO431" s="26"/>
      <c r="CP431" s="26"/>
      <c r="CQ431" s="26"/>
      <c r="CR431" s="26"/>
      <c r="CS431" s="26"/>
      <c r="CT431" s="25">
        <f t="shared" si="225"/>
        <v>0</v>
      </c>
      <c r="CU431" s="25">
        <f t="shared" si="225"/>
        <v>0</v>
      </c>
      <c r="CV431" s="25">
        <f t="shared" si="225"/>
        <v>0</v>
      </c>
    </row>
    <row r="432" spans="1:100" s="27" customFormat="1" ht="57" x14ac:dyDescent="0.25">
      <c r="A432" s="18"/>
      <c r="B432" s="19"/>
      <c r="C432" s="920"/>
      <c r="D432" s="28"/>
      <c r="E432" s="89"/>
      <c r="F432" s="89"/>
      <c r="G432" s="28"/>
      <c r="H432" s="929">
        <v>101</v>
      </c>
      <c r="I432" s="928" t="s">
        <v>530</v>
      </c>
      <c r="J432" s="56">
        <v>0</v>
      </c>
      <c r="K432" s="92">
        <v>54</v>
      </c>
      <c r="L432" s="92">
        <v>0</v>
      </c>
      <c r="M432" s="1127"/>
      <c r="N432" s="1018"/>
      <c r="O432" s="1020"/>
      <c r="P432" s="929" t="s">
        <v>38</v>
      </c>
      <c r="Q432" s="25">
        <v>0</v>
      </c>
      <c r="R432" s="25"/>
      <c r="S432" s="25"/>
      <c r="T432" s="25">
        <v>0</v>
      </c>
      <c r="U432" s="25"/>
      <c r="V432" s="25"/>
      <c r="W432" s="25">
        <v>0</v>
      </c>
      <c r="X432" s="25"/>
      <c r="Y432" s="25"/>
      <c r="Z432" s="25">
        <v>0</v>
      </c>
      <c r="AA432" s="25"/>
      <c r="AB432" s="25"/>
      <c r="AC432" s="25">
        <v>0</v>
      </c>
      <c r="AD432" s="25"/>
      <c r="AE432" s="25"/>
      <c r="AF432" s="25">
        <v>0</v>
      </c>
      <c r="AG432" s="25"/>
      <c r="AH432" s="25"/>
      <c r="AI432" s="25">
        <f>36050000-10000000-26050000</f>
        <v>0</v>
      </c>
      <c r="AJ432" s="25"/>
      <c r="AK432" s="25"/>
      <c r="AL432" s="25"/>
      <c r="AM432" s="25"/>
      <c r="AN432" s="25"/>
      <c r="AO432" s="25"/>
      <c r="AP432" s="25"/>
      <c r="AQ432" s="25"/>
      <c r="AR432" s="25"/>
      <c r="AS432" s="25"/>
      <c r="AT432" s="25"/>
      <c r="AU432" s="25">
        <v>0</v>
      </c>
      <c r="AV432" s="25"/>
      <c r="AW432" s="25"/>
      <c r="AX432" s="25"/>
      <c r="AY432" s="25"/>
      <c r="AZ432" s="25"/>
      <c r="BA432" s="25">
        <v>0</v>
      </c>
      <c r="BB432" s="25"/>
      <c r="BC432" s="25"/>
      <c r="BD432" s="25">
        <v>0</v>
      </c>
      <c r="BE432" s="26"/>
      <c r="BF432" s="26"/>
      <c r="BG432" s="9"/>
      <c r="BH432" s="9"/>
      <c r="BI432" s="9"/>
      <c r="BJ432" s="9"/>
      <c r="BK432" s="9"/>
      <c r="BL432" s="9"/>
      <c r="BM432" s="9"/>
      <c r="BN432" s="9"/>
      <c r="BO432" s="9"/>
      <c r="BP432" s="9"/>
      <c r="BQ432" s="9"/>
      <c r="BR432" s="9"/>
      <c r="BS432" s="9"/>
      <c r="BT432" s="9"/>
      <c r="BU432" s="9"/>
      <c r="BV432" s="9"/>
      <c r="BW432" s="9"/>
      <c r="BX432" s="9"/>
      <c r="BY432" s="25">
        <v>0</v>
      </c>
      <c r="BZ432" s="25"/>
      <c r="CA432" s="25"/>
      <c r="CB432" s="25">
        <v>0</v>
      </c>
      <c r="CC432" s="25"/>
      <c r="CD432" s="25"/>
      <c r="CE432" s="110">
        <v>0</v>
      </c>
      <c r="CF432" s="110"/>
      <c r="CG432" s="110"/>
      <c r="CH432" s="37"/>
      <c r="CI432" s="37"/>
      <c r="CJ432" s="37"/>
      <c r="CK432" s="25">
        <v>0</v>
      </c>
      <c r="CL432" s="26"/>
      <c r="CM432" s="26"/>
      <c r="CN432" s="26">
        <v>0</v>
      </c>
      <c r="CO432" s="26"/>
      <c r="CP432" s="26"/>
      <c r="CQ432" s="26"/>
      <c r="CR432" s="26"/>
      <c r="CS432" s="26"/>
      <c r="CT432" s="25">
        <f t="shared" si="225"/>
        <v>0</v>
      </c>
      <c r="CU432" s="25">
        <f t="shared" si="225"/>
        <v>0</v>
      </c>
      <c r="CV432" s="25">
        <f t="shared" si="225"/>
        <v>0</v>
      </c>
    </row>
    <row r="433" spans="1:100" s="27" customFormat="1" ht="57" x14ac:dyDescent="0.25">
      <c r="A433" s="18"/>
      <c r="B433" s="19"/>
      <c r="C433" s="920"/>
      <c r="D433" s="29"/>
      <c r="E433" s="421"/>
      <c r="F433" s="421"/>
      <c r="G433" s="29"/>
      <c r="H433" s="929">
        <v>102</v>
      </c>
      <c r="I433" s="928" t="s">
        <v>531</v>
      </c>
      <c r="J433" s="56">
        <v>0</v>
      </c>
      <c r="K433" s="92">
        <v>3</v>
      </c>
      <c r="L433" s="92">
        <v>7</v>
      </c>
      <c r="M433" s="1124"/>
      <c r="N433" s="1019"/>
      <c r="O433" s="1013"/>
      <c r="P433" s="929" t="s">
        <v>34</v>
      </c>
      <c r="Q433" s="25">
        <v>0</v>
      </c>
      <c r="R433" s="25"/>
      <c r="S433" s="25"/>
      <c r="T433" s="25">
        <v>0</v>
      </c>
      <c r="U433" s="25"/>
      <c r="V433" s="25"/>
      <c r="W433" s="25">
        <v>0</v>
      </c>
      <c r="X433" s="25"/>
      <c r="Y433" s="25"/>
      <c r="Z433" s="25">
        <v>0</v>
      </c>
      <c r="AA433" s="25"/>
      <c r="AB433" s="25"/>
      <c r="AC433" s="25">
        <v>0</v>
      </c>
      <c r="AD433" s="25"/>
      <c r="AE433" s="25"/>
      <c r="AF433" s="25">
        <v>0</v>
      </c>
      <c r="AG433" s="25"/>
      <c r="AH433" s="25"/>
      <c r="AI433" s="25">
        <v>15150000</v>
      </c>
      <c r="AJ433" s="25">
        <v>15150000</v>
      </c>
      <c r="AK433" s="25">
        <v>15150000</v>
      </c>
      <c r="AL433" s="25"/>
      <c r="AM433" s="25"/>
      <c r="AN433" s="25"/>
      <c r="AO433" s="25"/>
      <c r="AP433" s="25"/>
      <c r="AQ433" s="25"/>
      <c r="AR433" s="25"/>
      <c r="AS433" s="25"/>
      <c r="AT433" s="25"/>
      <c r="AU433" s="25">
        <v>0</v>
      </c>
      <c r="AV433" s="25"/>
      <c r="AW433" s="25"/>
      <c r="AX433" s="25"/>
      <c r="AY433" s="25"/>
      <c r="AZ433" s="25"/>
      <c r="BA433" s="25">
        <v>0</v>
      </c>
      <c r="BB433" s="25"/>
      <c r="BC433" s="25"/>
      <c r="BD433" s="25">
        <v>0</v>
      </c>
      <c r="BE433" s="26"/>
      <c r="BF433" s="26"/>
      <c r="BG433" s="9"/>
      <c r="BH433" s="9"/>
      <c r="BI433" s="9"/>
      <c r="BJ433" s="9"/>
      <c r="BK433" s="9"/>
      <c r="BL433" s="9"/>
      <c r="BM433" s="9"/>
      <c r="BN433" s="9"/>
      <c r="BO433" s="9"/>
      <c r="BP433" s="9"/>
      <c r="BQ433" s="9"/>
      <c r="BR433" s="9"/>
      <c r="BS433" s="9"/>
      <c r="BT433" s="9"/>
      <c r="BU433" s="9"/>
      <c r="BV433" s="9"/>
      <c r="BW433" s="9"/>
      <c r="BX433" s="9"/>
      <c r="BY433" s="25">
        <v>0</v>
      </c>
      <c r="BZ433" s="25"/>
      <c r="CA433" s="25"/>
      <c r="CB433" s="25">
        <v>0</v>
      </c>
      <c r="CC433" s="25"/>
      <c r="CD433" s="25"/>
      <c r="CE433" s="110">
        <v>0</v>
      </c>
      <c r="CF433" s="110"/>
      <c r="CG433" s="110"/>
      <c r="CH433" s="37"/>
      <c r="CI433" s="37"/>
      <c r="CJ433" s="37"/>
      <c r="CK433" s="25">
        <v>0</v>
      </c>
      <c r="CL433" s="26"/>
      <c r="CM433" s="26"/>
      <c r="CN433" s="26">
        <v>0</v>
      </c>
      <c r="CO433" s="26"/>
      <c r="CP433" s="26"/>
      <c r="CQ433" s="26"/>
      <c r="CR433" s="26"/>
      <c r="CS433" s="26"/>
      <c r="CT433" s="25">
        <f t="shared" si="225"/>
        <v>15150000</v>
      </c>
      <c r="CU433" s="25">
        <f t="shared" si="225"/>
        <v>15150000</v>
      </c>
      <c r="CV433" s="25">
        <f t="shared" si="225"/>
        <v>15150000</v>
      </c>
    </row>
    <row r="434" spans="1:100" ht="15" x14ac:dyDescent="0.25">
      <c r="A434" s="18"/>
      <c r="B434" s="19"/>
      <c r="C434" s="320"/>
      <c r="D434" s="153"/>
      <c r="E434" s="413"/>
      <c r="F434" s="413"/>
      <c r="G434" s="154"/>
      <c r="H434" s="155"/>
      <c r="I434" s="154"/>
      <c r="J434" s="396"/>
      <c r="K434" s="411"/>
      <c r="L434" s="411"/>
      <c r="M434" s="411"/>
      <c r="N434" s="157"/>
      <c r="O434" s="154"/>
      <c r="P434" s="155"/>
      <c r="Q434" s="158">
        <f t="shared" ref="Q434:CB434" si="226">SUM(Q429:Q433)</f>
        <v>0</v>
      </c>
      <c r="R434" s="158">
        <f t="shared" si="226"/>
        <v>0</v>
      </c>
      <c r="S434" s="158">
        <f t="shared" si="226"/>
        <v>0</v>
      </c>
      <c r="T434" s="158">
        <f t="shared" si="226"/>
        <v>0</v>
      </c>
      <c r="U434" s="158">
        <f t="shared" si="226"/>
        <v>0</v>
      </c>
      <c r="V434" s="158">
        <f t="shared" si="226"/>
        <v>0</v>
      </c>
      <c r="W434" s="158">
        <f t="shared" si="226"/>
        <v>0</v>
      </c>
      <c r="X434" s="158">
        <f t="shared" si="226"/>
        <v>0</v>
      </c>
      <c r="Y434" s="158">
        <f t="shared" si="226"/>
        <v>0</v>
      </c>
      <c r="Z434" s="158">
        <f t="shared" si="226"/>
        <v>0</v>
      </c>
      <c r="AA434" s="158">
        <f t="shared" si="226"/>
        <v>0</v>
      </c>
      <c r="AB434" s="158">
        <f t="shared" si="226"/>
        <v>0</v>
      </c>
      <c r="AC434" s="158">
        <f t="shared" si="226"/>
        <v>0</v>
      </c>
      <c r="AD434" s="158">
        <f t="shared" si="226"/>
        <v>0</v>
      </c>
      <c r="AE434" s="158">
        <f t="shared" si="226"/>
        <v>0</v>
      </c>
      <c r="AF434" s="158">
        <f t="shared" si="226"/>
        <v>0</v>
      </c>
      <c r="AG434" s="158">
        <f t="shared" si="226"/>
        <v>0</v>
      </c>
      <c r="AH434" s="158">
        <f t="shared" si="226"/>
        <v>0</v>
      </c>
      <c r="AI434" s="158">
        <f t="shared" si="226"/>
        <v>15150000</v>
      </c>
      <c r="AJ434" s="158">
        <f t="shared" si="226"/>
        <v>15150000</v>
      </c>
      <c r="AK434" s="158">
        <f t="shared" si="226"/>
        <v>15150000</v>
      </c>
      <c r="AL434" s="158">
        <f t="shared" si="226"/>
        <v>0</v>
      </c>
      <c r="AM434" s="158">
        <f t="shared" si="226"/>
        <v>0</v>
      </c>
      <c r="AN434" s="158">
        <f t="shared" si="226"/>
        <v>0</v>
      </c>
      <c r="AO434" s="158">
        <f t="shared" si="226"/>
        <v>0</v>
      </c>
      <c r="AP434" s="158">
        <f t="shared" si="226"/>
        <v>0</v>
      </c>
      <c r="AQ434" s="158">
        <f t="shared" si="226"/>
        <v>0</v>
      </c>
      <c r="AR434" s="158">
        <f t="shared" si="226"/>
        <v>0</v>
      </c>
      <c r="AS434" s="158">
        <f t="shared" si="226"/>
        <v>0</v>
      </c>
      <c r="AT434" s="158">
        <f t="shared" si="226"/>
        <v>0</v>
      </c>
      <c r="AU434" s="158">
        <f t="shared" si="226"/>
        <v>0</v>
      </c>
      <c r="AV434" s="158">
        <f t="shared" si="226"/>
        <v>0</v>
      </c>
      <c r="AW434" s="158">
        <f t="shared" si="226"/>
        <v>0</v>
      </c>
      <c r="AX434" s="158">
        <f t="shared" si="226"/>
        <v>0</v>
      </c>
      <c r="AY434" s="158">
        <f t="shared" si="226"/>
        <v>0</v>
      </c>
      <c r="AZ434" s="158">
        <f t="shared" si="226"/>
        <v>0</v>
      </c>
      <c r="BA434" s="158">
        <f t="shared" si="226"/>
        <v>0</v>
      </c>
      <c r="BB434" s="158">
        <f t="shared" si="226"/>
        <v>0</v>
      </c>
      <c r="BC434" s="158">
        <f t="shared" si="226"/>
        <v>0</v>
      </c>
      <c r="BD434" s="158">
        <f t="shared" si="226"/>
        <v>0</v>
      </c>
      <c r="BE434" s="158">
        <f t="shared" si="226"/>
        <v>0</v>
      </c>
      <c r="BF434" s="158">
        <f t="shared" si="226"/>
        <v>0</v>
      </c>
      <c r="BG434" s="158">
        <f t="shared" si="226"/>
        <v>0</v>
      </c>
      <c r="BH434" s="158">
        <f t="shared" si="226"/>
        <v>0</v>
      </c>
      <c r="BI434" s="158">
        <f t="shared" si="226"/>
        <v>0</v>
      </c>
      <c r="BJ434" s="158">
        <f t="shared" si="226"/>
        <v>0</v>
      </c>
      <c r="BK434" s="158">
        <f t="shared" si="226"/>
        <v>0</v>
      </c>
      <c r="BL434" s="158">
        <f t="shared" si="226"/>
        <v>0</v>
      </c>
      <c r="BM434" s="158">
        <f t="shared" si="226"/>
        <v>0</v>
      </c>
      <c r="BN434" s="158">
        <f t="shared" si="226"/>
        <v>0</v>
      </c>
      <c r="BO434" s="158">
        <f t="shared" si="226"/>
        <v>0</v>
      </c>
      <c r="BP434" s="158">
        <f t="shared" si="226"/>
        <v>0</v>
      </c>
      <c r="BQ434" s="158">
        <f t="shared" si="226"/>
        <v>0</v>
      </c>
      <c r="BR434" s="158">
        <f t="shared" si="226"/>
        <v>0</v>
      </c>
      <c r="BS434" s="158">
        <f t="shared" si="226"/>
        <v>0</v>
      </c>
      <c r="BT434" s="158">
        <f t="shared" si="226"/>
        <v>0</v>
      </c>
      <c r="BU434" s="158">
        <f t="shared" si="226"/>
        <v>0</v>
      </c>
      <c r="BV434" s="158">
        <f t="shared" si="226"/>
        <v>0</v>
      </c>
      <c r="BW434" s="158">
        <f t="shared" si="226"/>
        <v>0</v>
      </c>
      <c r="BX434" s="158">
        <f t="shared" si="226"/>
        <v>0</v>
      </c>
      <c r="BY434" s="158">
        <f t="shared" si="226"/>
        <v>0</v>
      </c>
      <c r="BZ434" s="158">
        <f t="shared" si="226"/>
        <v>0</v>
      </c>
      <c r="CA434" s="158">
        <f t="shared" si="226"/>
        <v>0</v>
      </c>
      <c r="CB434" s="158">
        <f t="shared" si="226"/>
        <v>0</v>
      </c>
      <c r="CC434" s="158">
        <f t="shared" ref="CC434:CS434" si="227">SUM(CC429:CC433)</f>
        <v>0</v>
      </c>
      <c r="CD434" s="158">
        <f t="shared" si="227"/>
        <v>0</v>
      </c>
      <c r="CE434" s="158">
        <f t="shared" si="227"/>
        <v>0</v>
      </c>
      <c r="CF434" s="158">
        <f t="shared" si="227"/>
        <v>0</v>
      </c>
      <c r="CG434" s="158">
        <f t="shared" si="227"/>
        <v>0</v>
      </c>
      <c r="CH434" s="158">
        <f t="shared" si="227"/>
        <v>0</v>
      </c>
      <c r="CI434" s="158">
        <f t="shared" si="227"/>
        <v>0</v>
      </c>
      <c r="CJ434" s="158">
        <f t="shared" si="227"/>
        <v>0</v>
      </c>
      <c r="CK434" s="158">
        <f t="shared" si="227"/>
        <v>0</v>
      </c>
      <c r="CL434" s="158">
        <f t="shared" si="227"/>
        <v>0</v>
      </c>
      <c r="CM434" s="158">
        <f t="shared" si="227"/>
        <v>0</v>
      </c>
      <c r="CN434" s="158">
        <f t="shared" si="227"/>
        <v>0</v>
      </c>
      <c r="CO434" s="158">
        <f t="shared" si="227"/>
        <v>0</v>
      </c>
      <c r="CP434" s="158">
        <f t="shared" si="227"/>
        <v>0</v>
      </c>
      <c r="CQ434" s="158">
        <f t="shared" si="227"/>
        <v>0</v>
      </c>
      <c r="CR434" s="158">
        <f t="shared" si="227"/>
        <v>0</v>
      </c>
      <c r="CS434" s="158">
        <f t="shared" si="227"/>
        <v>0</v>
      </c>
      <c r="CT434" s="158">
        <f>SUM(CT429:CT433)</f>
        <v>15150000</v>
      </c>
      <c r="CU434" s="158">
        <f>SUM(CU429:CU433)</f>
        <v>15150000</v>
      </c>
      <c r="CV434" s="158">
        <f>SUM(CV429:CV433)</f>
        <v>15150000</v>
      </c>
    </row>
    <row r="435" spans="1:100" ht="15" x14ac:dyDescent="0.25">
      <c r="A435" s="18"/>
      <c r="B435" s="19"/>
      <c r="C435" s="949"/>
      <c r="D435" s="177"/>
      <c r="E435" s="398"/>
      <c r="F435" s="398"/>
      <c r="G435" s="177"/>
      <c r="H435" s="949"/>
      <c r="I435" s="177"/>
      <c r="J435" s="314"/>
      <c r="K435" s="314"/>
      <c r="L435" s="329"/>
      <c r="M435" s="329"/>
      <c r="N435" s="230"/>
      <c r="O435" s="221"/>
      <c r="P435" s="949"/>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c r="AU435" s="180"/>
      <c r="AV435" s="180"/>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c r="BZ435" s="180"/>
      <c r="CA435" s="180"/>
      <c r="CB435" s="180"/>
      <c r="CC435" s="180"/>
      <c r="CD435" s="180"/>
      <c r="CE435" s="182"/>
      <c r="CF435" s="182"/>
      <c r="CG435" s="182"/>
      <c r="CH435" s="180"/>
      <c r="CI435" s="180"/>
      <c r="CJ435" s="180"/>
      <c r="CK435" s="180"/>
      <c r="CL435" s="180"/>
      <c r="CM435" s="180"/>
      <c r="CN435" s="180"/>
      <c r="CO435" s="180"/>
      <c r="CP435" s="180"/>
      <c r="CQ435" s="180"/>
      <c r="CR435" s="180"/>
      <c r="CS435" s="180"/>
      <c r="CT435" s="25"/>
      <c r="CU435" s="516"/>
      <c r="CV435" s="516"/>
    </row>
    <row r="436" spans="1:100" ht="15" x14ac:dyDescent="0.25">
      <c r="A436" s="18"/>
      <c r="B436" s="19"/>
      <c r="C436" s="926"/>
      <c r="D436" s="953"/>
      <c r="E436" s="932"/>
      <c r="F436" s="932"/>
      <c r="G436" s="188">
        <v>24</v>
      </c>
      <c r="H436" s="189" t="s">
        <v>532</v>
      </c>
      <c r="I436" s="189"/>
      <c r="J436" s="189"/>
      <c r="K436" s="189"/>
      <c r="L436" s="189"/>
      <c r="M436" s="189"/>
      <c r="N436" s="189"/>
      <c r="O436" s="189"/>
      <c r="P436" s="189"/>
      <c r="Q436" s="189"/>
      <c r="R436" s="922"/>
      <c r="S436" s="922"/>
      <c r="T436" s="189"/>
      <c r="U436" s="189"/>
      <c r="V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c r="BM436" s="189"/>
      <c r="BN436" s="189"/>
      <c r="BO436" s="189"/>
      <c r="BP436" s="189"/>
      <c r="BQ436" s="189"/>
      <c r="BR436" s="189"/>
      <c r="BS436" s="189"/>
      <c r="BT436" s="189"/>
      <c r="BU436" s="189"/>
      <c r="BV436" s="189"/>
      <c r="BW436" s="189"/>
      <c r="BX436" s="189"/>
      <c r="BY436" s="189"/>
      <c r="BZ436" s="189"/>
      <c r="CA436" s="189"/>
      <c r="CB436" s="189"/>
      <c r="CC436" s="189"/>
      <c r="CD436" s="189"/>
      <c r="CE436" s="190"/>
      <c r="CF436" s="190"/>
      <c r="CG436" s="190"/>
      <c r="CH436" s="189"/>
      <c r="CI436" s="189"/>
      <c r="CJ436" s="189"/>
      <c r="CK436" s="189"/>
      <c r="CL436" s="189"/>
      <c r="CM436" s="189"/>
      <c r="CN436" s="189"/>
      <c r="CO436" s="189"/>
      <c r="CP436" s="189"/>
      <c r="CQ436" s="189"/>
      <c r="CR436" s="189"/>
      <c r="CS436" s="189"/>
      <c r="CT436" s="522"/>
      <c r="CU436" s="522"/>
      <c r="CV436" s="522"/>
    </row>
    <row r="437" spans="1:100" s="422" customFormat="1" ht="88.5" customHeight="1" x14ac:dyDescent="0.25">
      <c r="A437" s="18"/>
      <c r="B437" s="18"/>
      <c r="C437" s="914"/>
      <c r="D437" s="917"/>
      <c r="E437" s="932"/>
      <c r="F437" s="935"/>
      <c r="G437" s="914"/>
      <c r="H437" s="929">
        <v>103</v>
      </c>
      <c r="I437" s="928" t="s">
        <v>533</v>
      </c>
      <c r="J437" s="56">
        <v>3</v>
      </c>
      <c r="K437" s="92">
        <v>4</v>
      </c>
      <c r="L437" s="92">
        <v>6</v>
      </c>
      <c r="M437" s="1125" t="s">
        <v>452</v>
      </c>
      <c r="N437" s="1087" t="s">
        <v>534</v>
      </c>
      <c r="O437" s="1021" t="s">
        <v>535</v>
      </c>
      <c r="P437" s="929" t="s">
        <v>34</v>
      </c>
      <c r="Q437" s="25">
        <v>0</v>
      </c>
      <c r="R437" s="25"/>
      <c r="S437" s="25"/>
      <c r="T437" s="25">
        <v>0</v>
      </c>
      <c r="U437" s="25"/>
      <c r="V437" s="25"/>
      <c r="W437" s="25">
        <v>0</v>
      </c>
      <c r="X437" s="25"/>
      <c r="Y437" s="25"/>
      <c r="Z437" s="25">
        <v>0</v>
      </c>
      <c r="AA437" s="25"/>
      <c r="AB437" s="25"/>
      <c r="AC437" s="25">
        <v>0</v>
      </c>
      <c r="AD437" s="25"/>
      <c r="AE437" s="25"/>
      <c r="AF437" s="25">
        <v>0</v>
      </c>
      <c r="AG437" s="25"/>
      <c r="AH437" s="25"/>
      <c r="AI437" s="25">
        <v>21400000</v>
      </c>
      <c r="AJ437" s="25">
        <v>20000000</v>
      </c>
      <c r="AK437" s="25">
        <v>20000000</v>
      </c>
      <c r="AL437" s="25"/>
      <c r="AM437" s="25"/>
      <c r="AN437" s="25"/>
      <c r="AO437" s="25"/>
      <c r="AP437" s="25"/>
      <c r="AQ437" s="25"/>
      <c r="AR437" s="25"/>
      <c r="AS437" s="25"/>
      <c r="AT437" s="25"/>
      <c r="AU437" s="25">
        <v>0</v>
      </c>
      <c r="AV437" s="25"/>
      <c r="AW437" s="25"/>
      <c r="AX437" s="25"/>
      <c r="AY437" s="25"/>
      <c r="AZ437" s="25"/>
      <c r="BA437" s="25">
        <v>0</v>
      </c>
      <c r="BB437" s="25"/>
      <c r="BC437" s="25"/>
      <c r="BD437" s="25">
        <v>0</v>
      </c>
      <c r="BE437" s="25"/>
      <c r="BF437" s="25"/>
      <c r="BG437" s="13"/>
      <c r="BH437" s="13"/>
      <c r="BI437" s="13"/>
      <c r="BJ437" s="13"/>
      <c r="BK437" s="13"/>
      <c r="BL437" s="13"/>
      <c r="BM437" s="13"/>
      <c r="BN437" s="13"/>
      <c r="BO437" s="13"/>
      <c r="BP437" s="13"/>
      <c r="BQ437" s="13"/>
      <c r="BR437" s="13"/>
      <c r="BS437" s="13"/>
      <c r="BT437" s="13"/>
      <c r="BU437" s="13"/>
      <c r="BV437" s="13"/>
      <c r="BW437" s="13"/>
      <c r="BX437" s="13"/>
      <c r="BY437" s="25">
        <v>0</v>
      </c>
      <c r="BZ437" s="25"/>
      <c r="CA437" s="25"/>
      <c r="CB437" s="25">
        <v>0</v>
      </c>
      <c r="CC437" s="25"/>
      <c r="CD437" s="25"/>
      <c r="CE437" s="116"/>
      <c r="CF437" s="971"/>
      <c r="CG437" s="971"/>
      <c r="CH437" s="972"/>
      <c r="CI437" s="972"/>
      <c r="CJ437" s="972"/>
      <c r="CK437" s="25">
        <v>0</v>
      </c>
      <c r="CL437" s="26"/>
      <c r="CM437" s="26"/>
      <c r="CN437" s="26">
        <v>0</v>
      </c>
      <c r="CO437" s="26"/>
      <c r="CP437" s="26"/>
      <c r="CQ437" s="26"/>
      <c r="CR437" s="26"/>
      <c r="CS437" s="26"/>
      <c r="CT437" s="25">
        <f>Q437+T437+W437+Z437+AC437+AF437+AI437+AL437+AO437+AR437+AU437+AX437+BA437+BD437+BG437+BJ437+BM437+BP437+BS437+BV437+BY437+CB437+CE437+CH437+CK437+CQ437+CN437</f>
        <v>21400000</v>
      </c>
      <c r="CU437" s="25">
        <f t="shared" ref="CU437:CV441" si="228">R437+U437+X437+AA437+AD437+AG437+AJ437+AM437+AP437+AS437+AV437+AY437+BB437+BE437+BH437+BK437+BN437+BQ437+BT437+BW437+BZ437+CC437+CF437+CI437+CL437+CR437+CO437</f>
        <v>20000000</v>
      </c>
      <c r="CV437" s="25">
        <f t="shared" si="228"/>
        <v>20000000</v>
      </c>
    </row>
    <row r="438" spans="1:100" s="422" customFormat="1" ht="60" customHeight="1" x14ac:dyDescent="0.25">
      <c r="A438" s="18"/>
      <c r="B438" s="18"/>
      <c r="C438" s="915">
        <v>17</v>
      </c>
      <c r="D438" s="918" t="s">
        <v>536</v>
      </c>
      <c r="E438" s="933">
        <v>0.63270000000000004</v>
      </c>
      <c r="F438" s="936">
        <v>0.5</v>
      </c>
      <c r="G438" s="915"/>
      <c r="H438" s="929">
        <v>104</v>
      </c>
      <c r="I438" s="928" t="s">
        <v>537</v>
      </c>
      <c r="J438" s="56">
        <v>4</v>
      </c>
      <c r="K438" s="92">
        <v>27</v>
      </c>
      <c r="L438" s="92">
        <v>48</v>
      </c>
      <c r="M438" s="1126"/>
      <c r="N438" s="1088"/>
      <c r="O438" s="1023"/>
      <c r="P438" s="929" t="s">
        <v>34</v>
      </c>
      <c r="Q438" s="25">
        <v>0</v>
      </c>
      <c r="R438" s="25"/>
      <c r="S438" s="25"/>
      <c r="T438" s="25">
        <v>0</v>
      </c>
      <c r="U438" s="25"/>
      <c r="V438" s="25"/>
      <c r="W438" s="25">
        <v>0</v>
      </c>
      <c r="X438" s="25"/>
      <c r="Y438" s="25"/>
      <c r="Z438" s="25">
        <v>0</v>
      </c>
      <c r="AA438" s="25"/>
      <c r="AB438" s="25"/>
      <c r="AC438" s="25">
        <v>0</v>
      </c>
      <c r="AD438" s="25"/>
      <c r="AE438" s="25"/>
      <c r="AF438" s="25">
        <v>0</v>
      </c>
      <c r="AG438" s="25"/>
      <c r="AH438" s="25"/>
      <c r="AI438" s="25">
        <v>32100000</v>
      </c>
      <c r="AJ438" s="25">
        <v>5000000</v>
      </c>
      <c r="AK438" s="25">
        <v>5000000</v>
      </c>
      <c r="AL438" s="25"/>
      <c r="AM438" s="25"/>
      <c r="AN438" s="25"/>
      <c r="AO438" s="25"/>
      <c r="AP438" s="25"/>
      <c r="AQ438" s="25"/>
      <c r="AR438" s="25"/>
      <c r="AS438" s="25"/>
      <c r="AT438" s="25"/>
      <c r="AU438" s="25">
        <v>0</v>
      </c>
      <c r="AV438" s="25"/>
      <c r="AW438" s="25"/>
      <c r="AX438" s="25"/>
      <c r="AY438" s="25"/>
      <c r="AZ438" s="25"/>
      <c r="BA438" s="25">
        <v>0</v>
      </c>
      <c r="BB438" s="25"/>
      <c r="BC438" s="25"/>
      <c r="BD438" s="25">
        <v>0</v>
      </c>
      <c r="BE438" s="25"/>
      <c r="BF438" s="25"/>
      <c r="BG438" s="13"/>
      <c r="BH438" s="13"/>
      <c r="BI438" s="13"/>
      <c r="BJ438" s="13"/>
      <c r="BK438" s="13"/>
      <c r="BL438" s="13"/>
      <c r="BM438" s="13"/>
      <c r="BN438" s="13"/>
      <c r="BO438" s="13"/>
      <c r="BP438" s="13"/>
      <c r="BQ438" s="13"/>
      <c r="BR438" s="13"/>
      <c r="BS438" s="13"/>
      <c r="BT438" s="13"/>
      <c r="BU438" s="13"/>
      <c r="BV438" s="13"/>
      <c r="BW438" s="13"/>
      <c r="BX438" s="13"/>
      <c r="BY438" s="25">
        <v>0</v>
      </c>
      <c r="BZ438" s="25"/>
      <c r="CA438" s="25"/>
      <c r="CB438" s="25">
        <v>0</v>
      </c>
      <c r="CC438" s="25"/>
      <c r="CD438" s="25"/>
      <c r="CE438" s="113"/>
      <c r="CF438" s="113"/>
      <c r="CG438" s="113"/>
      <c r="CH438" s="40"/>
      <c r="CI438" s="40"/>
      <c r="CJ438" s="40"/>
      <c r="CK438" s="25">
        <v>0</v>
      </c>
      <c r="CL438" s="26"/>
      <c r="CM438" s="26"/>
      <c r="CN438" s="26">
        <v>0</v>
      </c>
      <c r="CO438" s="26"/>
      <c r="CP438" s="26"/>
      <c r="CQ438" s="26"/>
      <c r="CR438" s="26"/>
      <c r="CS438" s="26"/>
      <c r="CT438" s="25">
        <f>Q438+T438+W438+Z438+AC438+AF438+AI438+AL438+AO438+AR438+AU438+AX438+BA438+BD438+BG438+BJ438+BM438+BP438+BS438+BV438+BY438+CB438+CE438+CH438+CK438+CQ438+CN438</f>
        <v>32100000</v>
      </c>
      <c r="CU438" s="25">
        <f t="shared" si="228"/>
        <v>5000000</v>
      </c>
      <c r="CV438" s="25">
        <f t="shared" si="228"/>
        <v>5000000</v>
      </c>
    </row>
    <row r="439" spans="1:100" s="422" customFormat="1" ht="81" customHeight="1" x14ac:dyDescent="0.25">
      <c r="A439" s="18"/>
      <c r="B439" s="18"/>
      <c r="C439" s="915">
        <v>18</v>
      </c>
      <c r="D439" s="918" t="s">
        <v>538</v>
      </c>
      <c r="E439" s="924">
        <v>6</v>
      </c>
      <c r="F439" s="423">
        <v>12</v>
      </c>
      <c r="G439" s="915"/>
      <c r="H439" s="929">
        <v>105</v>
      </c>
      <c r="I439" s="928" t="s">
        <v>539</v>
      </c>
      <c r="J439" s="56">
        <v>43</v>
      </c>
      <c r="K439" s="92">
        <v>47</v>
      </c>
      <c r="L439" s="92">
        <v>48</v>
      </c>
      <c r="M439" s="1126"/>
      <c r="N439" s="1088"/>
      <c r="O439" s="1023"/>
      <c r="P439" s="929" t="s">
        <v>38</v>
      </c>
      <c r="Q439" s="25">
        <v>0</v>
      </c>
      <c r="R439" s="25"/>
      <c r="S439" s="25"/>
      <c r="T439" s="25">
        <v>0</v>
      </c>
      <c r="U439" s="25"/>
      <c r="V439" s="25"/>
      <c r="W439" s="25">
        <v>0</v>
      </c>
      <c r="X439" s="25"/>
      <c r="Y439" s="25"/>
      <c r="Z439" s="25">
        <v>0</v>
      </c>
      <c r="AA439" s="25"/>
      <c r="AB439" s="25"/>
      <c r="AC439" s="25">
        <v>0</v>
      </c>
      <c r="AD439" s="25"/>
      <c r="AE439" s="25"/>
      <c r="AF439" s="25">
        <v>0</v>
      </c>
      <c r="AG439" s="25"/>
      <c r="AH439" s="25"/>
      <c r="AI439" s="25">
        <v>96618585</v>
      </c>
      <c r="AJ439" s="25"/>
      <c r="AK439" s="25"/>
      <c r="AL439" s="25"/>
      <c r="AM439" s="25"/>
      <c r="AN439" s="25"/>
      <c r="AO439" s="25"/>
      <c r="AP439" s="25"/>
      <c r="AQ439" s="25"/>
      <c r="AR439" s="25"/>
      <c r="AS439" s="25"/>
      <c r="AT439" s="25"/>
      <c r="AU439" s="25">
        <v>0</v>
      </c>
      <c r="AV439" s="25"/>
      <c r="AW439" s="25"/>
      <c r="AX439" s="25"/>
      <c r="AY439" s="25"/>
      <c r="AZ439" s="25"/>
      <c r="BA439" s="25">
        <v>0</v>
      </c>
      <c r="BB439" s="25"/>
      <c r="BC439" s="25"/>
      <c r="BD439" s="25">
        <v>0</v>
      </c>
      <c r="BE439" s="25"/>
      <c r="BF439" s="25"/>
      <c r="BG439" s="13"/>
      <c r="BH439" s="13"/>
      <c r="BI439" s="13"/>
      <c r="BJ439" s="13"/>
      <c r="BK439" s="13"/>
      <c r="BL439" s="13"/>
      <c r="BM439" s="13"/>
      <c r="BN439" s="13"/>
      <c r="BO439" s="13"/>
      <c r="BP439" s="13"/>
      <c r="BQ439" s="13"/>
      <c r="BR439" s="13"/>
      <c r="BS439" s="13"/>
      <c r="BT439" s="13"/>
      <c r="BU439" s="13"/>
      <c r="BV439" s="13"/>
      <c r="BW439" s="13"/>
      <c r="BX439" s="13"/>
      <c r="BY439" s="25">
        <v>0</v>
      </c>
      <c r="BZ439" s="25"/>
      <c r="CA439" s="25"/>
      <c r="CB439" s="25">
        <v>0</v>
      </c>
      <c r="CC439" s="25"/>
      <c r="CD439" s="25"/>
      <c r="CE439" s="110">
        <v>32100000</v>
      </c>
      <c r="CF439" s="110">
        <v>15600000</v>
      </c>
      <c r="CG439" s="110">
        <v>15600000</v>
      </c>
      <c r="CH439" s="13"/>
      <c r="CI439" s="13"/>
      <c r="CJ439" s="13"/>
      <c r="CK439" s="25">
        <v>0</v>
      </c>
      <c r="CL439" s="26"/>
      <c r="CM439" s="26"/>
      <c r="CN439" s="26">
        <v>0</v>
      </c>
      <c r="CO439" s="26"/>
      <c r="CP439" s="26"/>
      <c r="CQ439" s="26"/>
      <c r="CR439" s="26"/>
      <c r="CS439" s="26"/>
      <c r="CT439" s="25">
        <f>Q439+T439+W439+Z439+AC439+AF439+AI439+AL439+AO439+AR439+AU439+AX439+BA439+BD439+BG439+BJ439+BM439+BP439+BS439+BV439+BY439+CB439+CE439+CH439+CK439+CQ439+CN439</f>
        <v>128718585</v>
      </c>
      <c r="CU439" s="25">
        <f t="shared" si="228"/>
        <v>15600000</v>
      </c>
      <c r="CV439" s="25">
        <f t="shared" si="228"/>
        <v>15600000</v>
      </c>
    </row>
    <row r="440" spans="1:100" s="422" customFormat="1" ht="60" customHeight="1" x14ac:dyDescent="0.25">
      <c r="A440" s="18"/>
      <c r="B440" s="18"/>
      <c r="C440" s="915">
        <v>20</v>
      </c>
      <c r="D440" s="918" t="s">
        <v>540</v>
      </c>
      <c r="E440" s="933" t="s">
        <v>541</v>
      </c>
      <c r="F440" s="933" t="s">
        <v>542</v>
      </c>
      <c r="G440" s="915"/>
      <c r="H440" s="914">
        <v>106</v>
      </c>
      <c r="I440" s="917" t="s">
        <v>543</v>
      </c>
      <c r="J440" s="59">
        <v>0</v>
      </c>
      <c r="K440" s="440">
        <v>1</v>
      </c>
      <c r="L440" s="440">
        <v>1</v>
      </c>
      <c r="M440" s="1126"/>
      <c r="N440" s="1088"/>
      <c r="O440" s="1023"/>
      <c r="P440" s="914" t="s">
        <v>38</v>
      </c>
      <c r="Q440" s="80">
        <v>0</v>
      </c>
      <c r="R440" s="80"/>
      <c r="S440" s="80"/>
      <c r="T440" s="80">
        <v>0</v>
      </c>
      <c r="U440" s="80"/>
      <c r="V440" s="80"/>
      <c r="W440" s="80">
        <v>0</v>
      </c>
      <c r="X440" s="80"/>
      <c r="Y440" s="80"/>
      <c r="Z440" s="80">
        <v>0</v>
      </c>
      <c r="AA440" s="80"/>
      <c r="AB440" s="80"/>
      <c r="AC440" s="80">
        <v>0</v>
      </c>
      <c r="AD440" s="80"/>
      <c r="AE440" s="80"/>
      <c r="AF440" s="80">
        <v>0</v>
      </c>
      <c r="AG440" s="80"/>
      <c r="AH440" s="80"/>
      <c r="AI440" s="25">
        <v>49500000</v>
      </c>
      <c r="AJ440" s="80"/>
      <c r="AK440" s="80"/>
      <c r="AL440" s="80"/>
      <c r="AM440" s="80"/>
      <c r="AN440" s="80"/>
      <c r="AO440" s="80"/>
      <c r="AP440" s="80"/>
      <c r="AQ440" s="80"/>
      <c r="AR440" s="80"/>
      <c r="AS440" s="80"/>
      <c r="AT440" s="80"/>
      <c r="AU440" s="80">
        <v>0</v>
      </c>
      <c r="AV440" s="80"/>
      <c r="AW440" s="80"/>
      <c r="AX440" s="80"/>
      <c r="AY440" s="80"/>
      <c r="AZ440" s="80"/>
      <c r="BA440" s="80">
        <v>0</v>
      </c>
      <c r="BB440" s="80"/>
      <c r="BC440" s="80"/>
      <c r="BD440" s="80">
        <v>0</v>
      </c>
      <c r="BE440" s="80"/>
      <c r="BF440" s="80"/>
      <c r="BG440" s="608"/>
      <c r="BH440" s="608"/>
      <c r="BI440" s="608"/>
      <c r="BJ440" s="608"/>
      <c r="BK440" s="608"/>
      <c r="BL440" s="608"/>
      <c r="BM440" s="608"/>
      <c r="BN440" s="608"/>
      <c r="BO440" s="608"/>
      <c r="BP440" s="608"/>
      <c r="BQ440" s="608"/>
      <c r="BR440" s="608"/>
      <c r="BS440" s="608"/>
      <c r="BT440" s="608"/>
      <c r="BU440" s="608"/>
      <c r="BV440" s="608"/>
      <c r="BW440" s="608"/>
      <c r="BX440" s="608"/>
      <c r="BY440" s="80">
        <v>0</v>
      </c>
      <c r="BZ440" s="80"/>
      <c r="CA440" s="80"/>
      <c r="CB440" s="80">
        <v>0</v>
      </c>
      <c r="CC440" s="80"/>
      <c r="CD440" s="80"/>
      <c r="CE440" s="115">
        <v>53600000</v>
      </c>
      <c r="CF440" s="115">
        <v>34359000</v>
      </c>
      <c r="CG440" s="115">
        <v>34359000</v>
      </c>
      <c r="CH440" s="608"/>
      <c r="CI440" s="608"/>
      <c r="CJ440" s="608"/>
      <c r="CK440" s="80">
        <v>0</v>
      </c>
      <c r="CL440" s="711"/>
      <c r="CM440" s="711"/>
      <c r="CN440" s="81">
        <v>0</v>
      </c>
      <c r="CO440" s="711"/>
      <c r="CP440" s="711"/>
      <c r="CQ440" s="81"/>
      <c r="CR440" s="711"/>
      <c r="CS440" s="711"/>
      <c r="CT440" s="25">
        <f>Q440+T440+W440+Z440+AC440+AF440+AI440+AL440+AO440+AR440+AU440+AX440+BA440+BD440+BG440+BJ440+BM440+BP440+BS440+BV440+BY440+CB440+CE440+CH440+CK440+CQ440+CN440</f>
        <v>103100000</v>
      </c>
      <c r="CU440" s="25">
        <f t="shared" si="228"/>
        <v>34359000</v>
      </c>
      <c r="CV440" s="25">
        <f t="shared" si="228"/>
        <v>34359000</v>
      </c>
    </row>
    <row r="441" spans="1:100" s="422" customFormat="1" ht="84" customHeight="1" x14ac:dyDescent="0.25">
      <c r="A441" s="18"/>
      <c r="B441" s="18"/>
      <c r="C441" s="929">
        <v>20</v>
      </c>
      <c r="D441" s="928" t="s">
        <v>540</v>
      </c>
      <c r="E441" s="83" t="s">
        <v>541</v>
      </c>
      <c r="F441" s="83" t="s">
        <v>910</v>
      </c>
      <c r="G441" s="929"/>
      <c r="H441" s="929">
        <v>107</v>
      </c>
      <c r="I441" s="928" t="s">
        <v>544</v>
      </c>
      <c r="J441" s="56">
        <v>1</v>
      </c>
      <c r="K441" s="64">
        <v>1</v>
      </c>
      <c r="L441" s="92">
        <v>1</v>
      </c>
      <c r="M441" s="643" t="s">
        <v>452</v>
      </c>
      <c r="N441" s="644">
        <v>2017003630122</v>
      </c>
      <c r="O441" s="928" t="s">
        <v>909</v>
      </c>
      <c r="P441" s="929" t="s">
        <v>38</v>
      </c>
      <c r="Q441" s="25"/>
      <c r="R441" s="25"/>
      <c r="S441" s="25"/>
      <c r="T441" s="25"/>
      <c r="U441" s="25"/>
      <c r="V441" s="25"/>
      <c r="W441" s="25"/>
      <c r="X441" s="25"/>
      <c r="Y441" s="25"/>
      <c r="Z441" s="25"/>
      <c r="AA441" s="25"/>
      <c r="AB441" s="25"/>
      <c r="AC441" s="25"/>
      <c r="AD441" s="25"/>
      <c r="AE441" s="25"/>
      <c r="AF441" s="25"/>
      <c r="AG441" s="25"/>
      <c r="AH441" s="25"/>
      <c r="AI441" s="25">
        <v>49500000</v>
      </c>
      <c r="AJ441" s="25">
        <v>29050945</v>
      </c>
      <c r="AK441" s="25">
        <v>29050945</v>
      </c>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13"/>
      <c r="BH441" s="13"/>
      <c r="BI441" s="13"/>
      <c r="BJ441" s="13"/>
      <c r="BK441" s="13"/>
      <c r="BL441" s="13"/>
      <c r="BM441" s="13"/>
      <c r="BN441" s="13"/>
      <c r="BO441" s="13"/>
      <c r="BP441" s="13"/>
      <c r="BQ441" s="13"/>
      <c r="BR441" s="13"/>
      <c r="BS441" s="13"/>
      <c r="BT441" s="13"/>
      <c r="BU441" s="13"/>
      <c r="BV441" s="13"/>
      <c r="BW441" s="13"/>
      <c r="BX441" s="13"/>
      <c r="BY441" s="25"/>
      <c r="BZ441" s="25"/>
      <c r="CA441" s="25"/>
      <c r="CB441" s="25"/>
      <c r="CC441" s="25"/>
      <c r="CD441" s="25"/>
      <c r="CE441" s="113">
        <v>4300000</v>
      </c>
      <c r="CF441" s="113">
        <v>4300000</v>
      </c>
      <c r="CG441" s="113">
        <v>4300000</v>
      </c>
      <c r="CH441" s="40"/>
      <c r="CI441" s="40"/>
      <c r="CJ441" s="40"/>
      <c r="CK441" s="25"/>
      <c r="CL441" s="25"/>
      <c r="CM441" s="25"/>
      <c r="CN441" s="25"/>
      <c r="CO441" s="25"/>
      <c r="CP441" s="25"/>
      <c r="CQ441" s="25"/>
      <c r="CR441" s="25"/>
      <c r="CS441" s="25"/>
      <c r="CT441" s="25">
        <f>Q441+T441+W441+Z441+AC441+AF441+AI441+AL441+AO441+AR441+AU441+AX441+BA441+BD441+BG441+BJ441+BM441+BP441+BS441+BV441+BY441+CB441+CE441+CH441+CK441+CQ441+CN441</f>
        <v>53800000</v>
      </c>
      <c r="CU441" s="25">
        <f t="shared" si="228"/>
        <v>33350945</v>
      </c>
      <c r="CV441" s="25">
        <f t="shared" si="228"/>
        <v>33350945</v>
      </c>
    </row>
    <row r="442" spans="1:100" s="425" customFormat="1" ht="15" x14ac:dyDescent="0.25">
      <c r="A442" s="18"/>
      <c r="B442" s="152"/>
      <c r="C442" s="320"/>
      <c r="D442" s="919"/>
      <c r="E442" s="934"/>
      <c r="F442" s="424"/>
      <c r="G442" s="492"/>
      <c r="H442" s="493"/>
      <c r="I442" s="492"/>
      <c r="J442" s="609"/>
      <c r="K442" s="610"/>
      <c r="L442" s="610"/>
      <c r="M442" s="610"/>
      <c r="N442" s="611"/>
      <c r="O442" s="492"/>
      <c r="P442" s="493"/>
      <c r="Q442" s="612">
        <f>SUM(Q437:Q441)</f>
        <v>0</v>
      </c>
      <c r="R442" s="612">
        <f t="shared" ref="R442:CC442" si="229">SUM(R437:R441)</f>
        <v>0</v>
      </c>
      <c r="S442" s="612">
        <f t="shared" si="229"/>
        <v>0</v>
      </c>
      <c r="T442" s="612">
        <f t="shared" si="229"/>
        <v>0</v>
      </c>
      <c r="U442" s="612">
        <f t="shared" si="229"/>
        <v>0</v>
      </c>
      <c r="V442" s="612">
        <f t="shared" si="229"/>
        <v>0</v>
      </c>
      <c r="W442" s="612">
        <f t="shared" si="229"/>
        <v>0</v>
      </c>
      <c r="X442" s="612">
        <f t="shared" si="229"/>
        <v>0</v>
      </c>
      <c r="Y442" s="612">
        <f t="shared" si="229"/>
        <v>0</v>
      </c>
      <c r="Z442" s="612">
        <f t="shared" si="229"/>
        <v>0</v>
      </c>
      <c r="AA442" s="612">
        <f t="shared" si="229"/>
        <v>0</v>
      </c>
      <c r="AB442" s="612">
        <f t="shared" si="229"/>
        <v>0</v>
      </c>
      <c r="AC442" s="612">
        <f t="shared" si="229"/>
        <v>0</v>
      </c>
      <c r="AD442" s="612">
        <f t="shared" si="229"/>
        <v>0</v>
      </c>
      <c r="AE442" s="612">
        <f t="shared" si="229"/>
        <v>0</v>
      </c>
      <c r="AF442" s="612">
        <f t="shared" si="229"/>
        <v>0</v>
      </c>
      <c r="AG442" s="612">
        <f t="shared" si="229"/>
        <v>0</v>
      </c>
      <c r="AH442" s="612">
        <f t="shared" si="229"/>
        <v>0</v>
      </c>
      <c r="AI442" s="612">
        <f t="shared" si="229"/>
        <v>249118585</v>
      </c>
      <c r="AJ442" s="612">
        <f t="shared" si="229"/>
        <v>54050945</v>
      </c>
      <c r="AK442" s="612">
        <f t="shared" si="229"/>
        <v>54050945</v>
      </c>
      <c r="AL442" s="612">
        <f t="shared" si="229"/>
        <v>0</v>
      </c>
      <c r="AM442" s="612">
        <f t="shared" si="229"/>
        <v>0</v>
      </c>
      <c r="AN442" s="612">
        <f t="shared" si="229"/>
        <v>0</v>
      </c>
      <c r="AO442" s="612">
        <f t="shared" si="229"/>
        <v>0</v>
      </c>
      <c r="AP442" s="612">
        <f t="shared" si="229"/>
        <v>0</v>
      </c>
      <c r="AQ442" s="612">
        <f t="shared" si="229"/>
        <v>0</v>
      </c>
      <c r="AR442" s="612">
        <f t="shared" si="229"/>
        <v>0</v>
      </c>
      <c r="AS442" s="612">
        <f t="shared" si="229"/>
        <v>0</v>
      </c>
      <c r="AT442" s="612">
        <f t="shared" si="229"/>
        <v>0</v>
      </c>
      <c r="AU442" s="612">
        <f t="shared" si="229"/>
        <v>0</v>
      </c>
      <c r="AV442" s="612">
        <f t="shared" si="229"/>
        <v>0</v>
      </c>
      <c r="AW442" s="612">
        <f t="shared" si="229"/>
        <v>0</v>
      </c>
      <c r="AX442" s="612">
        <f t="shared" si="229"/>
        <v>0</v>
      </c>
      <c r="AY442" s="612">
        <f t="shared" si="229"/>
        <v>0</v>
      </c>
      <c r="AZ442" s="612">
        <f t="shared" si="229"/>
        <v>0</v>
      </c>
      <c r="BA442" s="612">
        <f t="shared" si="229"/>
        <v>0</v>
      </c>
      <c r="BB442" s="612">
        <f t="shared" si="229"/>
        <v>0</v>
      </c>
      <c r="BC442" s="612">
        <f t="shared" si="229"/>
        <v>0</v>
      </c>
      <c r="BD442" s="612">
        <f t="shared" si="229"/>
        <v>0</v>
      </c>
      <c r="BE442" s="612">
        <f t="shared" si="229"/>
        <v>0</v>
      </c>
      <c r="BF442" s="612">
        <f t="shared" si="229"/>
        <v>0</v>
      </c>
      <c r="BG442" s="612">
        <f t="shared" si="229"/>
        <v>0</v>
      </c>
      <c r="BH442" s="612">
        <f t="shared" si="229"/>
        <v>0</v>
      </c>
      <c r="BI442" s="612">
        <f t="shared" si="229"/>
        <v>0</v>
      </c>
      <c r="BJ442" s="612">
        <f t="shared" si="229"/>
        <v>0</v>
      </c>
      <c r="BK442" s="612">
        <f t="shared" si="229"/>
        <v>0</v>
      </c>
      <c r="BL442" s="612">
        <f t="shared" si="229"/>
        <v>0</v>
      </c>
      <c r="BM442" s="612">
        <f t="shared" si="229"/>
        <v>0</v>
      </c>
      <c r="BN442" s="612">
        <f t="shared" si="229"/>
        <v>0</v>
      </c>
      <c r="BO442" s="612">
        <f t="shared" si="229"/>
        <v>0</v>
      </c>
      <c r="BP442" s="612">
        <f t="shared" si="229"/>
        <v>0</v>
      </c>
      <c r="BQ442" s="612">
        <f t="shared" si="229"/>
        <v>0</v>
      </c>
      <c r="BR442" s="612">
        <f t="shared" si="229"/>
        <v>0</v>
      </c>
      <c r="BS442" s="612">
        <f t="shared" si="229"/>
        <v>0</v>
      </c>
      <c r="BT442" s="612">
        <f t="shared" si="229"/>
        <v>0</v>
      </c>
      <c r="BU442" s="612">
        <f t="shared" si="229"/>
        <v>0</v>
      </c>
      <c r="BV442" s="612">
        <f t="shared" si="229"/>
        <v>0</v>
      </c>
      <c r="BW442" s="612">
        <f t="shared" si="229"/>
        <v>0</v>
      </c>
      <c r="BX442" s="612">
        <f t="shared" si="229"/>
        <v>0</v>
      </c>
      <c r="BY442" s="612">
        <f t="shared" si="229"/>
        <v>0</v>
      </c>
      <c r="BZ442" s="612">
        <f t="shared" si="229"/>
        <v>0</v>
      </c>
      <c r="CA442" s="612">
        <f t="shared" si="229"/>
        <v>0</v>
      </c>
      <c r="CB442" s="612">
        <f t="shared" si="229"/>
        <v>0</v>
      </c>
      <c r="CC442" s="612">
        <f t="shared" si="229"/>
        <v>0</v>
      </c>
      <c r="CD442" s="612">
        <f t="shared" ref="CD442:CS442" si="230">SUM(CD437:CD441)</f>
        <v>0</v>
      </c>
      <c r="CE442" s="612">
        <f t="shared" si="230"/>
        <v>90000000</v>
      </c>
      <c r="CF442" s="612">
        <f t="shared" si="230"/>
        <v>54259000</v>
      </c>
      <c r="CG442" s="612">
        <f t="shared" si="230"/>
        <v>54259000</v>
      </c>
      <c r="CH442" s="612">
        <f t="shared" si="230"/>
        <v>0</v>
      </c>
      <c r="CI442" s="612">
        <f t="shared" si="230"/>
        <v>0</v>
      </c>
      <c r="CJ442" s="612">
        <f t="shared" si="230"/>
        <v>0</v>
      </c>
      <c r="CK442" s="612">
        <f t="shared" si="230"/>
        <v>0</v>
      </c>
      <c r="CL442" s="612">
        <f t="shared" si="230"/>
        <v>0</v>
      </c>
      <c r="CM442" s="612">
        <f t="shared" si="230"/>
        <v>0</v>
      </c>
      <c r="CN442" s="612">
        <f t="shared" si="230"/>
        <v>0</v>
      </c>
      <c r="CO442" s="612">
        <f t="shared" si="230"/>
        <v>0</v>
      </c>
      <c r="CP442" s="612">
        <f t="shared" si="230"/>
        <v>0</v>
      </c>
      <c r="CQ442" s="612">
        <f t="shared" si="230"/>
        <v>0</v>
      </c>
      <c r="CR442" s="612">
        <f t="shared" si="230"/>
        <v>0</v>
      </c>
      <c r="CS442" s="612">
        <f t="shared" si="230"/>
        <v>0</v>
      </c>
      <c r="CT442" s="158">
        <f>SUM(CT437:CT441)</f>
        <v>339118585</v>
      </c>
      <c r="CU442" s="158">
        <f>SUM(CU437:CU441)</f>
        <v>108309945</v>
      </c>
      <c r="CV442" s="158">
        <f>SUM(CV437:CV441)</f>
        <v>108309945</v>
      </c>
    </row>
    <row r="443" spans="1:100" s="425" customFormat="1" ht="15" x14ac:dyDescent="0.25">
      <c r="A443" s="19"/>
      <c r="B443" s="426"/>
      <c r="C443" s="162"/>
      <c r="D443" s="161"/>
      <c r="E443" s="405"/>
      <c r="F443" s="405"/>
      <c r="G443" s="161"/>
      <c r="H443" s="162"/>
      <c r="I443" s="161"/>
      <c r="J443" s="406"/>
      <c r="K443" s="427"/>
      <c r="L443" s="427"/>
      <c r="M443" s="427"/>
      <c r="N443" s="164"/>
      <c r="O443" s="161"/>
      <c r="P443" s="162"/>
      <c r="Q443" s="165">
        <f>Q442+Q434</f>
        <v>0</v>
      </c>
      <c r="R443" s="165">
        <f t="shared" ref="R443:CC443" si="231">R442+R434</f>
        <v>0</v>
      </c>
      <c r="S443" s="165">
        <f t="shared" si="231"/>
        <v>0</v>
      </c>
      <c r="T443" s="165">
        <f t="shared" si="231"/>
        <v>0</v>
      </c>
      <c r="U443" s="165">
        <f t="shared" si="231"/>
        <v>0</v>
      </c>
      <c r="V443" s="165">
        <f t="shared" si="231"/>
        <v>0</v>
      </c>
      <c r="W443" s="165">
        <f t="shared" si="231"/>
        <v>0</v>
      </c>
      <c r="X443" s="165">
        <f t="shared" si="231"/>
        <v>0</v>
      </c>
      <c r="Y443" s="165">
        <f t="shared" si="231"/>
        <v>0</v>
      </c>
      <c r="Z443" s="165">
        <f t="shared" si="231"/>
        <v>0</v>
      </c>
      <c r="AA443" s="165">
        <f t="shared" si="231"/>
        <v>0</v>
      </c>
      <c r="AB443" s="165">
        <f t="shared" si="231"/>
        <v>0</v>
      </c>
      <c r="AC443" s="165">
        <f t="shared" si="231"/>
        <v>0</v>
      </c>
      <c r="AD443" s="165">
        <f t="shared" si="231"/>
        <v>0</v>
      </c>
      <c r="AE443" s="165">
        <f t="shared" si="231"/>
        <v>0</v>
      </c>
      <c r="AF443" s="165">
        <f t="shared" si="231"/>
        <v>0</v>
      </c>
      <c r="AG443" s="165">
        <f t="shared" si="231"/>
        <v>0</v>
      </c>
      <c r="AH443" s="165">
        <f t="shared" si="231"/>
        <v>0</v>
      </c>
      <c r="AI443" s="165">
        <f t="shared" si="231"/>
        <v>264268585</v>
      </c>
      <c r="AJ443" s="165">
        <f t="shared" si="231"/>
        <v>69200945</v>
      </c>
      <c r="AK443" s="165">
        <f t="shared" si="231"/>
        <v>69200945</v>
      </c>
      <c r="AL443" s="165">
        <f t="shared" si="231"/>
        <v>0</v>
      </c>
      <c r="AM443" s="165">
        <f t="shared" si="231"/>
        <v>0</v>
      </c>
      <c r="AN443" s="165">
        <f t="shared" si="231"/>
        <v>0</v>
      </c>
      <c r="AO443" s="165">
        <f t="shared" si="231"/>
        <v>0</v>
      </c>
      <c r="AP443" s="165">
        <f t="shared" si="231"/>
        <v>0</v>
      </c>
      <c r="AQ443" s="165">
        <f t="shared" si="231"/>
        <v>0</v>
      </c>
      <c r="AR443" s="165">
        <f t="shared" si="231"/>
        <v>0</v>
      </c>
      <c r="AS443" s="165">
        <f t="shared" si="231"/>
        <v>0</v>
      </c>
      <c r="AT443" s="165">
        <f t="shared" si="231"/>
        <v>0</v>
      </c>
      <c r="AU443" s="165">
        <f t="shared" si="231"/>
        <v>0</v>
      </c>
      <c r="AV443" s="165">
        <f t="shared" si="231"/>
        <v>0</v>
      </c>
      <c r="AW443" s="165">
        <f t="shared" si="231"/>
        <v>0</v>
      </c>
      <c r="AX443" s="165">
        <f t="shared" si="231"/>
        <v>0</v>
      </c>
      <c r="AY443" s="165">
        <f t="shared" si="231"/>
        <v>0</v>
      </c>
      <c r="AZ443" s="165">
        <f t="shared" si="231"/>
        <v>0</v>
      </c>
      <c r="BA443" s="165">
        <f t="shared" si="231"/>
        <v>0</v>
      </c>
      <c r="BB443" s="165">
        <f t="shared" si="231"/>
        <v>0</v>
      </c>
      <c r="BC443" s="165">
        <f t="shared" si="231"/>
        <v>0</v>
      </c>
      <c r="BD443" s="165">
        <f t="shared" si="231"/>
        <v>0</v>
      </c>
      <c r="BE443" s="165">
        <f t="shared" si="231"/>
        <v>0</v>
      </c>
      <c r="BF443" s="165">
        <f t="shared" si="231"/>
        <v>0</v>
      </c>
      <c r="BG443" s="165">
        <f t="shared" si="231"/>
        <v>0</v>
      </c>
      <c r="BH443" s="165">
        <f t="shared" si="231"/>
        <v>0</v>
      </c>
      <c r="BI443" s="165">
        <f t="shared" si="231"/>
        <v>0</v>
      </c>
      <c r="BJ443" s="165">
        <f t="shared" si="231"/>
        <v>0</v>
      </c>
      <c r="BK443" s="165">
        <f t="shared" si="231"/>
        <v>0</v>
      </c>
      <c r="BL443" s="165">
        <f t="shared" si="231"/>
        <v>0</v>
      </c>
      <c r="BM443" s="165">
        <f t="shared" si="231"/>
        <v>0</v>
      </c>
      <c r="BN443" s="165">
        <f t="shared" si="231"/>
        <v>0</v>
      </c>
      <c r="BO443" s="165">
        <f t="shared" si="231"/>
        <v>0</v>
      </c>
      <c r="BP443" s="165">
        <f t="shared" si="231"/>
        <v>0</v>
      </c>
      <c r="BQ443" s="165">
        <f t="shared" si="231"/>
        <v>0</v>
      </c>
      <c r="BR443" s="165">
        <f t="shared" si="231"/>
        <v>0</v>
      </c>
      <c r="BS443" s="165">
        <f t="shared" si="231"/>
        <v>0</v>
      </c>
      <c r="BT443" s="165">
        <f t="shared" si="231"/>
        <v>0</v>
      </c>
      <c r="BU443" s="165">
        <f t="shared" si="231"/>
        <v>0</v>
      </c>
      <c r="BV443" s="165">
        <f t="shared" si="231"/>
        <v>0</v>
      </c>
      <c r="BW443" s="165">
        <f t="shared" si="231"/>
        <v>0</v>
      </c>
      <c r="BX443" s="165">
        <f t="shared" si="231"/>
        <v>0</v>
      </c>
      <c r="BY443" s="165">
        <f t="shared" si="231"/>
        <v>0</v>
      </c>
      <c r="BZ443" s="165">
        <f t="shared" si="231"/>
        <v>0</v>
      </c>
      <c r="CA443" s="165">
        <f t="shared" si="231"/>
        <v>0</v>
      </c>
      <c r="CB443" s="165">
        <f t="shared" si="231"/>
        <v>0</v>
      </c>
      <c r="CC443" s="165">
        <f t="shared" si="231"/>
        <v>0</v>
      </c>
      <c r="CD443" s="165">
        <f t="shared" ref="CD443:CS443" si="232">CD442+CD434</f>
        <v>0</v>
      </c>
      <c r="CE443" s="165">
        <f t="shared" si="232"/>
        <v>90000000</v>
      </c>
      <c r="CF443" s="165">
        <f t="shared" si="232"/>
        <v>54259000</v>
      </c>
      <c r="CG443" s="165">
        <f t="shared" si="232"/>
        <v>54259000</v>
      </c>
      <c r="CH443" s="165">
        <f t="shared" si="232"/>
        <v>0</v>
      </c>
      <c r="CI443" s="165">
        <f t="shared" si="232"/>
        <v>0</v>
      </c>
      <c r="CJ443" s="165">
        <f t="shared" si="232"/>
        <v>0</v>
      </c>
      <c r="CK443" s="165">
        <f t="shared" si="232"/>
        <v>0</v>
      </c>
      <c r="CL443" s="165">
        <f t="shared" si="232"/>
        <v>0</v>
      </c>
      <c r="CM443" s="165">
        <f t="shared" si="232"/>
        <v>0</v>
      </c>
      <c r="CN443" s="165">
        <f t="shared" si="232"/>
        <v>0</v>
      </c>
      <c r="CO443" s="165">
        <f t="shared" si="232"/>
        <v>0</v>
      </c>
      <c r="CP443" s="165">
        <f t="shared" si="232"/>
        <v>0</v>
      </c>
      <c r="CQ443" s="165">
        <f t="shared" si="232"/>
        <v>0</v>
      </c>
      <c r="CR443" s="165">
        <f t="shared" si="232"/>
        <v>0</v>
      </c>
      <c r="CS443" s="165">
        <f t="shared" si="232"/>
        <v>0</v>
      </c>
      <c r="CT443" s="165">
        <f>CT442+CT434</f>
        <v>354268585</v>
      </c>
      <c r="CU443" s="165">
        <f>CU442+CU434</f>
        <v>123459945</v>
      </c>
      <c r="CV443" s="165">
        <f>CV442+CV434</f>
        <v>123459945</v>
      </c>
    </row>
    <row r="444" spans="1:100" s="422" customFormat="1" ht="15" x14ac:dyDescent="0.25">
      <c r="A444" s="19"/>
      <c r="B444" s="177"/>
      <c r="C444" s="949"/>
      <c r="D444" s="177"/>
      <c r="E444" s="398"/>
      <c r="F444" s="398"/>
      <c r="G444" s="177"/>
      <c r="H444" s="949"/>
      <c r="I444" s="177"/>
      <c r="J444" s="399"/>
      <c r="K444" s="399"/>
      <c r="L444" s="401"/>
      <c r="M444" s="401"/>
      <c r="N444" s="230"/>
      <c r="O444" s="221"/>
      <c r="P444" s="949"/>
      <c r="Q444" s="180"/>
      <c r="R444" s="180"/>
      <c r="S444" s="180"/>
      <c r="T444" s="180"/>
      <c r="U444" s="180"/>
      <c r="V444" s="180"/>
      <c r="W444" s="180"/>
      <c r="X444" s="180"/>
      <c r="Y444" s="180"/>
      <c r="Z444" s="180"/>
      <c r="AA444" s="180"/>
      <c r="AB444" s="180"/>
      <c r="AC444" s="180"/>
      <c r="AD444" s="180"/>
      <c r="AE444" s="180"/>
      <c r="AF444" s="180"/>
      <c r="AG444" s="106"/>
      <c r="AH444" s="106"/>
      <c r="AI444" s="106"/>
      <c r="AJ444" s="106"/>
      <c r="AK444" s="106"/>
      <c r="AL444" s="180"/>
      <c r="AM444" s="180"/>
      <c r="AN444" s="180"/>
      <c r="AO444" s="180"/>
      <c r="AP444" s="180"/>
      <c r="AQ444" s="180"/>
      <c r="AR444" s="180"/>
      <c r="AS444" s="180"/>
      <c r="AT444" s="180"/>
      <c r="AU444" s="180"/>
      <c r="AV444" s="180"/>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0"/>
      <c r="BS444" s="180"/>
      <c r="BT444" s="180"/>
      <c r="BU444" s="180"/>
      <c r="BV444" s="180"/>
      <c r="BW444" s="180"/>
      <c r="BX444" s="180"/>
      <c r="BY444" s="180"/>
      <c r="BZ444" s="180"/>
      <c r="CA444" s="180"/>
      <c r="CB444" s="180"/>
      <c r="CC444" s="106"/>
      <c r="CD444" s="106"/>
      <c r="CE444" s="286"/>
      <c r="CF444" s="286"/>
      <c r="CG444" s="286"/>
      <c r="CH444" s="106"/>
      <c r="CI444" s="106"/>
      <c r="CJ444" s="106"/>
      <c r="CK444" s="180"/>
      <c r="CL444" s="180"/>
      <c r="CM444" s="180"/>
      <c r="CN444" s="180"/>
      <c r="CO444" s="180"/>
      <c r="CP444" s="180"/>
      <c r="CQ444" s="180"/>
      <c r="CR444" s="180"/>
      <c r="CS444" s="180"/>
      <c r="CT444" s="25"/>
      <c r="CU444" s="759"/>
      <c r="CV444" s="759"/>
    </row>
    <row r="445" spans="1:100" s="422" customFormat="1" ht="15" x14ac:dyDescent="0.25">
      <c r="A445" s="19"/>
      <c r="B445" s="239">
        <v>8</v>
      </c>
      <c r="C445" s="147" t="s">
        <v>545</v>
      </c>
      <c r="D445" s="146"/>
      <c r="E445" s="146"/>
      <c r="F445" s="146"/>
      <c r="G445" s="146"/>
      <c r="H445" s="147"/>
      <c r="I445" s="146"/>
      <c r="J445" s="146"/>
      <c r="K445" s="146"/>
      <c r="L445" s="146"/>
      <c r="M445" s="146"/>
      <c r="N445" s="677"/>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c r="BI445" s="146"/>
      <c r="BJ445" s="146"/>
      <c r="BK445" s="146"/>
      <c r="BL445" s="146"/>
      <c r="BM445" s="146"/>
      <c r="BN445" s="146"/>
      <c r="BO445" s="146"/>
      <c r="BP445" s="146"/>
      <c r="BQ445" s="146"/>
      <c r="BR445" s="146"/>
      <c r="BS445" s="146"/>
      <c r="BT445" s="146"/>
      <c r="BU445" s="146"/>
      <c r="BV445" s="146"/>
      <c r="BW445" s="146"/>
      <c r="BX445" s="146"/>
      <c r="BY445" s="146"/>
      <c r="BZ445" s="146"/>
      <c r="CA445" s="146"/>
      <c r="CB445" s="146"/>
      <c r="CC445" s="146"/>
      <c r="CD445" s="146"/>
      <c r="CE445" s="148"/>
      <c r="CF445" s="148"/>
      <c r="CG445" s="148"/>
      <c r="CH445" s="146"/>
      <c r="CI445" s="146"/>
      <c r="CJ445" s="146"/>
      <c r="CK445" s="146"/>
      <c r="CL445" s="146"/>
      <c r="CM445" s="146"/>
      <c r="CN445" s="146"/>
      <c r="CO445" s="146"/>
      <c r="CP445" s="146"/>
      <c r="CQ445" s="146"/>
      <c r="CR445" s="146"/>
      <c r="CS445" s="146"/>
      <c r="CT445" s="526"/>
      <c r="CU445" s="526"/>
      <c r="CV445" s="526"/>
    </row>
    <row r="446" spans="1:100" s="422" customFormat="1" ht="15" x14ac:dyDescent="0.25">
      <c r="A446" s="19"/>
      <c r="B446" s="185"/>
      <c r="C446" s="949"/>
      <c r="D446" s="177"/>
      <c r="E446" s="949"/>
      <c r="F446" s="927"/>
      <c r="G446" s="339">
        <v>25</v>
      </c>
      <c r="H446" s="189" t="s">
        <v>546</v>
      </c>
      <c r="I446" s="189"/>
      <c r="J446" s="189"/>
      <c r="K446" s="189"/>
      <c r="L446" s="189"/>
      <c r="M446" s="189"/>
      <c r="N446" s="189"/>
      <c r="O446" s="189"/>
      <c r="P446" s="189"/>
      <c r="Q446" s="189"/>
      <c r="R446" s="922"/>
      <c r="S446" s="922"/>
      <c r="T446" s="189"/>
      <c r="U446" s="189"/>
      <c r="V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c r="BM446" s="189"/>
      <c r="BN446" s="189"/>
      <c r="BO446" s="189"/>
      <c r="BP446" s="189"/>
      <c r="BQ446" s="189"/>
      <c r="BR446" s="189"/>
      <c r="BS446" s="189"/>
      <c r="BT446" s="189"/>
      <c r="BU446" s="189"/>
      <c r="BV446" s="189"/>
      <c r="BW446" s="189"/>
      <c r="BX446" s="189"/>
      <c r="BY446" s="189"/>
      <c r="BZ446" s="189"/>
      <c r="CA446" s="189"/>
      <c r="CB446" s="189"/>
      <c r="CC446" s="189"/>
      <c r="CD446" s="189"/>
      <c r="CE446" s="190"/>
      <c r="CF446" s="190"/>
      <c r="CG446" s="190"/>
      <c r="CH446" s="189"/>
      <c r="CI446" s="189"/>
      <c r="CJ446" s="189"/>
      <c r="CK446" s="189"/>
      <c r="CL446" s="189"/>
      <c r="CM446" s="189"/>
      <c r="CN446" s="189"/>
      <c r="CO446" s="189"/>
      <c r="CP446" s="189"/>
      <c r="CQ446" s="189"/>
      <c r="CR446" s="189"/>
      <c r="CS446" s="189"/>
      <c r="CT446" s="522"/>
      <c r="CU446" s="522"/>
      <c r="CV446" s="522"/>
    </row>
    <row r="447" spans="1:100" s="422" customFormat="1" ht="75.75" customHeight="1" x14ac:dyDescent="0.25">
      <c r="A447" s="19"/>
      <c r="B447" s="19"/>
      <c r="C447" s="1032" t="s">
        <v>473</v>
      </c>
      <c r="D447" s="1012" t="s">
        <v>474</v>
      </c>
      <c r="E447" s="1116" t="s">
        <v>518</v>
      </c>
      <c r="F447" s="1116" t="s">
        <v>519</v>
      </c>
      <c r="G447" s="22"/>
      <c r="H447" s="929">
        <v>108</v>
      </c>
      <c r="I447" s="928" t="s">
        <v>547</v>
      </c>
      <c r="J447" s="56">
        <v>4</v>
      </c>
      <c r="K447" s="87">
        <v>4</v>
      </c>
      <c r="L447" s="952">
        <v>4</v>
      </c>
      <c r="M447" s="1123" t="s">
        <v>452</v>
      </c>
      <c r="N447" s="1017" t="s">
        <v>548</v>
      </c>
      <c r="O447" s="1012" t="s">
        <v>549</v>
      </c>
      <c r="P447" s="929" t="s">
        <v>38</v>
      </c>
      <c r="Q447" s="928">
        <v>0</v>
      </c>
      <c r="R447" s="928"/>
      <c r="S447" s="928"/>
      <c r="T447" s="928">
        <v>0</v>
      </c>
      <c r="U447" s="928"/>
      <c r="V447" s="928"/>
      <c r="W447" s="928">
        <v>0</v>
      </c>
      <c r="X447" s="928"/>
      <c r="Y447" s="928"/>
      <c r="Z447" s="928">
        <v>0</v>
      </c>
      <c r="AA447" s="928"/>
      <c r="AB447" s="928"/>
      <c r="AC447" s="928">
        <v>0</v>
      </c>
      <c r="AD447" s="928"/>
      <c r="AE447" s="928"/>
      <c r="AF447" s="928">
        <v>0</v>
      </c>
      <c r="AG447" s="928"/>
      <c r="AH447" s="928"/>
      <c r="AI447" s="928">
        <v>0</v>
      </c>
      <c r="AJ447" s="928"/>
      <c r="AK447" s="928"/>
      <c r="AL447" s="928"/>
      <c r="AM447" s="928"/>
      <c r="AN447" s="928"/>
      <c r="AO447" s="928"/>
      <c r="AP447" s="928"/>
      <c r="AQ447" s="928"/>
      <c r="AR447" s="928"/>
      <c r="AS447" s="928"/>
      <c r="AT447" s="928"/>
      <c r="AU447" s="928">
        <v>0</v>
      </c>
      <c r="AV447" s="928"/>
      <c r="AW447" s="928"/>
      <c r="AX447" s="928"/>
      <c r="AY447" s="928"/>
      <c r="AZ447" s="928"/>
      <c r="BA447" s="928">
        <v>0</v>
      </c>
      <c r="BB447" s="928"/>
      <c r="BC447" s="928"/>
      <c r="BD447" s="928">
        <v>0</v>
      </c>
      <c r="BE447" s="928"/>
      <c r="BF447" s="928"/>
      <c r="BG447" s="928"/>
      <c r="BH447" s="928"/>
      <c r="BI447" s="928"/>
      <c r="BJ447" s="928"/>
      <c r="BK447" s="928"/>
      <c r="BL447" s="928"/>
      <c r="BM447" s="928"/>
      <c r="BN447" s="928"/>
      <c r="BO447" s="928"/>
      <c r="BP447" s="928"/>
      <c r="BQ447" s="928"/>
      <c r="BR447" s="928"/>
      <c r="BS447" s="928"/>
      <c r="BT447" s="928"/>
      <c r="BU447" s="928"/>
      <c r="BV447" s="928"/>
      <c r="BW447" s="928"/>
      <c r="BX447" s="928"/>
      <c r="BY447" s="928">
        <v>0</v>
      </c>
      <c r="BZ447" s="928"/>
      <c r="CA447" s="928"/>
      <c r="CB447" s="928">
        <v>0</v>
      </c>
      <c r="CC447" s="928"/>
      <c r="CD447" s="928"/>
      <c r="CE447" s="111">
        <v>10000000</v>
      </c>
      <c r="CF447" s="111">
        <v>7856003</v>
      </c>
      <c r="CG447" s="111">
        <v>7856003</v>
      </c>
      <c r="CH447" s="428"/>
      <c r="CI447" s="428"/>
      <c r="CJ447" s="428"/>
      <c r="CK447" s="928">
        <v>0</v>
      </c>
      <c r="CL447" s="176"/>
      <c r="CM447" s="176"/>
      <c r="CN447" s="176">
        <v>0</v>
      </c>
      <c r="CO447" s="176"/>
      <c r="CP447" s="176"/>
      <c r="CQ447" s="176"/>
      <c r="CR447" s="176"/>
      <c r="CS447" s="176"/>
      <c r="CT447" s="25">
        <f t="shared" ref="CT447:CV448" si="233">Q447+T447+W447+Z447+AC447+AF447+AI447+AL447+AO447+AR447+AU447+AX447+BA447+BD447+BG447+BJ447+BM447+BP447+BS447+BV447+BY447+CB447+CE447+CH447+CK447+CQ447+CN447</f>
        <v>10000000</v>
      </c>
      <c r="CU447" s="25">
        <f t="shared" si="233"/>
        <v>7856003</v>
      </c>
      <c r="CV447" s="25">
        <f t="shared" si="233"/>
        <v>7856003</v>
      </c>
    </row>
    <row r="448" spans="1:100" s="422" customFormat="1" ht="57" x14ac:dyDescent="0.25">
      <c r="A448" s="19"/>
      <c r="B448" s="19"/>
      <c r="C448" s="1033"/>
      <c r="D448" s="1013"/>
      <c r="E448" s="1117"/>
      <c r="F448" s="1117"/>
      <c r="G448" s="29"/>
      <c r="H448" s="929">
        <v>109</v>
      </c>
      <c r="I448" s="928" t="s">
        <v>550</v>
      </c>
      <c r="J448" s="56">
        <v>0</v>
      </c>
      <c r="K448" s="87">
        <v>52</v>
      </c>
      <c r="L448" s="87">
        <v>54</v>
      </c>
      <c r="M448" s="1124"/>
      <c r="N448" s="1019"/>
      <c r="O448" s="1013"/>
      <c r="P448" s="929" t="s">
        <v>38</v>
      </c>
      <c r="Q448" s="928">
        <v>0</v>
      </c>
      <c r="R448" s="928"/>
      <c r="S448" s="928"/>
      <c r="T448" s="928">
        <v>0</v>
      </c>
      <c r="U448" s="928"/>
      <c r="V448" s="928"/>
      <c r="W448" s="928">
        <v>0</v>
      </c>
      <c r="X448" s="928"/>
      <c r="Y448" s="928"/>
      <c r="Z448" s="928">
        <v>0</v>
      </c>
      <c r="AA448" s="928"/>
      <c r="AB448" s="928"/>
      <c r="AC448" s="928">
        <v>0</v>
      </c>
      <c r="AD448" s="928"/>
      <c r="AE448" s="928"/>
      <c r="AF448" s="928">
        <v>0</v>
      </c>
      <c r="AG448" s="928"/>
      <c r="AH448" s="928"/>
      <c r="AI448" s="928">
        <v>0</v>
      </c>
      <c r="AJ448" s="928"/>
      <c r="AK448" s="928"/>
      <c r="AL448" s="928"/>
      <c r="AM448" s="928"/>
      <c r="AN448" s="928"/>
      <c r="AO448" s="928"/>
      <c r="AP448" s="928"/>
      <c r="AQ448" s="928"/>
      <c r="AR448" s="928"/>
      <c r="AS448" s="928"/>
      <c r="AT448" s="928"/>
      <c r="AU448" s="928">
        <v>0</v>
      </c>
      <c r="AV448" s="928"/>
      <c r="AW448" s="928"/>
      <c r="AX448" s="928"/>
      <c r="AY448" s="928"/>
      <c r="AZ448" s="928"/>
      <c r="BA448" s="928">
        <v>0</v>
      </c>
      <c r="BB448" s="928"/>
      <c r="BC448" s="928"/>
      <c r="BD448" s="928">
        <v>0</v>
      </c>
      <c r="BE448" s="928"/>
      <c r="BF448" s="928"/>
      <c r="BG448" s="928"/>
      <c r="BH448" s="928"/>
      <c r="BI448" s="928"/>
      <c r="BJ448" s="928"/>
      <c r="BK448" s="928"/>
      <c r="BL448" s="928"/>
      <c r="BM448" s="928"/>
      <c r="BN448" s="928"/>
      <c r="BO448" s="928"/>
      <c r="BP448" s="928"/>
      <c r="BQ448" s="928"/>
      <c r="BR448" s="928"/>
      <c r="BS448" s="928"/>
      <c r="BT448" s="928"/>
      <c r="BU448" s="928"/>
      <c r="BV448" s="928"/>
      <c r="BW448" s="928"/>
      <c r="BX448" s="928"/>
      <c r="BY448" s="928">
        <v>0</v>
      </c>
      <c r="BZ448" s="928"/>
      <c r="CA448" s="928"/>
      <c r="CB448" s="928">
        <v>0</v>
      </c>
      <c r="CC448" s="928"/>
      <c r="CD448" s="928"/>
      <c r="CE448" s="111">
        <v>70000000</v>
      </c>
      <c r="CF448" s="111">
        <v>19926000</v>
      </c>
      <c r="CG448" s="111">
        <v>19926000</v>
      </c>
      <c r="CH448" s="428"/>
      <c r="CI448" s="428"/>
      <c r="CJ448" s="428"/>
      <c r="CK448" s="928">
        <v>0</v>
      </c>
      <c r="CL448" s="176"/>
      <c r="CM448" s="176"/>
      <c r="CN448" s="176">
        <v>0</v>
      </c>
      <c r="CO448" s="176"/>
      <c r="CP448" s="176"/>
      <c r="CQ448" s="176"/>
      <c r="CR448" s="176"/>
      <c r="CS448" s="176"/>
      <c r="CT448" s="25">
        <f t="shared" si="233"/>
        <v>70000000</v>
      </c>
      <c r="CU448" s="25">
        <f t="shared" si="233"/>
        <v>19926000</v>
      </c>
      <c r="CV448" s="25">
        <f t="shared" si="233"/>
        <v>19926000</v>
      </c>
    </row>
    <row r="449" spans="1:102" s="425" customFormat="1" ht="15" x14ac:dyDescent="0.25">
      <c r="A449" s="19"/>
      <c r="B449" s="19"/>
      <c r="C449" s="927"/>
      <c r="D449" s="928"/>
      <c r="E449" s="79"/>
      <c r="F449" s="79"/>
      <c r="G449" s="154"/>
      <c r="H449" s="155"/>
      <c r="I449" s="154"/>
      <c r="J449" s="396"/>
      <c r="K449" s="411"/>
      <c r="L449" s="411"/>
      <c r="M449" s="411"/>
      <c r="N449" s="157"/>
      <c r="O449" s="154"/>
      <c r="P449" s="155"/>
      <c r="Q449" s="760">
        <f t="shared" ref="Q449:CB449" si="234">SUM(Q447:Q448)</f>
        <v>0</v>
      </c>
      <c r="R449" s="760">
        <f t="shared" si="234"/>
        <v>0</v>
      </c>
      <c r="S449" s="760">
        <f t="shared" si="234"/>
        <v>0</v>
      </c>
      <c r="T449" s="760">
        <f t="shared" si="234"/>
        <v>0</v>
      </c>
      <c r="U449" s="760">
        <f t="shared" si="234"/>
        <v>0</v>
      </c>
      <c r="V449" s="760">
        <f t="shared" si="234"/>
        <v>0</v>
      </c>
      <c r="W449" s="760">
        <f t="shared" si="234"/>
        <v>0</v>
      </c>
      <c r="X449" s="760">
        <f t="shared" si="234"/>
        <v>0</v>
      </c>
      <c r="Y449" s="760">
        <f t="shared" si="234"/>
        <v>0</v>
      </c>
      <c r="Z449" s="760">
        <f t="shared" si="234"/>
        <v>0</v>
      </c>
      <c r="AA449" s="760">
        <f t="shared" si="234"/>
        <v>0</v>
      </c>
      <c r="AB449" s="760">
        <f t="shared" si="234"/>
        <v>0</v>
      </c>
      <c r="AC449" s="760">
        <f t="shared" si="234"/>
        <v>0</v>
      </c>
      <c r="AD449" s="760">
        <f t="shared" si="234"/>
        <v>0</v>
      </c>
      <c r="AE449" s="760">
        <f t="shared" si="234"/>
        <v>0</v>
      </c>
      <c r="AF449" s="760">
        <f t="shared" si="234"/>
        <v>0</v>
      </c>
      <c r="AG449" s="760">
        <f t="shared" si="234"/>
        <v>0</v>
      </c>
      <c r="AH449" s="760">
        <f t="shared" si="234"/>
        <v>0</v>
      </c>
      <c r="AI449" s="760">
        <f t="shared" si="234"/>
        <v>0</v>
      </c>
      <c r="AJ449" s="760">
        <f t="shared" si="234"/>
        <v>0</v>
      </c>
      <c r="AK449" s="760">
        <f t="shared" si="234"/>
        <v>0</v>
      </c>
      <c r="AL449" s="760">
        <f t="shared" si="234"/>
        <v>0</v>
      </c>
      <c r="AM449" s="760">
        <f t="shared" si="234"/>
        <v>0</v>
      </c>
      <c r="AN449" s="760">
        <f t="shared" si="234"/>
        <v>0</v>
      </c>
      <c r="AO449" s="760">
        <f t="shared" si="234"/>
        <v>0</v>
      </c>
      <c r="AP449" s="760">
        <f t="shared" si="234"/>
        <v>0</v>
      </c>
      <c r="AQ449" s="760">
        <f t="shared" si="234"/>
        <v>0</v>
      </c>
      <c r="AR449" s="760">
        <f t="shared" si="234"/>
        <v>0</v>
      </c>
      <c r="AS449" s="760">
        <f t="shared" si="234"/>
        <v>0</v>
      </c>
      <c r="AT449" s="760">
        <f t="shared" si="234"/>
        <v>0</v>
      </c>
      <c r="AU449" s="760">
        <f t="shared" si="234"/>
        <v>0</v>
      </c>
      <c r="AV449" s="760">
        <f t="shared" si="234"/>
        <v>0</v>
      </c>
      <c r="AW449" s="760">
        <f t="shared" si="234"/>
        <v>0</v>
      </c>
      <c r="AX449" s="760">
        <f t="shared" si="234"/>
        <v>0</v>
      </c>
      <c r="AY449" s="760">
        <f t="shared" si="234"/>
        <v>0</v>
      </c>
      <c r="AZ449" s="760">
        <f t="shared" si="234"/>
        <v>0</v>
      </c>
      <c r="BA449" s="760">
        <f t="shared" si="234"/>
        <v>0</v>
      </c>
      <c r="BB449" s="760">
        <f t="shared" si="234"/>
        <v>0</v>
      </c>
      <c r="BC449" s="760">
        <f t="shared" si="234"/>
        <v>0</v>
      </c>
      <c r="BD449" s="760">
        <f t="shared" si="234"/>
        <v>0</v>
      </c>
      <c r="BE449" s="760">
        <f t="shared" si="234"/>
        <v>0</v>
      </c>
      <c r="BF449" s="760">
        <f t="shared" si="234"/>
        <v>0</v>
      </c>
      <c r="BG449" s="760">
        <f t="shared" si="234"/>
        <v>0</v>
      </c>
      <c r="BH449" s="760">
        <f t="shared" si="234"/>
        <v>0</v>
      </c>
      <c r="BI449" s="760">
        <f t="shared" si="234"/>
        <v>0</v>
      </c>
      <c r="BJ449" s="760">
        <f t="shared" si="234"/>
        <v>0</v>
      </c>
      <c r="BK449" s="760">
        <f t="shared" si="234"/>
        <v>0</v>
      </c>
      <c r="BL449" s="760">
        <f t="shared" si="234"/>
        <v>0</v>
      </c>
      <c r="BM449" s="760">
        <f t="shared" si="234"/>
        <v>0</v>
      </c>
      <c r="BN449" s="760">
        <f t="shared" si="234"/>
        <v>0</v>
      </c>
      <c r="BO449" s="760">
        <f t="shared" si="234"/>
        <v>0</v>
      </c>
      <c r="BP449" s="760">
        <f t="shared" si="234"/>
        <v>0</v>
      </c>
      <c r="BQ449" s="760">
        <f t="shared" si="234"/>
        <v>0</v>
      </c>
      <c r="BR449" s="760">
        <f t="shared" si="234"/>
        <v>0</v>
      </c>
      <c r="BS449" s="760">
        <f t="shared" si="234"/>
        <v>0</v>
      </c>
      <c r="BT449" s="760">
        <f t="shared" si="234"/>
        <v>0</v>
      </c>
      <c r="BU449" s="760">
        <f t="shared" si="234"/>
        <v>0</v>
      </c>
      <c r="BV449" s="760">
        <f t="shared" si="234"/>
        <v>0</v>
      </c>
      <c r="BW449" s="760">
        <f t="shared" si="234"/>
        <v>0</v>
      </c>
      <c r="BX449" s="760">
        <f t="shared" si="234"/>
        <v>0</v>
      </c>
      <c r="BY449" s="760">
        <f t="shared" si="234"/>
        <v>0</v>
      </c>
      <c r="BZ449" s="760">
        <f t="shared" si="234"/>
        <v>0</v>
      </c>
      <c r="CA449" s="760">
        <f t="shared" si="234"/>
        <v>0</v>
      </c>
      <c r="CB449" s="760">
        <f t="shared" si="234"/>
        <v>0</v>
      </c>
      <c r="CC449" s="760">
        <f t="shared" ref="CC449:CS449" si="235">SUM(CC447:CC448)</f>
        <v>0</v>
      </c>
      <c r="CD449" s="760">
        <f t="shared" si="235"/>
        <v>0</v>
      </c>
      <c r="CE449" s="760">
        <f t="shared" si="235"/>
        <v>80000000</v>
      </c>
      <c r="CF449" s="760">
        <f t="shared" si="235"/>
        <v>27782003</v>
      </c>
      <c r="CG449" s="760">
        <f t="shared" si="235"/>
        <v>27782003</v>
      </c>
      <c r="CH449" s="760">
        <f t="shared" si="235"/>
        <v>0</v>
      </c>
      <c r="CI449" s="760">
        <f t="shared" si="235"/>
        <v>0</v>
      </c>
      <c r="CJ449" s="760">
        <f t="shared" si="235"/>
        <v>0</v>
      </c>
      <c r="CK449" s="760">
        <f t="shared" si="235"/>
        <v>0</v>
      </c>
      <c r="CL449" s="760">
        <f t="shared" si="235"/>
        <v>0</v>
      </c>
      <c r="CM449" s="760">
        <f t="shared" si="235"/>
        <v>0</v>
      </c>
      <c r="CN449" s="760">
        <f t="shared" si="235"/>
        <v>0</v>
      </c>
      <c r="CO449" s="760">
        <f t="shared" si="235"/>
        <v>0</v>
      </c>
      <c r="CP449" s="760">
        <f t="shared" si="235"/>
        <v>0</v>
      </c>
      <c r="CQ449" s="760">
        <f t="shared" si="235"/>
        <v>0</v>
      </c>
      <c r="CR449" s="760">
        <f t="shared" si="235"/>
        <v>0</v>
      </c>
      <c r="CS449" s="760">
        <f t="shared" si="235"/>
        <v>0</v>
      </c>
      <c r="CT449" s="760">
        <f>SUM(CT447:CT448)</f>
        <v>80000000</v>
      </c>
      <c r="CU449" s="760">
        <f>SUM(CU447:CU448)</f>
        <v>27782003</v>
      </c>
      <c r="CV449" s="760">
        <f>SUM(CV447:CV448)</f>
        <v>27782003</v>
      </c>
    </row>
    <row r="450" spans="1:102" s="425" customFormat="1" ht="15" x14ac:dyDescent="0.25">
      <c r="A450" s="19"/>
      <c r="B450" s="19"/>
      <c r="C450" s="949"/>
      <c r="D450" s="177"/>
      <c r="E450" s="398"/>
      <c r="F450" s="398"/>
      <c r="G450" s="177"/>
      <c r="H450" s="949"/>
      <c r="I450" s="177"/>
      <c r="J450" s="399"/>
      <c r="K450" s="399"/>
      <c r="L450" s="401"/>
      <c r="M450" s="401"/>
      <c r="N450" s="230"/>
      <c r="O450" s="221"/>
      <c r="P450" s="949"/>
      <c r="Q450" s="180"/>
      <c r="R450" s="180"/>
      <c r="S450" s="180"/>
      <c r="T450" s="180"/>
      <c r="U450" s="180"/>
      <c r="V450" s="180"/>
      <c r="W450" s="180"/>
      <c r="X450" s="180"/>
      <c r="Y450" s="180"/>
      <c r="Z450" s="180"/>
      <c r="AA450" s="180"/>
      <c r="AB450" s="180"/>
      <c r="AC450" s="180"/>
      <c r="AD450" s="180"/>
      <c r="AE450" s="180"/>
      <c r="AF450" s="180"/>
      <c r="AG450" s="106"/>
      <c r="AH450" s="106"/>
      <c r="AI450" s="106"/>
      <c r="AJ450" s="106"/>
      <c r="AK450" s="106"/>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c r="BZ450" s="180"/>
      <c r="CA450" s="180"/>
      <c r="CB450" s="180"/>
      <c r="CC450" s="106"/>
      <c r="CD450" s="106"/>
      <c r="CE450" s="286"/>
      <c r="CF450" s="286"/>
      <c r="CG450" s="286"/>
      <c r="CH450" s="106"/>
      <c r="CI450" s="106"/>
      <c r="CJ450" s="106"/>
      <c r="CK450" s="180"/>
      <c r="CL450" s="180"/>
      <c r="CM450" s="180"/>
      <c r="CN450" s="180"/>
      <c r="CO450" s="180"/>
      <c r="CP450" s="180"/>
      <c r="CQ450" s="180"/>
      <c r="CR450" s="180"/>
      <c r="CS450" s="180"/>
      <c r="CT450" s="25"/>
      <c r="CU450" s="761"/>
      <c r="CV450" s="761"/>
    </row>
    <row r="451" spans="1:102" s="425" customFormat="1" ht="15" x14ac:dyDescent="0.25">
      <c r="A451" s="19"/>
      <c r="B451" s="19"/>
      <c r="C451" s="927"/>
      <c r="D451" s="928"/>
      <c r="E451" s="79"/>
      <c r="F451" s="79"/>
      <c r="G451" s="339">
        <v>26</v>
      </c>
      <c r="H451" s="189" t="s">
        <v>551</v>
      </c>
      <c r="I451" s="189"/>
      <c r="J451" s="189"/>
      <c r="K451" s="189"/>
      <c r="L451" s="189"/>
      <c r="M451" s="189"/>
      <c r="N451" s="189"/>
      <c r="O451" s="189"/>
      <c r="P451" s="189"/>
      <c r="Q451" s="189"/>
      <c r="R451" s="922"/>
      <c r="S451" s="922"/>
      <c r="T451" s="189"/>
      <c r="U451" s="189"/>
      <c r="V451" s="189"/>
      <c r="W451" s="189" t="s">
        <v>0</v>
      </c>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c r="BM451" s="189"/>
      <c r="BN451" s="189"/>
      <c r="BO451" s="189"/>
      <c r="BP451" s="189"/>
      <c r="BQ451" s="189"/>
      <c r="BR451" s="189"/>
      <c r="BS451" s="189"/>
      <c r="BT451" s="189"/>
      <c r="BU451" s="189"/>
      <c r="BV451" s="189"/>
      <c r="BW451" s="189"/>
      <c r="BX451" s="189"/>
      <c r="BY451" s="189"/>
      <c r="BZ451" s="189"/>
      <c r="CA451" s="189"/>
      <c r="CB451" s="189"/>
      <c r="CC451" s="189"/>
      <c r="CD451" s="189"/>
      <c r="CE451" s="190"/>
      <c r="CF451" s="190"/>
      <c r="CG451" s="190"/>
      <c r="CH451" s="189"/>
      <c r="CI451" s="189"/>
      <c r="CJ451" s="189"/>
      <c r="CK451" s="189"/>
      <c r="CL451" s="189"/>
      <c r="CM451" s="189"/>
      <c r="CN451" s="189"/>
      <c r="CO451" s="189"/>
      <c r="CP451" s="189"/>
      <c r="CQ451" s="189"/>
      <c r="CR451" s="189"/>
      <c r="CS451" s="189"/>
      <c r="CT451" s="522"/>
      <c r="CU451" s="522"/>
      <c r="CV451" s="522"/>
    </row>
    <row r="452" spans="1:102" s="425" customFormat="1" ht="279.75" customHeight="1" x14ac:dyDescent="0.25">
      <c r="A452" s="19"/>
      <c r="B452" s="19"/>
      <c r="C452" s="927" t="s">
        <v>552</v>
      </c>
      <c r="D452" s="153" t="s">
        <v>553</v>
      </c>
      <c r="E452" s="83" t="s">
        <v>554</v>
      </c>
      <c r="F452" s="83" t="s">
        <v>555</v>
      </c>
      <c r="G452" s="928"/>
      <c r="H452" s="929">
        <v>110</v>
      </c>
      <c r="I452" s="928" t="s">
        <v>556</v>
      </c>
      <c r="J452" s="56">
        <v>180</v>
      </c>
      <c r="K452" s="430">
        <v>200</v>
      </c>
      <c r="L452" s="430">
        <v>268</v>
      </c>
      <c r="M452" s="430" t="s">
        <v>452</v>
      </c>
      <c r="N452" s="36" t="s">
        <v>557</v>
      </c>
      <c r="O452" s="928" t="s">
        <v>558</v>
      </c>
      <c r="P452" s="929" t="s">
        <v>38</v>
      </c>
      <c r="Q452" s="928">
        <v>0</v>
      </c>
      <c r="R452" s="928"/>
      <c r="S452" s="928"/>
      <c r="T452" s="928">
        <v>0</v>
      </c>
      <c r="U452" s="928"/>
      <c r="V452" s="928"/>
      <c r="W452" s="928">
        <v>0</v>
      </c>
      <c r="X452" s="928"/>
      <c r="Y452" s="928"/>
      <c r="Z452" s="928">
        <v>0</v>
      </c>
      <c r="AA452" s="928"/>
      <c r="AB452" s="928"/>
      <c r="AC452" s="928">
        <v>0</v>
      </c>
      <c r="AD452" s="928"/>
      <c r="AE452" s="928"/>
      <c r="AF452" s="928">
        <v>0</v>
      </c>
      <c r="AG452" s="928"/>
      <c r="AH452" s="928"/>
      <c r="AI452" s="928">
        <v>0</v>
      </c>
      <c r="AJ452" s="928"/>
      <c r="AK452" s="928"/>
      <c r="AL452" s="928"/>
      <c r="AM452" s="928"/>
      <c r="AN452" s="928"/>
      <c r="AO452" s="928"/>
      <c r="AP452" s="928"/>
      <c r="AQ452" s="928"/>
      <c r="AR452" s="928"/>
      <c r="AS452" s="928"/>
      <c r="AT452" s="928"/>
      <c r="AU452" s="928">
        <v>0</v>
      </c>
      <c r="AV452" s="928"/>
      <c r="AW452" s="928"/>
      <c r="AX452" s="928"/>
      <c r="AY452" s="928"/>
      <c r="AZ452" s="928"/>
      <c r="BA452" s="928">
        <v>0</v>
      </c>
      <c r="BB452" s="928"/>
      <c r="BC452" s="928"/>
      <c r="BD452" s="928">
        <v>0</v>
      </c>
      <c r="BE452" s="928"/>
      <c r="BF452" s="928"/>
      <c r="BG452" s="431"/>
      <c r="BH452" s="431"/>
      <c r="BI452" s="431"/>
      <c r="BJ452" s="431"/>
      <c r="BK452" s="431"/>
      <c r="BL452" s="431"/>
      <c r="BM452" s="431"/>
      <c r="BN452" s="431"/>
      <c r="BO452" s="431"/>
      <c r="BP452" s="431"/>
      <c r="BQ452" s="431"/>
      <c r="BR452" s="431"/>
      <c r="BS452" s="431"/>
      <c r="BT452" s="431"/>
      <c r="BU452" s="431"/>
      <c r="BV452" s="431">
        <v>488921512</v>
      </c>
      <c r="BW452" s="431">
        <v>205820184</v>
      </c>
      <c r="BX452" s="431">
        <v>205820184</v>
      </c>
      <c r="BY452" s="928">
        <v>0</v>
      </c>
      <c r="BZ452" s="928"/>
      <c r="CA452" s="928"/>
      <c r="CB452" s="928">
        <v>0</v>
      </c>
      <c r="CC452" s="928"/>
      <c r="CD452" s="928"/>
      <c r="CE452" s="432">
        <v>0</v>
      </c>
      <c r="CF452" s="432"/>
      <c r="CG452" s="432"/>
      <c r="CH452" s="242"/>
      <c r="CI452" s="242"/>
      <c r="CJ452" s="242"/>
      <c r="CK452" s="153">
        <v>0</v>
      </c>
      <c r="CL452" s="433"/>
      <c r="CM452" s="433"/>
      <c r="CN452" s="47">
        <v>0</v>
      </c>
      <c r="CO452" s="47"/>
      <c r="CP452" s="47"/>
      <c r="CQ452" s="47">
        <v>0</v>
      </c>
      <c r="CR452" s="47"/>
      <c r="CS452" s="47"/>
      <c r="CT452" s="25">
        <f>Q452+T452+W452+Z452+AC452+AF452+AI452+AL452+AO452+AR452+AU452+AX452+BA452+BD452+BG452+BJ452+BM452+BP452+BS452+BV452+BY452+CB452+CE452+CH452+CK452+CQ452+CN452</f>
        <v>488921512</v>
      </c>
      <c r="CU452" s="25">
        <f>R452+U452+X452+AA452+AD452+AG452+AJ452+AM452+AP452+AS452+AV452+AY452+BB452+BE452+BH452+BK452+BN452+BQ452+BT452+BW452+BZ452+CC452+CF452+CI452+CL452+CR452+CO452</f>
        <v>205820184</v>
      </c>
      <c r="CV452" s="25">
        <f>S452+V452+Y452+AB452+AE452+AH452+AK452+AN452+AQ452+AT452+AW452+AZ452+BC452+BF452+BI452+BL452+BO452+BR452+BU452+BX452+CA452+CD452+CG452+CJ452+CM452+CS452+CP452</f>
        <v>205820184</v>
      </c>
    </row>
    <row r="453" spans="1:102" s="425" customFormat="1" ht="15" x14ac:dyDescent="0.25">
      <c r="A453" s="19"/>
      <c r="B453" s="19"/>
      <c r="C453" s="927"/>
      <c r="D453" s="153"/>
      <c r="E453" s="83"/>
      <c r="F453" s="83"/>
      <c r="G453" s="154"/>
      <c r="H453" s="155"/>
      <c r="I453" s="154"/>
      <c r="J453" s="396"/>
      <c r="K453" s="411"/>
      <c r="L453" s="411"/>
      <c r="M453" s="411"/>
      <c r="N453" s="157"/>
      <c r="O453" s="154"/>
      <c r="P453" s="155"/>
      <c r="Q453" s="154">
        <f>SUM(Q452)</f>
        <v>0</v>
      </c>
      <c r="R453" s="154">
        <f t="shared" ref="R453:CC453" si="236">SUM(R452)</f>
        <v>0</v>
      </c>
      <c r="S453" s="154">
        <f t="shared" si="236"/>
        <v>0</v>
      </c>
      <c r="T453" s="154">
        <f t="shared" si="236"/>
        <v>0</v>
      </c>
      <c r="U453" s="154">
        <f t="shared" si="236"/>
        <v>0</v>
      </c>
      <c r="V453" s="154">
        <f t="shared" si="236"/>
        <v>0</v>
      </c>
      <c r="W453" s="154">
        <f t="shared" si="236"/>
        <v>0</v>
      </c>
      <c r="X453" s="154">
        <f t="shared" si="236"/>
        <v>0</v>
      </c>
      <c r="Y453" s="154">
        <f t="shared" si="236"/>
        <v>0</v>
      </c>
      <c r="Z453" s="154">
        <f t="shared" si="236"/>
        <v>0</v>
      </c>
      <c r="AA453" s="154">
        <f t="shared" si="236"/>
        <v>0</v>
      </c>
      <c r="AB453" s="154">
        <f t="shared" si="236"/>
        <v>0</v>
      </c>
      <c r="AC453" s="154">
        <f t="shared" si="236"/>
        <v>0</v>
      </c>
      <c r="AD453" s="154">
        <f t="shared" si="236"/>
        <v>0</v>
      </c>
      <c r="AE453" s="154">
        <f t="shared" si="236"/>
        <v>0</v>
      </c>
      <c r="AF453" s="154">
        <f t="shared" si="236"/>
        <v>0</v>
      </c>
      <c r="AG453" s="154">
        <f t="shared" si="236"/>
        <v>0</v>
      </c>
      <c r="AH453" s="154">
        <f t="shared" si="236"/>
        <v>0</v>
      </c>
      <c r="AI453" s="154">
        <f t="shared" si="236"/>
        <v>0</v>
      </c>
      <c r="AJ453" s="154">
        <f t="shared" si="236"/>
        <v>0</v>
      </c>
      <c r="AK453" s="154">
        <f t="shared" si="236"/>
        <v>0</v>
      </c>
      <c r="AL453" s="154">
        <f t="shared" si="236"/>
        <v>0</v>
      </c>
      <c r="AM453" s="154">
        <f t="shared" si="236"/>
        <v>0</v>
      </c>
      <c r="AN453" s="154">
        <f t="shared" si="236"/>
        <v>0</v>
      </c>
      <c r="AO453" s="154">
        <f t="shared" si="236"/>
        <v>0</v>
      </c>
      <c r="AP453" s="154">
        <f t="shared" si="236"/>
        <v>0</v>
      </c>
      <c r="AQ453" s="154">
        <f t="shared" si="236"/>
        <v>0</v>
      </c>
      <c r="AR453" s="154">
        <f t="shared" si="236"/>
        <v>0</v>
      </c>
      <c r="AS453" s="154">
        <f t="shared" si="236"/>
        <v>0</v>
      </c>
      <c r="AT453" s="154">
        <f t="shared" si="236"/>
        <v>0</v>
      </c>
      <c r="AU453" s="154">
        <f t="shared" si="236"/>
        <v>0</v>
      </c>
      <c r="AV453" s="154">
        <f t="shared" si="236"/>
        <v>0</v>
      </c>
      <c r="AW453" s="154">
        <f t="shared" si="236"/>
        <v>0</v>
      </c>
      <c r="AX453" s="154">
        <f t="shared" si="236"/>
        <v>0</v>
      </c>
      <c r="AY453" s="154">
        <f t="shared" si="236"/>
        <v>0</v>
      </c>
      <c r="AZ453" s="154">
        <f t="shared" si="236"/>
        <v>0</v>
      </c>
      <c r="BA453" s="154">
        <f t="shared" si="236"/>
        <v>0</v>
      </c>
      <c r="BB453" s="154">
        <f t="shared" si="236"/>
        <v>0</v>
      </c>
      <c r="BC453" s="154">
        <f t="shared" si="236"/>
        <v>0</v>
      </c>
      <c r="BD453" s="154">
        <f t="shared" si="236"/>
        <v>0</v>
      </c>
      <c r="BE453" s="154">
        <f t="shared" si="236"/>
        <v>0</v>
      </c>
      <c r="BF453" s="154">
        <f t="shared" si="236"/>
        <v>0</v>
      </c>
      <c r="BG453" s="154">
        <f t="shared" si="236"/>
        <v>0</v>
      </c>
      <c r="BH453" s="154">
        <f t="shared" si="236"/>
        <v>0</v>
      </c>
      <c r="BI453" s="154">
        <f t="shared" si="236"/>
        <v>0</v>
      </c>
      <c r="BJ453" s="154">
        <f t="shared" si="236"/>
        <v>0</v>
      </c>
      <c r="BK453" s="154">
        <f t="shared" si="236"/>
        <v>0</v>
      </c>
      <c r="BL453" s="154">
        <f t="shared" si="236"/>
        <v>0</v>
      </c>
      <c r="BM453" s="154">
        <f t="shared" si="236"/>
        <v>0</v>
      </c>
      <c r="BN453" s="154">
        <f t="shared" si="236"/>
        <v>0</v>
      </c>
      <c r="BO453" s="154">
        <f t="shared" si="236"/>
        <v>0</v>
      </c>
      <c r="BP453" s="154">
        <f t="shared" si="236"/>
        <v>0</v>
      </c>
      <c r="BQ453" s="154">
        <f t="shared" si="236"/>
        <v>0</v>
      </c>
      <c r="BR453" s="154">
        <f t="shared" si="236"/>
        <v>0</v>
      </c>
      <c r="BS453" s="154">
        <f t="shared" si="236"/>
        <v>0</v>
      </c>
      <c r="BT453" s="154">
        <f t="shared" si="236"/>
        <v>0</v>
      </c>
      <c r="BU453" s="154">
        <f t="shared" si="236"/>
        <v>0</v>
      </c>
      <c r="BV453" s="154">
        <f t="shared" si="236"/>
        <v>488921512</v>
      </c>
      <c r="BW453" s="154">
        <f t="shared" si="236"/>
        <v>205820184</v>
      </c>
      <c r="BX453" s="154">
        <f t="shared" si="236"/>
        <v>205820184</v>
      </c>
      <c r="BY453" s="154">
        <f t="shared" si="236"/>
        <v>0</v>
      </c>
      <c r="BZ453" s="154">
        <f t="shared" si="236"/>
        <v>0</v>
      </c>
      <c r="CA453" s="154">
        <f t="shared" si="236"/>
        <v>0</v>
      </c>
      <c r="CB453" s="154">
        <f t="shared" si="236"/>
        <v>0</v>
      </c>
      <c r="CC453" s="154">
        <f t="shared" si="236"/>
        <v>0</v>
      </c>
      <c r="CD453" s="154">
        <f t="shared" ref="CD453:CS453" si="237">SUM(CD452)</f>
        <v>0</v>
      </c>
      <c r="CE453" s="154">
        <f t="shared" si="237"/>
        <v>0</v>
      </c>
      <c r="CF453" s="154">
        <f t="shared" si="237"/>
        <v>0</v>
      </c>
      <c r="CG453" s="154">
        <f t="shared" si="237"/>
        <v>0</v>
      </c>
      <c r="CH453" s="154">
        <f t="shared" si="237"/>
        <v>0</v>
      </c>
      <c r="CI453" s="154">
        <f t="shared" si="237"/>
        <v>0</v>
      </c>
      <c r="CJ453" s="154">
        <f t="shared" si="237"/>
        <v>0</v>
      </c>
      <c r="CK453" s="154">
        <f t="shared" si="237"/>
        <v>0</v>
      </c>
      <c r="CL453" s="154">
        <f t="shared" si="237"/>
        <v>0</v>
      </c>
      <c r="CM453" s="154">
        <f t="shared" si="237"/>
        <v>0</v>
      </c>
      <c r="CN453" s="154">
        <f t="shared" si="237"/>
        <v>0</v>
      </c>
      <c r="CO453" s="154">
        <f t="shared" si="237"/>
        <v>0</v>
      </c>
      <c r="CP453" s="154">
        <f t="shared" si="237"/>
        <v>0</v>
      </c>
      <c r="CQ453" s="154">
        <f t="shared" si="237"/>
        <v>0</v>
      </c>
      <c r="CR453" s="154">
        <f t="shared" si="237"/>
        <v>0</v>
      </c>
      <c r="CS453" s="154">
        <f t="shared" si="237"/>
        <v>0</v>
      </c>
      <c r="CT453" s="760">
        <f>SUM(CT452)</f>
        <v>488921512</v>
      </c>
      <c r="CU453" s="760">
        <f>SUM(CU452)</f>
        <v>205820184</v>
      </c>
      <c r="CV453" s="760">
        <f>SUM(CV452)</f>
        <v>205820184</v>
      </c>
    </row>
    <row r="454" spans="1:102" s="425" customFormat="1" ht="15" x14ac:dyDescent="0.25">
      <c r="A454" s="19"/>
      <c r="B454" s="19"/>
      <c r="C454" s="949"/>
      <c r="D454" s="177"/>
      <c r="E454" s="398"/>
      <c r="F454" s="398"/>
      <c r="G454" s="177"/>
      <c r="H454" s="949"/>
      <c r="I454" s="177"/>
      <c r="J454" s="399"/>
      <c r="K454" s="399"/>
      <c r="L454" s="401"/>
      <c r="M454" s="401"/>
      <c r="N454" s="230"/>
      <c r="O454" s="221"/>
      <c r="P454" s="949"/>
      <c r="Q454" s="180"/>
      <c r="R454" s="180"/>
      <c r="S454" s="180"/>
      <c r="T454" s="180"/>
      <c r="U454" s="180"/>
      <c r="V454" s="180"/>
      <c r="W454" s="180"/>
      <c r="X454" s="180"/>
      <c r="Y454" s="180"/>
      <c r="Z454" s="180"/>
      <c r="AA454" s="180"/>
      <c r="AB454" s="180"/>
      <c r="AC454" s="180"/>
      <c r="AD454" s="180"/>
      <c r="AE454" s="180"/>
      <c r="AF454" s="180"/>
      <c r="AG454" s="106"/>
      <c r="AH454" s="106"/>
      <c r="AI454" s="106"/>
      <c r="AJ454" s="106"/>
      <c r="AK454" s="106"/>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1"/>
      <c r="BH454" s="181"/>
      <c r="BI454" s="181"/>
      <c r="BJ454" s="181"/>
      <c r="BK454" s="181"/>
      <c r="BL454" s="181"/>
      <c r="BM454" s="181"/>
      <c r="BN454" s="181"/>
      <c r="BO454" s="181"/>
      <c r="BP454" s="181"/>
      <c r="BQ454" s="181"/>
      <c r="BR454" s="181"/>
      <c r="BS454" s="181"/>
      <c r="BT454" s="181"/>
      <c r="BU454" s="181"/>
      <c r="BV454" s="181"/>
      <c r="BW454" s="181"/>
      <c r="BX454" s="181"/>
      <c r="BY454" s="180"/>
      <c r="BZ454" s="180"/>
      <c r="CA454" s="180"/>
      <c r="CB454" s="180"/>
      <c r="CC454" s="106"/>
      <c r="CD454" s="106"/>
      <c r="CE454" s="286"/>
      <c r="CF454" s="286"/>
      <c r="CG454" s="286"/>
      <c r="CH454" s="106"/>
      <c r="CI454" s="106"/>
      <c r="CJ454" s="106"/>
      <c r="CK454" s="180"/>
      <c r="CL454" s="180"/>
      <c r="CM454" s="180"/>
      <c r="CN454" s="180"/>
      <c r="CO454" s="180"/>
      <c r="CP454" s="180"/>
      <c r="CQ454" s="180"/>
      <c r="CR454" s="180"/>
      <c r="CS454" s="180"/>
      <c r="CT454" s="25"/>
      <c r="CU454" s="761"/>
      <c r="CV454" s="761"/>
    </row>
    <row r="455" spans="1:102" s="425" customFormat="1" ht="15" x14ac:dyDescent="0.25">
      <c r="A455" s="19"/>
      <c r="B455" s="19"/>
      <c r="C455" s="927"/>
      <c r="D455" s="928"/>
      <c r="E455" s="79"/>
      <c r="F455" s="79"/>
      <c r="G455" s="339">
        <v>27</v>
      </c>
      <c r="H455" s="189" t="s">
        <v>887</v>
      </c>
      <c r="I455" s="189"/>
      <c r="J455" s="189"/>
      <c r="K455" s="189"/>
      <c r="L455" s="189"/>
      <c r="M455" s="189"/>
      <c r="N455" s="189"/>
      <c r="O455" s="189"/>
      <c r="P455" s="189"/>
      <c r="Q455" s="189"/>
      <c r="R455" s="189"/>
      <c r="S455" s="189"/>
      <c r="T455" s="189"/>
      <c r="U455" s="922"/>
      <c r="V455" s="922"/>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c r="BM455" s="189"/>
      <c r="BN455" s="189"/>
      <c r="BO455" s="189"/>
      <c r="BP455" s="189"/>
      <c r="BQ455" s="189"/>
      <c r="BR455" s="189"/>
      <c r="BS455" s="189"/>
      <c r="BT455" s="189"/>
      <c r="BU455" s="189"/>
      <c r="BV455" s="189"/>
      <c r="BW455" s="189"/>
      <c r="BX455" s="189"/>
      <c r="BY455" s="189"/>
      <c r="BZ455" s="189"/>
      <c r="CA455" s="189"/>
      <c r="CB455" s="189"/>
      <c r="CC455" s="189"/>
      <c r="CD455" s="189"/>
      <c r="CE455" s="190"/>
      <c r="CF455" s="190"/>
      <c r="CG455" s="190"/>
      <c r="CH455" s="189"/>
      <c r="CI455" s="189"/>
      <c r="CJ455" s="189"/>
      <c r="CK455" s="189"/>
      <c r="CL455" s="189"/>
      <c r="CM455" s="189"/>
      <c r="CN455" s="189"/>
      <c r="CO455" s="189"/>
      <c r="CP455" s="189"/>
      <c r="CQ455" s="189"/>
      <c r="CR455" s="189"/>
      <c r="CS455" s="189"/>
      <c r="CT455" s="522"/>
      <c r="CU455" s="522"/>
      <c r="CV455" s="522"/>
    </row>
    <row r="456" spans="1:102" ht="201" customHeight="1" x14ac:dyDescent="0.25">
      <c r="A456" s="19"/>
      <c r="B456" s="19"/>
      <c r="C456" s="927" t="s">
        <v>473</v>
      </c>
      <c r="D456" s="153" t="s">
        <v>474</v>
      </c>
      <c r="E456" s="83" t="s">
        <v>518</v>
      </c>
      <c r="F456" s="83" t="s">
        <v>519</v>
      </c>
      <c r="G456" s="22"/>
      <c r="H456" s="929">
        <v>111</v>
      </c>
      <c r="I456" s="928" t="s">
        <v>559</v>
      </c>
      <c r="J456" s="434">
        <v>1</v>
      </c>
      <c r="K456" s="434">
        <v>1</v>
      </c>
      <c r="L456" s="912">
        <v>100</v>
      </c>
      <c r="M456" s="52" t="s">
        <v>452</v>
      </c>
      <c r="N456" s="36" t="s">
        <v>560</v>
      </c>
      <c r="O456" s="964" t="s">
        <v>561</v>
      </c>
      <c r="P456" s="929" t="s">
        <v>38</v>
      </c>
      <c r="Q456" s="928">
        <v>0</v>
      </c>
      <c r="R456" s="928"/>
      <c r="S456" s="928"/>
      <c r="T456" s="928">
        <v>0</v>
      </c>
      <c r="U456" s="928"/>
      <c r="V456" s="928"/>
      <c r="W456" s="928">
        <v>0</v>
      </c>
      <c r="X456" s="928"/>
      <c r="Y456" s="928"/>
      <c r="Z456" s="928">
        <v>0</v>
      </c>
      <c r="AA456" s="928"/>
      <c r="AB456" s="928"/>
      <c r="AC456" s="928">
        <v>0</v>
      </c>
      <c r="AD456" s="928"/>
      <c r="AE456" s="928"/>
      <c r="AF456" s="928">
        <v>0</v>
      </c>
      <c r="AG456" s="928"/>
      <c r="AH456" s="928"/>
      <c r="AI456" s="928">
        <v>0</v>
      </c>
      <c r="AJ456" s="928"/>
      <c r="AK456" s="928"/>
      <c r="AL456" s="928"/>
      <c r="AM456" s="928"/>
      <c r="AN456" s="928"/>
      <c r="AO456" s="928"/>
      <c r="AP456" s="928"/>
      <c r="AQ456" s="928"/>
      <c r="AR456" s="928"/>
      <c r="AS456" s="928"/>
      <c r="AT456" s="928"/>
      <c r="AU456" s="928">
        <v>0</v>
      </c>
      <c r="AV456" s="928"/>
      <c r="AW456" s="928"/>
      <c r="AX456" s="928"/>
      <c r="AY456" s="928"/>
      <c r="AZ456" s="928"/>
      <c r="BA456" s="928">
        <v>0</v>
      </c>
      <c r="BB456" s="928"/>
      <c r="BC456" s="928"/>
      <c r="BD456" s="928">
        <v>0</v>
      </c>
      <c r="BE456" s="928"/>
      <c r="BF456" s="928"/>
      <c r="BG456" s="435"/>
      <c r="BH456" s="435"/>
      <c r="BI456" s="435"/>
      <c r="BJ456" s="436">
        <v>18840890009</v>
      </c>
      <c r="BK456" s="436">
        <v>18840890009</v>
      </c>
      <c r="BL456" s="436">
        <v>18840890009</v>
      </c>
      <c r="BM456" s="436"/>
      <c r="BN456" s="436"/>
      <c r="BO456" s="436"/>
      <c r="BP456" s="435"/>
      <c r="BQ456" s="435"/>
      <c r="BR456" s="435"/>
      <c r="BS456" s="435"/>
      <c r="BT456" s="435"/>
      <c r="BU456" s="435"/>
      <c r="BV456" s="435"/>
      <c r="BW456" s="435"/>
      <c r="BX456" s="435"/>
      <c r="BY456" s="928">
        <v>0</v>
      </c>
      <c r="BZ456" s="928"/>
      <c r="CA456" s="928"/>
      <c r="CB456" s="928">
        <v>0</v>
      </c>
      <c r="CC456" s="928"/>
      <c r="CD456" s="928"/>
      <c r="CE456" s="432">
        <v>0</v>
      </c>
      <c r="CF456" s="432"/>
      <c r="CG456" s="432"/>
      <c r="CH456" s="242"/>
      <c r="CI456" s="242"/>
      <c r="CJ456" s="242"/>
      <c r="CK456" s="153">
        <v>0</v>
      </c>
      <c r="CL456" s="433"/>
      <c r="CM456" s="433"/>
      <c r="CN456" s="433">
        <v>0</v>
      </c>
      <c r="CO456" s="433"/>
      <c r="CP456" s="433"/>
      <c r="CQ456" s="433"/>
      <c r="CR456" s="433"/>
      <c r="CS456" s="433"/>
      <c r="CT456" s="25">
        <f>Q456+T456+W456+Z456+AC456+AF456+AI456+AL456+AO456+AR456+AU456+AX456+BA456+BD456+BG456+BJ456+BM456+BP456+BS456+BV456+BY456+CB456+CE456+CH456+CK456+CQ456+CN456</f>
        <v>18840890009</v>
      </c>
      <c r="CU456" s="25">
        <f>R456+U456+X456+AA456+AD456+AG456+AJ456+AM456+AP456+AS456+AV456+AY456+BB456+BE456+BH456+BK456+BN456+BQ456+BT456+BW456+BZ456+CC456+CF456+CI456+CL456+CR456+CO456</f>
        <v>18840890009</v>
      </c>
      <c r="CV456" s="25">
        <f>S456+V456+Y456+AB456+AE456+AH456+AK456+AN456+AQ456+AT456+AW456+AZ456+BC456+BF456+BI456+BL456+BO456+BR456+BU456+BX456+CA456+CD456+CG456+CJ456+CM456+CS456+CP456</f>
        <v>18840890009</v>
      </c>
      <c r="CW456" s="778"/>
      <c r="CX456" s="159" t="s">
        <v>0</v>
      </c>
    </row>
    <row r="457" spans="1:102" ht="15" x14ac:dyDescent="0.25">
      <c r="A457" s="19"/>
      <c r="B457" s="19"/>
      <c r="C457" s="927"/>
      <c r="D457" s="153"/>
      <c r="E457" s="79"/>
      <c r="F457" s="79"/>
      <c r="G457" s="154"/>
      <c r="H457" s="155"/>
      <c r="I457" s="154"/>
      <c r="J457" s="437"/>
      <c r="K457" s="437"/>
      <c r="L457" s="437"/>
      <c r="M457" s="437"/>
      <c r="N457" s="157"/>
      <c r="O457" s="154"/>
      <c r="P457" s="155"/>
      <c r="Q457" s="154">
        <f>SUM(Q456:Q456)</f>
        <v>0</v>
      </c>
      <c r="R457" s="154">
        <f>SUM(R456:R456)</f>
        <v>0</v>
      </c>
      <c r="S457" s="154">
        <f>SUM(S456:S456)</f>
        <v>0</v>
      </c>
      <c r="T457" s="154">
        <f>SUM(T456:T456)</f>
        <v>0</v>
      </c>
      <c r="U457" s="154">
        <f t="shared" ref="U457:CF457" si="238">SUM(U456:U456)</f>
        <v>0</v>
      </c>
      <c r="V457" s="154">
        <f t="shared" si="238"/>
        <v>0</v>
      </c>
      <c r="W457" s="154">
        <f t="shared" si="238"/>
        <v>0</v>
      </c>
      <c r="X457" s="154">
        <f t="shared" si="238"/>
        <v>0</v>
      </c>
      <c r="Y457" s="154">
        <f t="shared" si="238"/>
        <v>0</v>
      </c>
      <c r="Z457" s="154">
        <f t="shared" si="238"/>
        <v>0</v>
      </c>
      <c r="AA457" s="154">
        <f t="shared" si="238"/>
        <v>0</v>
      </c>
      <c r="AB457" s="154">
        <f t="shared" si="238"/>
        <v>0</v>
      </c>
      <c r="AC457" s="154">
        <f t="shared" si="238"/>
        <v>0</v>
      </c>
      <c r="AD457" s="154">
        <f t="shared" si="238"/>
        <v>0</v>
      </c>
      <c r="AE457" s="154">
        <f t="shared" si="238"/>
        <v>0</v>
      </c>
      <c r="AF457" s="154">
        <f t="shared" si="238"/>
        <v>0</v>
      </c>
      <c r="AG457" s="154">
        <f t="shared" si="238"/>
        <v>0</v>
      </c>
      <c r="AH457" s="154">
        <f t="shared" si="238"/>
        <v>0</v>
      </c>
      <c r="AI457" s="154">
        <f t="shared" si="238"/>
        <v>0</v>
      </c>
      <c r="AJ457" s="154">
        <f t="shared" si="238"/>
        <v>0</v>
      </c>
      <c r="AK457" s="154">
        <f t="shared" si="238"/>
        <v>0</v>
      </c>
      <c r="AL457" s="154">
        <f t="shared" si="238"/>
        <v>0</v>
      </c>
      <c r="AM457" s="154">
        <f t="shared" si="238"/>
        <v>0</v>
      </c>
      <c r="AN457" s="154">
        <f t="shared" si="238"/>
        <v>0</v>
      </c>
      <c r="AO457" s="154">
        <f t="shared" si="238"/>
        <v>0</v>
      </c>
      <c r="AP457" s="154">
        <f t="shared" si="238"/>
        <v>0</v>
      </c>
      <c r="AQ457" s="154">
        <f t="shared" si="238"/>
        <v>0</v>
      </c>
      <c r="AR457" s="154">
        <f t="shared" si="238"/>
        <v>0</v>
      </c>
      <c r="AS457" s="154">
        <f t="shared" si="238"/>
        <v>0</v>
      </c>
      <c r="AT457" s="154">
        <f t="shared" si="238"/>
        <v>0</v>
      </c>
      <c r="AU457" s="154">
        <f t="shared" si="238"/>
        <v>0</v>
      </c>
      <c r="AV457" s="154">
        <f t="shared" si="238"/>
        <v>0</v>
      </c>
      <c r="AW457" s="154">
        <f t="shared" si="238"/>
        <v>0</v>
      </c>
      <c r="AX457" s="154">
        <f t="shared" si="238"/>
        <v>0</v>
      </c>
      <c r="AY457" s="154">
        <f t="shared" si="238"/>
        <v>0</v>
      </c>
      <c r="AZ457" s="154">
        <f t="shared" si="238"/>
        <v>0</v>
      </c>
      <c r="BA457" s="154">
        <f t="shared" si="238"/>
        <v>0</v>
      </c>
      <c r="BB457" s="154">
        <f t="shared" si="238"/>
        <v>0</v>
      </c>
      <c r="BC457" s="154">
        <f t="shared" si="238"/>
        <v>0</v>
      </c>
      <c r="BD457" s="154">
        <f t="shared" si="238"/>
        <v>0</v>
      </c>
      <c r="BE457" s="154">
        <f t="shared" si="238"/>
        <v>0</v>
      </c>
      <c r="BF457" s="154">
        <f t="shared" si="238"/>
        <v>0</v>
      </c>
      <c r="BG457" s="154">
        <f t="shared" si="238"/>
        <v>0</v>
      </c>
      <c r="BH457" s="154">
        <f t="shared" si="238"/>
        <v>0</v>
      </c>
      <c r="BI457" s="154">
        <f t="shared" si="238"/>
        <v>0</v>
      </c>
      <c r="BJ457" s="154">
        <f t="shared" si="238"/>
        <v>18840890009</v>
      </c>
      <c r="BK457" s="154">
        <f t="shared" si="238"/>
        <v>18840890009</v>
      </c>
      <c r="BL457" s="154">
        <f t="shared" si="238"/>
        <v>18840890009</v>
      </c>
      <c r="BM457" s="154">
        <f t="shared" si="238"/>
        <v>0</v>
      </c>
      <c r="BN457" s="154">
        <f t="shared" si="238"/>
        <v>0</v>
      </c>
      <c r="BO457" s="154">
        <f t="shared" si="238"/>
        <v>0</v>
      </c>
      <c r="BP457" s="154">
        <f t="shared" si="238"/>
        <v>0</v>
      </c>
      <c r="BQ457" s="154">
        <f t="shared" si="238"/>
        <v>0</v>
      </c>
      <c r="BR457" s="154">
        <f t="shared" si="238"/>
        <v>0</v>
      </c>
      <c r="BS457" s="154">
        <f t="shared" si="238"/>
        <v>0</v>
      </c>
      <c r="BT457" s="154">
        <f t="shared" si="238"/>
        <v>0</v>
      </c>
      <c r="BU457" s="154">
        <f t="shared" si="238"/>
        <v>0</v>
      </c>
      <c r="BV457" s="154">
        <f t="shared" si="238"/>
        <v>0</v>
      </c>
      <c r="BW457" s="154">
        <f t="shared" si="238"/>
        <v>0</v>
      </c>
      <c r="BX457" s="154">
        <f t="shared" si="238"/>
        <v>0</v>
      </c>
      <c r="BY457" s="154">
        <f t="shared" si="238"/>
        <v>0</v>
      </c>
      <c r="BZ457" s="154">
        <f t="shared" si="238"/>
        <v>0</v>
      </c>
      <c r="CA457" s="154">
        <f t="shared" si="238"/>
        <v>0</v>
      </c>
      <c r="CB457" s="154">
        <f t="shared" si="238"/>
        <v>0</v>
      </c>
      <c r="CC457" s="154">
        <f t="shared" si="238"/>
        <v>0</v>
      </c>
      <c r="CD457" s="154">
        <f t="shared" si="238"/>
        <v>0</v>
      </c>
      <c r="CE457" s="154">
        <f t="shared" si="238"/>
        <v>0</v>
      </c>
      <c r="CF457" s="154">
        <f t="shared" si="238"/>
        <v>0</v>
      </c>
      <c r="CG457" s="154">
        <f t="shared" ref="CG457:CS457" si="239">SUM(CG456:CG456)</f>
        <v>0</v>
      </c>
      <c r="CH457" s="154">
        <f t="shared" si="239"/>
        <v>0</v>
      </c>
      <c r="CI457" s="154">
        <f t="shared" si="239"/>
        <v>0</v>
      </c>
      <c r="CJ457" s="154">
        <f t="shared" si="239"/>
        <v>0</v>
      </c>
      <c r="CK457" s="154">
        <f t="shared" si="239"/>
        <v>0</v>
      </c>
      <c r="CL457" s="154">
        <f t="shared" si="239"/>
        <v>0</v>
      </c>
      <c r="CM457" s="154">
        <f t="shared" si="239"/>
        <v>0</v>
      </c>
      <c r="CN457" s="154">
        <f t="shared" si="239"/>
        <v>0</v>
      </c>
      <c r="CO457" s="154">
        <f t="shared" si="239"/>
        <v>0</v>
      </c>
      <c r="CP457" s="154">
        <f t="shared" si="239"/>
        <v>0</v>
      </c>
      <c r="CQ457" s="154">
        <f t="shared" si="239"/>
        <v>0</v>
      </c>
      <c r="CR457" s="154">
        <f t="shared" si="239"/>
        <v>0</v>
      </c>
      <c r="CS457" s="154">
        <f t="shared" si="239"/>
        <v>0</v>
      </c>
      <c r="CT457" s="438">
        <f>SUM(CT456:CT456)</f>
        <v>18840890009</v>
      </c>
      <c r="CU457" s="438">
        <f>SUM(CU456:CU456)</f>
        <v>18840890009</v>
      </c>
      <c r="CV457" s="438">
        <f>SUM(CV456:CV456)</f>
        <v>18840890009</v>
      </c>
    </row>
    <row r="458" spans="1:102" ht="15" x14ac:dyDescent="0.25">
      <c r="A458" s="19"/>
      <c r="B458" s="19"/>
      <c r="C458" s="949"/>
      <c r="D458" s="177"/>
      <c r="E458" s="398"/>
      <c r="F458" s="398"/>
      <c r="G458" s="177"/>
      <c r="H458" s="949"/>
      <c r="I458" s="177"/>
      <c r="J458" s="399"/>
      <c r="K458" s="399"/>
      <c r="L458" s="401"/>
      <c r="M458" s="401"/>
      <c r="N458" s="230"/>
      <c r="O458" s="221"/>
      <c r="P458" s="949"/>
      <c r="Q458" s="180"/>
      <c r="R458" s="180"/>
      <c r="S458" s="180"/>
      <c r="T458" s="180"/>
      <c r="U458" s="180"/>
      <c r="V458" s="180"/>
      <c r="W458" s="180"/>
      <c r="X458" s="180"/>
      <c r="Y458" s="180"/>
      <c r="Z458" s="180"/>
      <c r="AA458" s="180"/>
      <c r="AB458" s="180"/>
      <c r="AC458" s="180"/>
      <c r="AD458" s="180"/>
      <c r="AE458" s="180"/>
      <c r="AF458" s="180"/>
      <c r="AG458" s="106"/>
      <c r="AH458" s="106"/>
      <c r="AI458" s="106"/>
      <c r="AJ458" s="106"/>
      <c r="AK458" s="106"/>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c r="BZ458" s="180"/>
      <c r="CA458" s="180"/>
      <c r="CB458" s="180"/>
      <c r="CC458" s="106"/>
      <c r="CD458" s="106"/>
      <c r="CE458" s="286"/>
      <c r="CF458" s="286"/>
      <c r="CG458" s="286"/>
      <c r="CH458" s="106"/>
      <c r="CI458" s="106"/>
      <c r="CJ458" s="106"/>
      <c r="CK458" s="180"/>
      <c r="CL458" s="180"/>
      <c r="CM458" s="180"/>
      <c r="CN458" s="180"/>
      <c r="CO458" s="180"/>
      <c r="CP458" s="180"/>
      <c r="CQ458" s="180"/>
      <c r="CR458" s="180"/>
      <c r="CS458" s="180"/>
      <c r="CT458" s="25"/>
      <c r="CU458" s="516"/>
      <c r="CV458" s="516"/>
      <c r="CW458" s="778"/>
    </row>
    <row r="459" spans="1:102" ht="15" x14ac:dyDescent="0.25">
      <c r="A459" s="19"/>
      <c r="B459" s="19"/>
      <c r="C459" s="927"/>
      <c r="D459" s="928"/>
      <c r="E459" s="79"/>
      <c r="F459" s="79"/>
      <c r="G459" s="339">
        <v>28</v>
      </c>
      <c r="H459" s="189" t="s">
        <v>562</v>
      </c>
      <c r="I459" s="189"/>
      <c r="J459" s="189"/>
      <c r="K459" s="189"/>
      <c r="L459" s="189"/>
      <c r="M459" s="189"/>
      <c r="N459" s="189"/>
      <c r="O459" s="189"/>
      <c r="P459" s="189"/>
      <c r="Q459" s="189"/>
      <c r="R459" s="922"/>
      <c r="S459" s="922"/>
      <c r="T459" s="189"/>
      <c r="U459" s="189"/>
      <c r="V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c r="BM459" s="189"/>
      <c r="BN459" s="189"/>
      <c r="BO459" s="189"/>
      <c r="BP459" s="189"/>
      <c r="BQ459" s="189"/>
      <c r="BR459" s="189"/>
      <c r="BS459" s="189"/>
      <c r="BT459" s="189"/>
      <c r="BU459" s="189"/>
      <c r="BV459" s="189"/>
      <c r="BW459" s="189"/>
      <c r="BX459" s="189"/>
      <c r="BY459" s="189"/>
      <c r="BZ459" s="189"/>
      <c r="CA459" s="189"/>
      <c r="CB459" s="189"/>
      <c r="CC459" s="189"/>
      <c r="CD459" s="189"/>
      <c r="CE459" s="190"/>
      <c r="CF459" s="190"/>
      <c r="CG459" s="190"/>
      <c r="CH459" s="189"/>
      <c r="CI459" s="189"/>
      <c r="CJ459" s="189"/>
      <c r="CK459" s="189"/>
      <c r="CL459" s="189"/>
      <c r="CM459" s="189"/>
      <c r="CN459" s="189"/>
      <c r="CO459" s="189"/>
      <c r="CP459" s="189"/>
      <c r="CQ459" s="189"/>
      <c r="CR459" s="189"/>
      <c r="CS459" s="189"/>
      <c r="CT459" s="522"/>
      <c r="CU459" s="522"/>
      <c r="CV459" s="522"/>
      <c r="CW459" s="778"/>
    </row>
    <row r="460" spans="1:102" ht="96.75" customHeight="1" x14ac:dyDescent="0.25">
      <c r="A460" s="19"/>
      <c r="B460" s="19"/>
      <c r="C460" s="1032" t="s">
        <v>473</v>
      </c>
      <c r="D460" s="1034" t="s">
        <v>474</v>
      </c>
      <c r="E460" s="1116" t="s">
        <v>518</v>
      </c>
      <c r="F460" s="1116" t="s">
        <v>519</v>
      </c>
      <c r="G460" s="22"/>
      <c r="H460" s="929">
        <v>112</v>
      </c>
      <c r="I460" s="928" t="s">
        <v>563</v>
      </c>
      <c r="J460" s="439">
        <v>0</v>
      </c>
      <c r="K460" s="92">
        <v>20</v>
      </c>
      <c r="L460" s="440">
        <v>21</v>
      </c>
      <c r="M460" s="1119">
        <v>1</v>
      </c>
      <c r="N460" s="1121" t="s">
        <v>564</v>
      </c>
      <c r="O460" s="1012" t="s">
        <v>565</v>
      </c>
      <c r="P460" s="929" t="s">
        <v>34</v>
      </c>
      <c r="Q460" s="928">
        <v>0</v>
      </c>
      <c r="R460" s="928"/>
      <c r="S460" s="928"/>
      <c r="T460" s="928">
        <v>0</v>
      </c>
      <c r="U460" s="928"/>
      <c r="V460" s="928"/>
      <c r="W460" s="928">
        <v>0</v>
      </c>
      <c r="X460" s="928"/>
      <c r="Y460" s="928"/>
      <c r="Z460" s="928">
        <v>0</v>
      </c>
      <c r="AA460" s="928"/>
      <c r="AB460" s="928"/>
      <c r="AC460" s="928">
        <v>0</v>
      </c>
      <c r="AD460" s="928"/>
      <c r="AE460" s="928"/>
      <c r="AF460" s="928">
        <v>0</v>
      </c>
      <c r="AG460" s="928"/>
      <c r="AH460" s="928"/>
      <c r="AI460" s="250">
        <v>720000</v>
      </c>
      <c r="AJ460" s="250"/>
      <c r="AK460" s="250"/>
      <c r="AL460" s="928"/>
      <c r="AM460" s="928"/>
      <c r="AN460" s="928"/>
      <c r="AO460" s="928"/>
      <c r="AP460" s="928"/>
      <c r="AQ460" s="928"/>
      <c r="AR460" s="928"/>
      <c r="AS460" s="928"/>
      <c r="AT460" s="928"/>
      <c r="AU460" s="928">
        <v>0</v>
      </c>
      <c r="AV460" s="928"/>
      <c r="AW460" s="928"/>
      <c r="AX460" s="928"/>
      <c r="AY460" s="928"/>
      <c r="AZ460" s="928"/>
      <c r="BA460" s="928">
        <v>0</v>
      </c>
      <c r="BB460" s="928"/>
      <c r="BC460" s="928"/>
      <c r="BD460" s="928">
        <v>0</v>
      </c>
      <c r="BE460" s="928"/>
      <c r="BF460" s="928"/>
      <c r="BG460" s="441"/>
      <c r="BH460" s="441"/>
      <c r="BI460" s="441"/>
      <c r="BJ460" s="441"/>
      <c r="BK460" s="441"/>
      <c r="BL460" s="441"/>
      <c r="BM460" s="441"/>
      <c r="BN460" s="441"/>
      <c r="BO460" s="441"/>
      <c r="BP460" s="441"/>
      <c r="BQ460" s="441"/>
      <c r="BR460" s="441"/>
      <c r="BS460" s="441"/>
      <c r="BT460" s="441"/>
      <c r="BU460" s="441"/>
      <c r="BV460" s="441"/>
      <c r="BW460" s="441"/>
      <c r="BX460" s="441"/>
      <c r="BY460" s="928">
        <v>0</v>
      </c>
      <c r="BZ460" s="928"/>
      <c r="CA460" s="928"/>
      <c r="CB460" s="928">
        <v>0</v>
      </c>
      <c r="CC460" s="928"/>
      <c r="CD460" s="928"/>
      <c r="CE460" s="111">
        <v>30000000</v>
      </c>
      <c r="CF460" s="111">
        <v>16493864</v>
      </c>
      <c r="CG460" s="111">
        <v>16493864</v>
      </c>
      <c r="CH460" s="428"/>
      <c r="CI460" s="428"/>
      <c r="CJ460" s="428"/>
      <c r="CK460" s="153">
        <v>0</v>
      </c>
      <c r="CL460" s="433"/>
      <c r="CM460" s="433"/>
      <c r="CN460" s="433">
        <v>0</v>
      </c>
      <c r="CO460" s="433"/>
      <c r="CP460" s="433"/>
      <c r="CQ460" s="433"/>
      <c r="CR460" s="433"/>
      <c r="CS460" s="433"/>
      <c r="CT460" s="25">
        <f t="shared" ref="CT460:CV461" si="240">Q460+T460+W460+Z460+AC460+AF460+AI460+AL460+AO460+AR460+AU460+AX460+BA460+BD460+BG460+BJ460+BM460+BP460+BS460+BV460+BY460+CB460+CE460+CH460+CK460+CQ460+CN460</f>
        <v>30720000</v>
      </c>
      <c r="CU460" s="25">
        <f t="shared" si="240"/>
        <v>16493864</v>
      </c>
      <c r="CV460" s="25">
        <f t="shared" si="240"/>
        <v>16493864</v>
      </c>
    </row>
    <row r="461" spans="1:102" ht="114.75" customHeight="1" x14ac:dyDescent="0.25">
      <c r="A461" s="19"/>
      <c r="B461" s="19"/>
      <c r="C461" s="1033"/>
      <c r="D461" s="1035"/>
      <c r="E461" s="1117"/>
      <c r="F461" s="1117"/>
      <c r="G461" s="29"/>
      <c r="H461" s="929">
        <v>113</v>
      </c>
      <c r="I461" s="928" t="s">
        <v>566</v>
      </c>
      <c r="J461" s="439">
        <v>0</v>
      </c>
      <c r="K461" s="92">
        <v>3</v>
      </c>
      <c r="L461" s="92">
        <v>3</v>
      </c>
      <c r="M461" s="1120"/>
      <c r="N461" s="1122"/>
      <c r="O461" s="1013"/>
      <c r="P461" s="929" t="s">
        <v>34</v>
      </c>
      <c r="Q461" s="928">
        <v>0</v>
      </c>
      <c r="R461" s="928"/>
      <c r="S461" s="928"/>
      <c r="T461" s="928">
        <v>0</v>
      </c>
      <c r="U461" s="928"/>
      <c r="V461" s="928"/>
      <c r="W461" s="928">
        <v>0</v>
      </c>
      <c r="X461" s="928"/>
      <c r="Y461" s="928"/>
      <c r="Z461" s="928">
        <v>0</v>
      </c>
      <c r="AA461" s="928"/>
      <c r="AB461" s="928"/>
      <c r="AC461" s="928">
        <v>0</v>
      </c>
      <c r="AD461" s="928"/>
      <c r="AE461" s="928"/>
      <c r="AF461" s="928">
        <v>0</v>
      </c>
      <c r="AG461" s="928"/>
      <c r="AH461" s="928"/>
      <c r="AI461" s="25">
        <f>11880000</f>
        <v>11880000</v>
      </c>
      <c r="AJ461" s="25"/>
      <c r="AK461" s="25"/>
      <c r="AL461" s="928"/>
      <c r="AM461" s="928"/>
      <c r="AN461" s="928"/>
      <c r="AO461" s="928"/>
      <c r="AP461" s="928"/>
      <c r="AQ461" s="928"/>
      <c r="AR461" s="928"/>
      <c r="AS461" s="928"/>
      <c r="AT461" s="928"/>
      <c r="AU461" s="928">
        <v>0</v>
      </c>
      <c r="AV461" s="928"/>
      <c r="AW461" s="928"/>
      <c r="AX461" s="928"/>
      <c r="AY461" s="928"/>
      <c r="AZ461" s="928"/>
      <c r="BA461" s="928">
        <v>0</v>
      </c>
      <c r="BB461" s="928"/>
      <c r="BC461" s="928"/>
      <c r="BD461" s="928">
        <v>0</v>
      </c>
      <c r="BE461" s="928"/>
      <c r="BF461" s="928"/>
      <c r="BG461" s="15"/>
      <c r="BH461" s="15"/>
      <c r="BI461" s="15"/>
      <c r="BJ461" s="15"/>
      <c r="BK461" s="15"/>
      <c r="BL461" s="15"/>
      <c r="BM461" s="15"/>
      <c r="BN461" s="15"/>
      <c r="BO461" s="15"/>
      <c r="BP461" s="15"/>
      <c r="BQ461" s="15"/>
      <c r="BR461" s="15"/>
      <c r="BS461" s="15"/>
      <c r="BT461" s="15"/>
      <c r="BU461" s="15"/>
      <c r="BV461" s="15"/>
      <c r="BW461" s="15"/>
      <c r="BX461" s="15"/>
      <c r="BY461" s="928">
        <v>0</v>
      </c>
      <c r="BZ461" s="928"/>
      <c r="CA461" s="928"/>
      <c r="CB461" s="928">
        <v>0</v>
      </c>
      <c r="CC461" s="928"/>
      <c r="CD461" s="928"/>
      <c r="CE461" s="111"/>
      <c r="CF461" s="111"/>
      <c r="CG461" s="111"/>
      <c r="CH461" s="86"/>
      <c r="CI461" s="86"/>
      <c r="CJ461" s="86"/>
      <c r="CK461" s="153">
        <v>0</v>
      </c>
      <c r="CL461" s="433"/>
      <c r="CM461" s="433"/>
      <c r="CN461" s="433">
        <v>0</v>
      </c>
      <c r="CO461" s="433"/>
      <c r="CP461" s="433"/>
      <c r="CQ461" s="433"/>
      <c r="CR461" s="433"/>
      <c r="CS461" s="433"/>
      <c r="CT461" s="25">
        <f t="shared" si="240"/>
        <v>11880000</v>
      </c>
      <c r="CU461" s="25">
        <f t="shared" si="240"/>
        <v>0</v>
      </c>
      <c r="CV461" s="25">
        <f t="shared" si="240"/>
        <v>0</v>
      </c>
    </row>
    <row r="462" spans="1:102" s="447" customFormat="1" ht="20.25" x14ac:dyDescent="0.25">
      <c r="A462" s="442"/>
      <c r="B462" s="443"/>
      <c r="C462" s="927"/>
      <c r="D462" s="444"/>
      <c r="E462" s="445"/>
      <c r="F462" s="445"/>
      <c r="G462" s="429"/>
      <c r="H462" s="155"/>
      <c r="I462" s="429"/>
      <c r="J462" s="438"/>
      <c r="K462" s="446"/>
      <c r="L462" s="446"/>
      <c r="M462" s="446"/>
      <c r="N462" s="157"/>
      <c r="O462" s="429"/>
      <c r="P462" s="429"/>
      <c r="Q462" s="429">
        <f>SUM(Q460:Q461)</f>
        <v>0</v>
      </c>
      <c r="R462" s="429">
        <f t="shared" ref="R462:CC462" si="241">SUM(R460:R461)</f>
        <v>0</v>
      </c>
      <c r="S462" s="429">
        <f t="shared" si="241"/>
        <v>0</v>
      </c>
      <c r="T462" s="429">
        <f t="shared" si="241"/>
        <v>0</v>
      </c>
      <c r="U462" s="429">
        <f t="shared" si="241"/>
        <v>0</v>
      </c>
      <c r="V462" s="429">
        <f t="shared" si="241"/>
        <v>0</v>
      </c>
      <c r="W462" s="429">
        <f t="shared" si="241"/>
        <v>0</v>
      </c>
      <c r="X462" s="429">
        <f t="shared" si="241"/>
        <v>0</v>
      </c>
      <c r="Y462" s="429">
        <f t="shared" si="241"/>
        <v>0</v>
      </c>
      <c r="Z462" s="429">
        <f t="shared" si="241"/>
        <v>0</v>
      </c>
      <c r="AA462" s="429">
        <f t="shared" si="241"/>
        <v>0</v>
      </c>
      <c r="AB462" s="429">
        <f t="shared" si="241"/>
        <v>0</v>
      </c>
      <c r="AC462" s="429">
        <f t="shared" si="241"/>
        <v>0</v>
      </c>
      <c r="AD462" s="429">
        <f t="shared" si="241"/>
        <v>0</v>
      </c>
      <c r="AE462" s="429">
        <f t="shared" si="241"/>
        <v>0</v>
      </c>
      <c r="AF462" s="429">
        <f t="shared" si="241"/>
        <v>0</v>
      </c>
      <c r="AG462" s="429">
        <f t="shared" si="241"/>
        <v>0</v>
      </c>
      <c r="AH462" s="429">
        <f t="shared" si="241"/>
        <v>0</v>
      </c>
      <c r="AI462" s="429">
        <f t="shared" si="241"/>
        <v>12600000</v>
      </c>
      <c r="AJ462" s="429">
        <f t="shared" si="241"/>
        <v>0</v>
      </c>
      <c r="AK462" s="429">
        <f t="shared" si="241"/>
        <v>0</v>
      </c>
      <c r="AL462" s="429">
        <f t="shared" si="241"/>
        <v>0</v>
      </c>
      <c r="AM462" s="429">
        <f t="shared" si="241"/>
        <v>0</v>
      </c>
      <c r="AN462" s="429">
        <f t="shared" si="241"/>
        <v>0</v>
      </c>
      <c r="AO462" s="429">
        <f t="shared" si="241"/>
        <v>0</v>
      </c>
      <c r="AP462" s="429">
        <f t="shared" si="241"/>
        <v>0</v>
      </c>
      <c r="AQ462" s="429">
        <f t="shared" si="241"/>
        <v>0</v>
      </c>
      <c r="AR462" s="429">
        <f t="shared" si="241"/>
        <v>0</v>
      </c>
      <c r="AS462" s="429">
        <f t="shared" si="241"/>
        <v>0</v>
      </c>
      <c r="AT462" s="429">
        <f t="shared" si="241"/>
        <v>0</v>
      </c>
      <c r="AU462" s="429">
        <f t="shared" si="241"/>
        <v>0</v>
      </c>
      <c r="AV462" s="429">
        <f t="shared" si="241"/>
        <v>0</v>
      </c>
      <c r="AW462" s="429">
        <f t="shared" si="241"/>
        <v>0</v>
      </c>
      <c r="AX462" s="429">
        <f t="shared" si="241"/>
        <v>0</v>
      </c>
      <c r="AY462" s="429">
        <f t="shared" si="241"/>
        <v>0</v>
      </c>
      <c r="AZ462" s="429">
        <f t="shared" si="241"/>
        <v>0</v>
      </c>
      <c r="BA462" s="429">
        <f t="shared" si="241"/>
        <v>0</v>
      </c>
      <c r="BB462" s="429">
        <f t="shared" si="241"/>
        <v>0</v>
      </c>
      <c r="BC462" s="429">
        <f t="shared" si="241"/>
        <v>0</v>
      </c>
      <c r="BD462" s="429">
        <f t="shared" si="241"/>
        <v>0</v>
      </c>
      <c r="BE462" s="429">
        <f t="shared" si="241"/>
        <v>0</v>
      </c>
      <c r="BF462" s="429">
        <f t="shared" si="241"/>
        <v>0</v>
      </c>
      <c r="BG462" s="429">
        <f t="shared" si="241"/>
        <v>0</v>
      </c>
      <c r="BH462" s="429">
        <f t="shared" si="241"/>
        <v>0</v>
      </c>
      <c r="BI462" s="429">
        <f t="shared" si="241"/>
        <v>0</v>
      </c>
      <c r="BJ462" s="429">
        <f t="shared" si="241"/>
        <v>0</v>
      </c>
      <c r="BK462" s="429">
        <f t="shared" si="241"/>
        <v>0</v>
      </c>
      <c r="BL462" s="429">
        <f t="shared" si="241"/>
        <v>0</v>
      </c>
      <c r="BM462" s="429">
        <f t="shared" si="241"/>
        <v>0</v>
      </c>
      <c r="BN462" s="429">
        <f t="shared" si="241"/>
        <v>0</v>
      </c>
      <c r="BO462" s="429">
        <f t="shared" si="241"/>
        <v>0</v>
      </c>
      <c r="BP462" s="429">
        <f t="shared" si="241"/>
        <v>0</v>
      </c>
      <c r="BQ462" s="429">
        <f t="shared" si="241"/>
        <v>0</v>
      </c>
      <c r="BR462" s="429">
        <f t="shared" si="241"/>
        <v>0</v>
      </c>
      <c r="BS462" s="429">
        <f t="shared" si="241"/>
        <v>0</v>
      </c>
      <c r="BT462" s="429">
        <f t="shared" si="241"/>
        <v>0</v>
      </c>
      <c r="BU462" s="429">
        <f t="shared" si="241"/>
        <v>0</v>
      </c>
      <c r="BV462" s="429">
        <f t="shared" si="241"/>
        <v>0</v>
      </c>
      <c r="BW462" s="429">
        <f t="shared" si="241"/>
        <v>0</v>
      </c>
      <c r="BX462" s="429">
        <f t="shared" si="241"/>
        <v>0</v>
      </c>
      <c r="BY462" s="429">
        <f t="shared" si="241"/>
        <v>0</v>
      </c>
      <c r="BZ462" s="429">
        <f t="shared" si="241"/>
        <v>0</v>
      </c>
      <c r="CA462" s="429">
        <f t="shared" si="241"/>
        <v>0</v>
      </c>
      <c r="CB462" s="429">
        <f t="shared" si="241"/>
        <v>0</v>
      </c>
      <c r="CC462" s="429">
        <f t="shared" si="241"/>
        <v>0</v>
      </c>
      <c r="CD462" s="429">
        <f t="shared" ref="CD462:CS462" si="242">SUM(CD460:CD461)</f>
        <v>0</v>
      </c>
      <c r="CE462" s="429">
        <f t="shared" si="242"/>
        <v>30000000</v>
      </c>
      <c r="CF462" s="429">
        <f t="shared" si="242"/>
        <v>16493864</v>
      </c>
      <c r="CG462" s="429">
        <f t="shared" si="242"/>
        <v>16493864</v>
      </c>
      <c r="CH462" s="429">
        <f t="shared" si="242"/>
        <v>0</v>
      </c>
      <c r="CI462" s="429">
        <f t="shared" si="242"/>
        <v>0</v>
      </c>
      <c r="CJ462" s="429">
        <f t="shared" si="242"/>
        <v>0</v>
      </c>
      <c r="CK462" s="429">
        <f t="shared" si="242"/>
        <v>0</v>
      </c>
      <c r="CL462" s="429">
        <f t="shared" si="242"/>
        <v>0</v>
      </c>
      <c r="CM462" s="429">
        <f t="shared" si="242"/>
        <v>0</v>
      </c>
      <c r="CN462" s="429">
        <f t="shared" si="242"/>
        <v>0</v>
      </c>
      <c r="CO462" s="429">
        <f t="shared" si="242"/>
        <v>0</v>
      </c>
      <c r="CP462" s="429">
        <f t="shared" si="242"/>
        <v>0</v>
      </c>
      <c r="CQ462" s="429">
        <f t="shared" si="242"/>
        <v>0</v>
      </c>
      <c r="CR462" s="429">
        <f t="shared" si="242"/>
        <v>0</v>
      </c>
      <c r="CS462" s="429">
        <f t="shared" si="242"/>
        <v>0</v>
      </c>
      <c r="CT462" s="762">
        <f>SUM(CT460:CT461)</f>
        <v>42600000</v>
      </c>
      <c r="CU462" s="429">
        <f>SUM(CU460:CU461)</f>
        <v>16493864</v>
      </c>
      <c r="CV462" s="429">
        <f>SUM(CV460:CV461)</f>
        <v>16493864</v>
      </c>
    </row>
    <row r="463" spans="1:102" s="452" customFormat="1" ht="15" x14ac:dyDescent="0.25">
      <c r="A463" s="442"/>
      <c r="B463" s="448"/>
      <c r="C463" s="162"/>
      <c r="D463" s="449"/>
      <c r="E463" s="449"/>
      <c r="F463" s="449"/>
      <c r="G463" s="449"/>
      <c r="H463" s="162"/>
      <c r="I463" s="449"/>
      <c r="J463" s="450"/>
      <c r="K463" s="451"/>
      <c r="L463" s="451"/>
      <c r="M463" s="451"/>
      <c r="N463" s="164"/>
      <c r="O463" s="449"/>
      <c r="P463" s="449"/>
      <c r="Q463" s="449">
        <f>Q462+Q457+Q453+Q449</f>
        <v>0</v>
      </c>
      <c r="R463" s="449">
        <f t="shared" ref="R463:CC463" si="243">R462+R457+R453+R449</f>
        <v>0</v>
      </c>
      <c r="S463" s="449">
        <f t="shared" si="243"/>
        <v>0</v>
      </c>
      <c r="T463" s="449">
        <f t="shared" si="243"/>
        <v>0</v>
      </c>
      <c r="U463" s="449">
        <f t="shared" si="243"/>
        <v>0</v>
      </c>
      <c r="V463" s="449">
        <f t="shared" si="243"/>
        <v>0</v>
      </c>
      <c r="W463" s="449">
        <f t="shared" si="243"/>
        <v>0</v>
      </c>
      <c r="X463" s="449">
        <f t="shared" si="243"/>
        <v>0</v>
      </c>
      <c r="Y463" s="449">
        <f t="shared" si="243"/>
        <v>0</v>
      </c>
      <c r="Z463" s="449">
        <f t="shared" si="243"/>
        <v>0</v>
      </c>
      <c r="AA463" s="449">
        <f t="shared" si="243"/>
        <v>0</v>
      </c>
      <c r="AB463" s="449">
        <f t="shared" si="243"/>
        <v>0</v>
      </c>
      <c r="AC463" s="449">
        <f t="shared" si="243"/>
        <v>0</v>
      </c>
      <c r="AD463" s="449">
        <f t="shared" si="243"/>
        <v>0</v>
      </c>
      <c r="AE463" s="449">
        <f t="shared" si="243"/>
        <v>0</v>
      </c>
      <c r="AF463" s="449">
        <f t="shared" si="243"/>
        <v>0</v>
      </c>
      <c r="AG463" s="449">
        <f t="shared" si="243"/>
        <v>0</v>
      </c>
      <c r="AH463" s="449">
        <f t="shared" si="243"/>
        <v>0</v>
      </c>
      <c r="AI463" s="449">
        <f t="shared" si="243"/>
        <v>12600000</v>
      </c>
      <c r="AJ463" s="449">
        <f t="shared" si="243"/>
        <v>0</v>
      </c>
      <c r="AK463" s="449">
        <f t="shared" si="243"/>
        <v>0</v>
      </c>
      <c r="AL463" s="449">
        <f t="shared" si="243"/>
        <v>0</v>
      </c>
      <c r="AM463" s="449">
        <f t="shared" si="243"/>
        <v>0</v>
      </c>
      <c r="AN463" s="449">
        <f t="shared" si="243"/>
        <v>0</v>
      </c>
      <c r="AO463" s="449">
        <f t="shared" si="243"/>
        <v>0</v>
      </c>
      <c r="AP463" s="449">
        <f t="shared" si="243"/>
        <v>0</v>
      </c>
      <c r="AQ463" s="449">
        <f t="shared" si="243"/>
        <v>0</v>
      </c>
      <c r="AR463" s="449">
        <f t="shared" si="243"/>
        <v>0</v>
      </c>
      <c r="AS463" s="449">
        <f t="shared" si="243"/>
        <v>0</v>
      </c>
      <c r="AT463" s="449">
        <f t="shared" si="243"/>
        <v>0</v>
      </c>
      <c r="AU463" s="449">
        <f t="shared" si="243"/>
        <v>0</v>
      </c>
      <c r="AV463" s="449">
        <f t="shared" si="243"/>
        <v>0</v>
      </c>
      <c r="AW463" s="449">
        <f t="shared" si="243"/>
        <v>0</v>
      </c>
      <c r="AX463" s="449">
        <f t="shared" si="243"/>
        <v>0</v>
      </c>
      <c r="AY463" s="449">
        <f t="shared" si="243"/>
        <v>0</v>
      </c>
      <c r="AZ463" s="449">
        <f t="shared" si="243"/>
        <v>0</v>
      </c>
      <c r="BA463" s="449">
        <f t="shared" si="243"/>
        <v>0</v>
      </c>
      <c r="BB463" s="449">
        <f t="shared" si="243"/>
        <v>0</v>
      </c>
      <c r="BC463" s="449">
        <f t="shared" si="243"/>
        <v>0</v>
      </c>
      <c r="BD463" s="449">
        <f t="shared" si="243"/>
        <v>0</v>
      </c>
      <c r="BE463" s="449">
        <f t="shared" si="243"/>
        <v>0</v>
      </c>
      <c r="BF463" s="449">
        <f t="shared" si="243"/>
        <v>0</v>
      </c>
      <c r="BG463" s="449">
        <f t="shared" si="243"/>
        <v>0</v>
      </c>
      <c r="BH463" s="449">
        <f t="shared" si="243"/>
        <v>0</v>
      </c>
      <c r="BI463" s="449">
        <f t="shared" si="243"/>
        <v>0</v>
      </c>
      <c r="BJ463" s="449">
        <f t="shared" si="243"/>
        <v>18840890009</v>
      </c>
      <c r="BK463" s="449">
        <f t="shared" si="243"/>
        <v>18840890009</v>
      </c>
      <c r="BL463" s="449">
        <f t="shared" si="243"/>
        <v>18840890009</v>
      </c>
      <c r="BM463" s="449">
        <f t="shared" si="243"/>
        <v>0</v>
      </c>
      <c r="BN463" s="449">
        <f t="shared" si="243"/>
        <v>0</v>
      </c>
      <c r="BO463" s="449">
        <f t="shared" si="243"/>
        <v>0</v>
      </c>
      <c r="BP463" s="449">
        <f t="shared" si="243"/>
        <v>0</v>
      </c>
      <c r="BQ463" s="449">
        <f t="shared" si="243"/>
        <v>0</v>
      </c>
      <c r="BR463" s="449">
        <f t="shared" si="243"/>
        <v>0</v>
      </c>
      <c r="BS463" s="449">
        <f t="shared" si="243"/>
        <v>0</v>
      </c>
      <c r="BT463" s="449">
        <f t="shared" si="243"/>
        <v>0</v>
      </c>
      <c r="BU463" s="449">
        <f t="shared" si="243"/>
        <v>0</v>
      </c>
      <c r="BV463" s="449">
        <f t="shared" si="243"/>
        <v>488921512</v>
      </c>
      <c r="BW463" s="449">
        <f t="shared" si="243"/>
        <v>205820184</v>
      </c>
      <c r="BX463" s="449">
        <f t="shared" si="243"/>
        <v>205820184</v>
      </c>
      <c r="BY463" s="449">
        <f t="shared" si="243"/>
        <v>0</v>
      </c>
      <c r="BZ463" s="449">
        <f t="shared" si="243"/>
        <v>0</v>
      </c>
      <c r="CA463" s="449">
        <f t="shared" si="243"/>
        <v>0</v>
      </c>
      <c r="CB463" s="449">
        <f t="shared" si="243"/>
        <v>0</v>
      </c>
      <c r="CC463" s="449">
        <f t="shared" si="243"/>
        <v>0</v>
      </c>
      <c r="CD463" s="449">
        <f t="shared" ref="CD463:CS463" si="244">CD462+CD457+CD453+CD449</f>
        <v>0</v>
      </c>
      <c r="CE463" s="449">
        <f t="shared" si="244"/>
        <v>110000000</v>
      </c>
      <c r="CF463" s="449">
        <f t="shared" si="244"/>
        <v>44275867</v>
      </c>
      <c r="CG463" s="449">
        <f t="shared" si="244"/>
        <v>44275867</v>
      </c>
      <c r="CH463" s="449">
        <f t="shared" si="244"/>
        <v>0</v>
      </c>
      <c r="CI463" s="449">
        <f t="shared" si="244"/>
        <v>0</v>
      </c>
      <c r="CJ463" s="449">
        <f t="shared" si="244"/>
        <v>0</v>
      </c>
      <c r="CK463" s="449">
        <f t="shared" si="244"/>
        <v>0</v>
      </c>
      <c r="CL463" s="449">
        <f t="shared" si="244"/>
        <v>0</v>
      </c>
      <c r="CM463" s="449">
        <f t="shared" si="244"/>
        <v>0</v>
      </c>
      <c r="CN463" s="449">
        <f t="shared" si="244"/>
        <v>0</v>
      </c>
      <c r="CO463" s="449">
        <f t="shared" si="244"/>
        <v>0</v>
      </c>
      <c r="CP463" s="449">
        <f t="shared" si="244"/>
        <v>0</v>
      </c>
      <c r="CQ463" s="449">
        <f t="shared" si="244"/>
        <v>0</v>
      </c>
      <c r="CR463" s="449">
        <f t="shared" si="244"/>
        <v>0</v>
      </c>
      <c r="CS463" s="449">
        <f t="shared" si="244"/>
        <v>0</v>
      </c>
      <c r="CT463" s="449">
        <f>CT462+CT457+CT453+CT449</f>
        <v>19452411521</v>
      </c>
      <c r="CU463" s="449">
        <f>CU462+CU457+CU453+CU449</f>
        <v>19090986060</v>
      </c>
      <c r="CV463" s="449">
        <f>CV462+CV457+CV453+CV449</f>
        <v>19090986060</v>
      </c>
    </row>
    <row r="464" spans="1:102" ht="15" x14ac:dyDescent="0.25">
      <c r="A464" s="19"/>
      <c r="B464" s="177"/>
      <c r="C464" s="949"/>
      <c r="D464" s="177"/>
      <c r="E464" s="398"/>
      <c r="F464" s="398"/>
      <c r="G464" s="177"/>
      <c r="H464" s="949"/>
      <c r="I464" s="177"/>
      <c r="J464" s="399"/>
      <c r="K464" s="399"/>
      <c r="L464" s="401"/>
      <c r="M464" s="401"/>
      <c r="N464" s="230"/>
      <c r="O464" s="221"/>
      <c r="P464" s="949"/>
      <c r="Q464" s="180"/>
      <c r="R464" s="180"/>
      <c r="S464" s="180"/>
      <c r="T464" s="180"/>
      <c r="U464" s="180"/>
      <c r="V464" s="180"/>
      <c r="W464" s="180"/>
      <c r="X464" s="180"/>
      <c r="Y464" s="180"/>
      <c r="Z464" s="180"/>
      <c r="AA464" s="180"/>
      <c r="AB464" s="180"/>
      <c r="AC464" s="180"/>
      <c r="AD464" s="180"/>
      <c r="AE464" s="180"/>
      <c r="AF464" s="180"/>
      <c r="AG464" s="106"/>
      <c r="AH464" s="106"/>
      <c r="AI464" s="106"/>
      <c r="AJ464" s="106"/>
      <c r="AK464" s="106"/>
      <c r="AL464" s="180"/>
      <c r="AM464" s="180"/>
      <c r="AN464" s="180"/>
      <c r="AO464" s="180"/>
      <c r="AP464" s="180"/>
      <c r="AQ464" s="180"/>
      <c r="AR464" s="180"/>
      <c r="AS464" s="180"/>
      <c r="AT464" s="180"/>
      <c r="AU464" s="180"/>
      <c r="AV464" s="180"/>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0"/>
      <c r="BS464" s="180"/>
      <c r="BT464" s="180"/>
      <c r="BU464" s="180"/>
      <c r="BV464" s="180"/>
      <c r="BW464" s="180"/>
      <c r="BX464" s="180"/>
      <c r="BY464" s="180"/>
      <c r="BZ464" s="180"/>
      <c r="CA464" s="180"/>
      <c r="CB464" s="180"/>
      <c r="CC464" s="106"/>
      <c r="CD464" s="106"/>
      <c r="CE464" s="286"/>
      <c r="CF464" s="286"/>
      <c r="CG464" s="286"/>
      <c r="CH464" s="106"/>
      <c r="CI464" s="106"/>
      <c r="CJ464" s="106"/>
      <c r="CK464" s="180"/>
      <c r="CL464" s="180"/>
      <c r="CM464" s="180"/>
      <c r="CN464" s="180"/>
      <c r="CO464" s="180"/>
      <c r="CP464" s="180"/>
      <c r="CQ464" s="180"/>
      <c r="CR464" s="180"/>
      <c r="CS464" s="180"/>
      <c r="CT464" s="25"/>
      <c r="CU464" s="516"/>
      <c r="CV464" s="516"/>
    </row>
    <row r="465" spans="1:100" ht="15" x14ac:dyDescent="0.25">
      <c r="A465" s="19"/>
      <c r="B465" s="239">
        <v>16</v>
      </c>
      <c r="C465" s="145" t="s">
        <v>567</v>
      </c>
      <c r="D465" s="146"/>
      <c r="E465" s="146"/>
      <c r="F465" s="146"/>
      <c r="G465" s="146"/>
      <c r="H465" s="147"/>
      <c r="I465" s="146"/>
      <c r="J465" s="146"/>
      <c r="K465" s="146"/>
      <c r="L465" s="146"/>
      <c r="M465" s="146"/>
      <c r="N465" s="677"/>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c r="BI465" s="146"/>
      <c r="BJ465" s="146"/>
      <c r="BK465" s="146"/>
      <c r="BL465" s="146"/>
      <c r="BM465" s="146"/>
      <c r="BN465" s="146"/>
      <c r="BO465" s="146"/>
      <c r="BP465" s="146"/>
      <c r="BQ465" s="146"/>
      <c r="BR465" s="146"/>
      <c r="BS465" s="146"/>
      <c r="BT465" s="146"/>
      <c r="BU465" s="146"/>
      <c r="BV465" s="146"/>
      <c r="BW465" s="146"/>
      <c r="BX465" s="146"/>
      <c r="BY465" s="146"/>
      <c r="BZ465" s="146"/>
      <c r="CA465" s="146"/>
      <c r="CB465" s="146"/>
      <c r="CC465" s="146"/>
      <c r="CD465" s="146"/>
      <c r="CE465" s="148"/>
      <c r="CF465" s="148"/>
      <c r="CG465" s="148"/>
      <c r="CH465" s="146"/>
      <c r="CI465" s="146"/>
      <c r="CJ465" s="146"/>
      <c r="CK465" s="146"/>
      <c r="CL465" s="146"/>
      <c r="CM465" s="146"/>
      <c r="CN465" s="146"/>
      <c r="CO465" s="146"/>
      <c r="CP465" s="146"/>
      <c r="CQ465" s="146"/>
      <c r="CR465" s="146"/>
      <c r="CS465" s="146"/>
      <c r="CT465" s="526"/>
      <c r="CU465" s="526"/>
      <c r="CV465" s="526"/>
    </row>
    <row r="466" spans="1:100" ht="15" x14ac:dyDescent="0.25">
      <c r="A466" s="19"/>
      <c r="B466" s="185"/>
      <c r="C466" s="949"/>
      <c r="D466" s="177"/>
      <c r="E466" s="949"/>
      <c r="F466" s="927"/>
      <c r="G466" s="339">
        <v>57</v>
      </c>
      <c r="H466" s="189" t="s">
        <v>568</v>
      </c>
      <c r="I466" s="189"/>
      <c r="J466" s="189"/>
      <c r="K466" s="189"/>
      <c r="L466" s="189"/>
      <c r="M466" s="189"/>
      <c r="N466" s="189"/>
      <c r="O466" s="189"/>
      <c r="P466" s="189"/>
      <c r="Q466" s="189"/>
      <c r="R466" s="922"/>
      <c r="S466" s="922"/>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c r="BO466" s="189"/>
      <c r="BP466" s="189"/>
      <c r="BQ466" s="189"/>
      <c r="BR466" s="189"/>
      <c r="BS466" s="189"/>
      <c r="BT466" s="189"/>
      <c r="BU466" s="189"/>
      <c r="BV466" s="189"/>
      <c r="BW466" s="189"/>
      <c r="BX466" s="189"/>
      <c r="BY466" s="189"/>
      <c r="BZ466" s="189"/>
      <c r="CA466" s="189"/>
      <c r="CB466" s="189"/>
      <c r="CC466" s="189"/>
      <c r="CD466" s="189"/>
      <c r="CE466" s="190"/>
      <c r="CF466" s="190"/>
      <c r="CG466" s="190"/>
      <c r="CH466" s="189"/>
      <c r="CI466" s="189"/>
      <c r="CJ466" s="189"/>
      <c r="CK466" s="189"/>
      <c r="CL466" s="189"/>
      <c r="CM466" s="189"/>
      <c r="CN466" s="189"/>
      <c r="CO466" s="189"/>
      <c r="CP466" s="189"/>
      <c r="CQ466" s="189"/>
      <c r="CR466" s="189"/>
      <c r="CS466" s="189"/>
      <c r="CT466" s="522"/>
      <c r="CU466" s="522"/>
      <c r="CV466" s="522"/>
    </row>
    <row r="467" spans="1:100" ht="278.25" customHeight="1" x14ac:dyDescent="0.25">
      <c r="A467" s="19"/>
      <c r="B467" s="19"/>
      <c r="C467" s="453" t="s">
        <v>569</v>
      </c>
      <c r="D467" s="454" t="s">
        <v>570</v>
      </c>
      <c r="E467" s="83" t="s">
        <v>571</v>
      </c>
      <c r="F467" s="83" t="s">
        <v>572</v>
      </c>
      <c r="G467" s="928"/>
      <c r="H467" s="929">
        <v>182</v>
      </c>
      <c r="I467" s="928" t="s">
        <v>573</v>
      </c>
      <c r="J467" s="439">
        <v>1</v>
      </c>
      <c r="K467" s="56">
        <v>1</v>
      </c>
      <c r="L467" s="56">
        <v>1</v>
      </c>
      <c r="M467" s="56" t="s">
        <v>452</v>
      </c>
      <c r="N467" s="36" t="s">
        <v>574</v>
      </c>
      <c r="O467" s="928" t="s">
        <v>575</v>
      </c>
      <c r="P467" s="929" t="s">
        <v>38</v>
      </c>
      <c r="Q467" s="25">
        <v>0</v>
      </c>
      <c r="R467" s="25"/>
      <c r="S467" s="25"/>
      <c r="T467" s="25">
        <v>0</v>
      </c>
      <c r="U467" s="25"/>
      <c r="V467" s="25"/>
      <c r="W467" s="25">
        <v>0</v>
      </c>
      <c r="X467" s="25"/>
      <c r="Y467" s="25"/>
      <c r="Z467" s="25">
        <v>0</v>
      </c>
      <c r="AA467" s="25"/>
      <c r="AB467" s="25"/>
      <c r="AC467" s="25">
        <v>0</v>
      </c>
      <c r="AD467" s="25"/>
      <c r="AE467" s="25"/>
      <c r="AF467" s="25">
        <v>0</v>
      </c>
      <c r="AG467" s="25"/>
      <c r="AH467" s="25"/>
      <c r="AI467" s="25">
        <v>0</v>
      </c>
      <c r="AJ467" s="25"/>
      <c r="AK467" s="25"/>
      <c r="AL467" s="25"/>
      <c r="AM467" s="25"/>
      <c r="AN467" s="25"/>
      <c r="AO467" s="25"/>
      <c r="AP467" s="25"/>
      <c r="AQ467" s="25"/>
      <c r="AR467" s="25"/>
      <c r="AS467" s="25"/>
      <c r="AT467" s="25"/>
      <c r="AU467" s="25">
        <v>0</v>
      </c>
      <c r="AV467" s="25"/>
      <c r="AW467" s="25"/>
      <c r="AX467" s="25"/>
      <c r="AY467" s="25"/>
      <c r="AZ467" s="25"/>
      <c r="BA467" s="25">
        <v>0</v>
      </c>
      <c r="BB467" s="25"/>
      <c r="BC467" s="25"/>
      <c r="BD467" s="25">
        <v>0</v>
      </c>
      <c r="BE467" s="25"/>
      <c r="BF467" s="25"/>
      <c r="BG467" s="250"/>
      <c r="BH467" s="250"/>
      <c r="BI467" s="250"/>
      <c r="BJ467" s="250"/>
      <c r="BK467" s="250"/>
      <c r="BL467" s="250"/>
      <c r="BM467" s="250"/>
      <c r="BN467" s="250"/>
      <c r="BO467" s="250"/>
      <c r="BP467" s="250"/>
      <c r="BQ467" s="250"/>
      <c r="BR467" s="250"/>
      <c r="BS467" s="250"/>
      <c r="BT467" s="250"/>
      <c r="BU467" s="250"/>
      <c r="BV467" s="250"/>
      <c r="BW467" s="250"/>
      <c r="BX467" s="250"/>
      <c r="BY467" s="25">
        <v>0</v>
      </c>
      <c r="BZ467" s="25"/>
      <c r="CA467" s="25"/>
      <c r="CB467" s="25">
        <v>0</v>
      </c>
      <c r="CC467" s="25"/>
      <c r="CD467" s="25"/>
      <c r="CE467" s="110">
        <v>40000000</v>
      </c>
      <c r="CF467" s="110"/>
      <c r="CG467" s="110"/>
      <c r="CH467" s="37"/>
      <c r="CI467" s="37"/>
      <c r="CJ467" s="37"/>
      <c r="CK467" s="319">
        <v>0</v>
      </c>
      <c r="CL467" s="288"/>
      <c r="CM467" s="288"/>
      <c r="CN467" s="288">
        <v>0</v>
      </c>
      <c r="CO467" s="288"/>
      <c r="CP467" s="288"/>
      <c r="CQ467" s="288"/>
      <c r="CR467" s="288"/>
      <c r="CS467" s="288"/>
      <c r="CT467" s="25">
        <f>Q467+T467+W467+Z467+AC467+AF467+AI467+AL467+AO467+AR467+AU467+AX467+BA467+BD467+BG467+BJ467+BM467+BP467+BS467+BV467+BY467+CB467+CE467+CH467+CK467+CQ467+CN467</f>
        <v>40000000</v>
      </c>
      <c r="CU467" s="25">
        <f>R467+U467+X467+AA467+AD467+AG467+AJ467+AM467+AP467+AS467+AV467+AY467+BB467+BE467+BH467+BK467+BN467+BQ467+BT467+BW467+BZ467+CC467+CF467+CI467+CL467+CR467+CO467</f>
        <v>0</v>
      </c>
      <c r="CV467" s="25">
        <f>S467+V467+Y467+AB467+AE467+AH467+AK467+AN467+AQ467+AT467+AW467+AZ467+BC467+BF467+BI467+BL467+BO467+BR467+BU467+BX467+CA467+CD467+CG467+CJ467+CM467+CS467+CP467</f>
        <v>0</v>
      </c>
    </row>
    <row r="468" spans="1:100" ht="19.5" customHeight="1" x14ac:dyDescent="0.25">
      <c r="A468" s="19"/>
      <c r="B468" s="152"/>
      <c r="C468" s="453"/>
      <c r="D468" s="455"/>
      <c r="E468" s="83"/>
      <c r="F468" s="83"/>
      <c r="G468" s="154"/>
      <c r="H468" s="155"/>
      <c r="I468" s="154"/>
      <c r="J468" s="396"/>
      <c r="K468" s="396"/>
      <c r="L468" s="396"/>
      <c r="M468" s="396"/>
      <c r="N468" s="157"/>
      <c r="O468" s="154"/>
      <c r="P468" s="155"/>
      <c r="Q468" s="158">
        <f t="shared" ref="Q468:CB468" si="245">SUM(Q467)</f>
        <v>0</v>
      </c>
      <c r="R468" s="158">
        <f t="shared" si="245"/>
        <v>0</v>
      </c>
      <c r="S468" s="158">
        <f t="shared" si="245"/>
        <v>0</v>
      </c>
      <c r="T468" s="158">
        <f t="shared" si="245"/>
        <v>0</v>
      </c>
      <c r="U468" s="158">
        <f t="shared" si="245"/>
        <v>0</v>
      </c>
      <c r="V468" s="158">
        <f t="shared" si="245"/>
        <v>0</v>
      </c>
      <c r="W468" s="158">
        <f t="shared" si="245"/>
        <v>0</v>
      </c>
      <c r="X468" s="158">
        <f t="shared" si="245"/>
        <v>0</v>
      </c>
      <c r="Y468" s="158">
        <f t="shared" si="245"/>
        <v>0</v>
      </c>
      <c r="Z468" s="158">
        <f t="shared" si="245"/>
        <v>0</v>
      </c>
      <c r="AA468" s="158">
        <f t="shared" si="245"/>
        <v>0</v>
      </c>
      <c r="AB468" s="158">
        <f t="shared" si="245"/>
        <v>0</v>
      </c>
      <c r="AC468" s="158">
        <f t="shared" si="245"/>
        <v>0</v>
      </c>
      <c r="AD468" s="158">
        <f t="shared" si="245"/>
        <v>0</v>
      </c>
      <c r="AE468" s="158">
        <f t="shared" si="245"/>
        <v>0</v>
      </c>
      <c r="AF468" s="158">
        <f t="shared" si="245"/>
        <v>0</v>
      </c>
      <c r="AG468" s="158">
        <f t="shared" si="245"/>
        <v>0</v>
      </c>
      <c r="AH468" s="158">
        <f t="shared" si="245"/>
        <v>0</v>
      </c>
      <c r="AI468" s="158">
        <f t="shared" si="245"/>
        <v>0</v>
      </c>
      <c r="AJ468" s="158">
        <f t="shared" si="245"/>
        <v>0</v>
      </c>
      <c r="AK468" s="158">
        <f t="shared" si="245"/>
        <v>0</v>
      </c>
      <c r="AL468" s="158">
        <f t="shared" si="245"/>
        <v>0</v>
      </c>
      <c r="AM468" s="158">
        <f t="shared" si="245"/>
        <v>0</v>
      </c>
      <c r="AN468" s="158">
        <f t="shared" si="245"/>
        <v>0</v>
      </c>
      <c r="AO468" s="158">
        <f t="shared" si="245"/>
        <v>0</v>
      </c>
      <c r="AP468" s="158">
        <f t="shared" si="245"/>
        <v>0</v>
      </c>
      <c r="AQ468" s="158">
        <f t="shared" si="245"/>
        <v>0</v>
      </c>
      <c r="AR468" s="158">
        <f t="shared" si="245"/>
        <v>0</v>
      </c>
      <c r="AS468" s="158">
        <f t="shared" si="245"/>
        <v>0</v>
      </c>
      <c r="AT468" s="158">
        <f t="shared" si="245"/>
        <v>0</v>
      </c>
      <c r="AU468" s="158">
        <f t="shared" si="245"/>
        <v>0</v>
      </c>
      <c r="AV468" s="158">
        <f t="shared" si="245"/>
        <v>0</v>
      </c>
      <c r="AW468" s="158">
        <f t="shared" si="245"/>
        <v>0</v>
      </c>
      <c r="AX468" s="158">
        <f t="shared" si="245"/>
        <v>0</v>
      </c>
      <c r="AY468" s="158">
        <f t="shared" si="245"/>
        <v>0</v>
      </c>
      <c r="AZ468" s="158">
        <f t="shared" si="245"/>
        <v>0</v>
      </c>
      <c r="BA468" s="158">
        <f t="shared" si="245"/>
        <v>0</v>
      </c>
      <c r="BB468" s="158">
        <f t="shared" si="245"/>
        <v>0</v>
      </c>
      <c r="BC468" s="158">
        <f t="shared" si="245"/>
        <v>0</v>
      </c>
      <c r="BD468" s="158">
        <f t="shared" si="245"/>
        <v>0</v>
      </c>
      <c r="BE468" s="158">
        <f t="shared" si="245"/>
        <v>0</v>
      </c>
      <c r="BF468" s="158">
        <f t="shared" si="245"/>
        <v>0</v>
      </c>
      <c r="BG468" s="158">
        <f t="shared" si="245"/>
        <v>0</v>
      </c>
      <c r="BH468" s="158">
        <f t="shared" si="245"/>
        <v>0</v>
      </c>
      <c r="BI468" s="158">
        <f t="shared" si="245"/>
        <v>0</v>
      </c>
      <c r="BJ468" s="158">
        <f t="shared" si="245"/>
        <v>0</v>
      </c>
      <c r="BK468" s="158">
        <f t="shared" si="245"/>
        <v>0</v>
      </c>
      <c r="BL468" s="158">
        <f t="shared" si="245"/>
        <v>0</v>
      </c>
      <c r="BM468" s="158">
        <f t="shared" si="245"/>
        <v>0</v>
      </c>
      <c r="BN468" s="158">
        <f t="shared" si="245"/>
        <v>0</v>
      </c>
      <c r="BO468" s="158">
        <f t="shared" si="245"/>
        <v>0</v>
      </c>
      <c r="BP468" s="158">
        <f t="shared" si="245"/>
        <v>0</v>
      </c>
      <c r="BQ468" s="158">
        <f t="shared" si="245"/>
        <v>0</v>
      </c>
      <c r="BR468" s="158">
        <f t="shared" si="245"/>
        <v>0</v>
      </c>
      <c r="BS468" s="158">
        <f t="shared" si="245"/>
        <v>0</v>
      </c>
      <c r="BT468" s="158">
        <f t="shared" si="245"/>
        <v>0</v>
      </c>
      <c r="BU468" s="158">
        <f t="shared" si="245"/>
        <v>0</v>
      </c>
      <c r="BV468" s="158">
        <f t="shared" si="245"/>
        <v>0</v>
      </c>
      <c r="BW468" s="158">
        <f t="shared" si="245"/>
        <v>0</v>
      </c>
      <c r="BX468" s="158">
        <f t="shared" si="245"/>
        <v>0</v>
      </c>
      <c r="BY468" s="158">
        <f t="shared" si="245"/>
        <v>0</v>
      </c>
      <c r="BZ468" s="158">
        <f t="shared" si="245"/>
        <v>0</v>
      </c>
      <c r="CA468" s="158">
        <f t="shared" si="245"/>
        <v>0</v>
      </c>
      <c r="CB468" s="158">
        <f t="shared" si="245"/>
        <v>0</v>
      </c>
      <c r="CC468" s="158">
        <f t="shared" ref="CC468:CS468" si="246">SUM(CC467)</f>
        <v>0</v>
      </c>
      <c r="CD468" s="158">
        <f t="shared" si="246"/>
        <v>0</v>
      </c>
      <c r="CE468" s="158">
        <f t="shared" si="246"/>
        <v>40000000</v>
      </c>
      <c r="CF468" s="158">
        <f t="shared" si="246"/>
        <v>0</v>
      </c>
      <c r="CG468" s="158">
        <f t="shared" si="246"/>
        <v>0</v>
      </c>
      <c r="CH468" s="158">
        <f t="shared" si="246"/>
        <v>0</v>
      </c>
      <c r="CI468" s="158">
        <f t="shared" si="246"/>
        <v>0</v>
      </c>
      <c r="CJ468" s="158">
        <f t="shared" si="246"/>
        <v>0</v>
      </c>
      <c r="CK468" s="158">
        <f t="shared" si="246"/>
        <v>0</v>
      </c>
      <c r="CL468" s="158">
        <f t="shared" si="246"/>
        <v>0</v>
      </c>
      <c r="CM468" s="158">
        <f t="shared" si="246"/>
        <v>0</v>
      </c>
      <c r="CN468" s="158">
        <f t="shared" si="246"/>
        <v>0</v>
      </c>
      <c r="CO468" s="158">
        <f t="shared" si="246"/>
        <v>0</v>
      </c>
      <c r="CP468" s="158">
        <f t="shared" si="246"/>
        <v>0</v>
      </c>
      <c r="CQ468" s="158">
        <f t="shared" si="246"/>
        <v>0</v>
      </c>
      <c r="CR468" s="158">
        <f t="shared" si="246"/>
        <v>0</v>
      </c>
      <c r="CS468" s="158">
        <f t="shared" si="246"/>
        <v>0</v>
      </c>
      <c r="CT468" s="158">
        <f>SUM(CT467)</f>
        <v>40000000</v>
      </c>
      <c r="CU468" s="158">
        <f>SUM(CU467)</f>
        <v>0</v>
      </c>
      <c r="CV468" s="158">
        <f>SUM(CV467)</f>
        <v>0</v>
      </c>
    </row>
    <row r="469" spans="1:100" s="459" customFormat="1" ht="23.25" customHeight="1" x14ac:dyDescent="0.25">
      <c r="A469" s="152"/>
      <c r="B469" s="456"/>
      <c r="C469" s="457"/>
      <c r="D469" s="458"/>
      <c r="E469" s="405"/>
      <c r="F469" s="405"/>
      <c r="G469" s="161"/>
      <c r="H469" s="162"/>
      <c r="I469" s="161"/>
      <c r="J469" s="406"/>
      <c r="K469" s="406"/>
      <c r="L469" s="406"/>
      <c r="M469" s="406"/>
      <c r="N469" s="164"/>
      <c r="O469" s="161"/>
      <c r="P469" s="162"/>
      <c r="Q469" s="165">
        <f t="shared" ref="Q469:CB469" si="247">Q468</f>
        <v>0</v>
      </c>
      <c r="R469" s="165">
        <f t="shared" si="247"/>
        <v>0</v>
      </c>
      <c r="S469" s="165">
        <f t="shared" si="247"/>
        <v>0</v>
      </c>
      <c r="T469" s="165">
        <f t="shared" si="247"/>
        <v>0</v>
      </c>
      <c r="U469" s="165">
        <f t="shared" si="247"/>
        <v>0</v>
      </c>
      <c r="V469" s="165">
        <f t="shared" si="247"/>
        <v>0</v>
      </c>
      <c r="W469" s="165">
        <f t="shared" si="247"/>
        <v>0</v>
      </c>
      <c r="X469" s="165">
        <f t="shared" si="247"/>
        <v>0</v>
      </c>
      <c r="Y469" s="165">
        <f t="shared" si="247"/>
        <v>0</v>
      </c>
      <c r="Z469" s="165">
        <f t="shared" si="247"/>
        <v>0</v>
      </c>
      <c r="AA469" s="165">
        <f t="shared" si="247"/>
        <v>0</v>
      </c>
      <c r="AB469" s="165">
        <f t="shared" si="247"/>
        <v>0</v>
      </c>
      <c r="AC469" s="165">
        <f t="shared" si="247"/>
        <v>0</v>
      </c>
      <c r="AD469" s="165">
        <f t="shared" si="247"/>
        <v>0</v>
      </c>
      <c r="AE469" s="165">
        <f t="shared" si="247"/>
        <v>0</v>
      </c>
      <c r="AF469" s="165">
        <f t="shared" si="247"/>
        <v>0</v>
      </c>
      <c r="AG469" s="165">
        <f t="shared" si="247"/>
        <v>0</v>
      </c>
      <c r="AH469" s="165">
        <f t="shared" si="247"/>
        <v>0</v>
      </c>
      <c r="AI469" s="165">
        <f t="shared" si="247"/>
        <v>0</v>
      </c>
      <c r="AJ469" s="165">
        <f t="shared" si="247"/>
        <v>0</v>
      </c>
      <c r="AK469" s="165">
        <f t="shared" si="247"/>
        <v>0</v>
      </c>
      <c r="AL469" s="165">
        <f t="shared" si="247"/>
        <v>0</v>
      </c>
      <c r="AM469" s="165">
        <f t="shared" si="247"/>
        <v>0</v>
      </c>
      <c r="AN469" s="165">
        <f t="shared" si="247"/>
        <v>0</v>
      </c>
      <c r="AO469" s="165">
        <f t="shared" si="247"/>
        <v>0</v>
      </c>
      <c r="AP469" s="165">
        <f t="shared" si="247"/>
        <v>0</v>
      </c>
      <c r="AQ469" s="165">
        <f t="shared" si="247"/>
        <v>0</v>
      </c>
      <c r="AR469" s="165">
        <f t="shared" si="247"/>
        <v>0</v>
      </c>
      <c r="AS469" s="165">
        <f t="shared" si="247"/>
        <v>0</v>
      </c>
      <c r="AT469" s="165">
        <f t="shared" si="247"/>
        <v>0</v>
      </c>
      <c r="AU469" s="165">
        <f t="shared" si="247"/>
        <v>0</v>
      </c>
      <c r="AV469" s="165">
        <f t="shared" si="247"/>
        <v>0</v>
      </c>
      <c r="AW469" s="165">
        <f t="shared" si="247"/>
        <v>0</v>
      </c>
      <c r="AX469" s="165">
        <f t="shared" si="247"/>
        <v>0</v>
      </c>
      <c r="AY469" s="165">
        <f t="shared" si="247"/>
        <v>0</v>
      </c>
      <c r="AZ469" s="165">
        <f t="shared" si="247"/>
        <v>0</v>
      </c>
      <c r="BA469" s="165">
        <f t="shared" si="247"/>
        <v>0</v>
      </c>
      <c r="BB469" s="165">
        <f t="shared" si="247"/>
        <v>0</v>
      </c>
      <c r="BC469" s="165">
        <f t="shared" si="247"/>
        <v>0</v>
      </c>
      <c r="BD469" s="165">
        <f t="shared" si="247"/>
        <v>0</v>
      </c>
      <c r="BE469" s="165">
        <f t="shared" si="247"/>
        <v>0</v>
      </c>
      <c r="BF469" s="165">
        <f t="shared" si="247"/>
        <v>0</v>
      </c>
      <c r="BG469" s="165">
        <f t="shared" si="247"/>
        <v>0</v>
      </c>
      <c r="BH469" s="165">
        <f t="shared" si="247"/>
        <v>0</v>
      </c>
      <c r="BI469" s="165">
        <f t="shared" si="247"/>
        <v>0</v>
      </c>
      <c r="BJ469" s="165">
        <f t="shared" si="247"/>
        <v>0</v>
      </c>
      <c r="BK469" s="165">
        <f t="shared" si="247"/>
        <v>0</v>
      </c>
      <c r="BL469" s="165">
        <f t="shared" si="247"/>
        <v>0</v>
      </c>
      <c r="BM469" s="165">
        <f t="shared" si="247"/>
        <v>0</v>
      </c>
      <c r="BN469" s="165">
        <f t="shared" si="247"/>
        <v>0</v>
      </c>
      <c r="BO469" s="165">
        <f t="shared" si="247"/>
        <v>0</v>
      </c>
      <c r="BP469" s="165">
        <f t="shared" si="247"/>
        <v>0</v>
      </c>
      <c r="BQ469" s="165">
        <f t="shared" si="247"/>
        <v>0</v>
      </c>
      <c r="BR469" s="165">
        <f t="shared" si="247"/>
        <v>0</v>
      </c>
      <c r="BS469" s="165">
        <f t="shared" si="247"/>
        <v>0</v>
      </c>
      <c r="BT469" s="165">
        <f t="shared" si="247"/>
        <v>0</v>
      </c>
      <c r="BU469" s="165">
        <f t="shared" si="247"/>
        <v>0</v>
      </c>
      <c r="BV469" s="165">
        <f t="shared" si="247"/>
        <v>0</v>
      </c>
      <c r="BW469" s="165">
        <f t="shared" si="247"/>
        <v>0</v>
      </c>
      <c r="BX469" s="165">
        <f t="shared" si="247"/>
        <v>0</v>
      </c>
      <c r="BY469" s="165">
        <f t="shared" si="247"/>
        <v>0</v>
      </c>
      <c r="BZ469" s="165">
        <f t="shared" si="247"/>
        <v>0</v>
      </c>
      <c r="CA469" s="165">
        <f t="shared" si="247"/>
        <v>0</v>
      </c>
      <c r="CB469" s="165">
        <f t="shared" si="247"/>
        <v>0</v>
      </c>
      <c r="CC469" s="165">
        <f t="shared" ref="CC469:CS469" si="248">CC468</f>
        <v>0</v>
      </c>
      <c r="CD469" s="165">
        <f t="shared" si="248"/>
        <v>0</v>
      </c>
      <c r="CE469" s="165">
        <f t="shared" si="248"/>
        <v>40000000</v>
      </c>
      <c r="CF469" s="165">
        <f t="shared" si="248"/>
        <v>0</v>
      </c>
      <c r="CG469" s="165">
        <f t="shared" si="248"/>
        <v>0</v>
      </c>
      <c r="CH469" s="165">
        <f t="shared" si="248"/>
        <v>0</v>
      </c>
      <c r="CI469" s="165">
        <f t="shared" si="248"/>
        <v>0</v>
      </c>
      <c r="CJ469" s="165">
        <f t="shared" si="248"/>
        <v>0</v>
      </c>
      <c r="CK469" s="165">
        <f t="shared" si="248"/>
        <v>0</v>
      </c>
      <c r="CL469" s="165">
        <f t="shared" si="248"/>
        <v>0</v>
      </c>
      <c r="CM469" s="165">
        <f t="shared" si="248"/>
        <v>0</v>
      </c>
      <c r="CN469" s="165">
        <f t="shared" si="248"/>
        <v>0</v>
      </c>
      <c r="CO469" s="165">
        <f t="shared" si="248"/>
        <v>0</v>
      </c>
      <c r="CP469" s="165">
        <f t="shared" si="248"/>
        <v>0</v>
      </c>
      <c r="CQ469" s="165">
        <f t="shared" si="248"/>
        <v>0</v>
      </c>
      <c r="CR469" s="165">
        <f t="shared" si="248"/>
        <v>0</v>
      </c>
      <c r="CS469" s="165">
        <f t="shared" si="248"/>
        <v>0</v>
      </c>
      <c r="CT469" s="165">
        <f>CT468</f>
        <v>40000000</v>
      </c>
      <c r="CU469" s="165">
        <f>CU468</f>
        <v>0</v>
      </c>
      <c r="CV469" s="165">
        <f>CV468</f>
        <v>0</v>
      </c>
    </row>
    <row r="470" spans="1:100" ht="23.25" customHeight="1" x14ac:dyDescent="0.25">
      <c r="A470" s="258"/>
      <c r="B470" s="460"/>
      <c r="C470" s="461"/>
      <c r="D470" s="460"/>
      <c r="E470" s="462"/>
      <c r="F470" s="462"/>
      <c r="G470" s="166"/>
      <c r="H470" s="167"/>
      <c r="I470" s="166"/>
      <c r="J470" s="463"/>
      <c r="K470" s="463"/>
      <c r="L470" s="463"/>
      <c r="M470" s="463"/>
      <c r="N470" s="169"/>
      <c r="O470" s="166"/>
      <c r="P470" s="167"/>
      <c r="Q470" s="170">
        <f t="shared" ref="Q470:CB470" si="249">Q469+Q463+Q443+Q425+Q388</f>
        <v>0</v>
      </c>
      <c r="R470" s="170">
        <f t="shared" si="249"/>
        <v>0</v>
      </c>
      <c r="S470" s="170">
        <f t="shared" si="249"/>
        <v>0</v>
      </c>
      <c r="T470" s="170">
        <f t="shared" si="249"/>
        <v>0</v>
      </c>
      <c r="U470" s="170">
        <f t="shared" si="249"/>
        <v>0</v>
      </c>
      <c r="V470" s="170">
        <f t="shared" si="249"/>
        <v>0</v>
      </c>
      <c r="W470" s="170">
        <f t="shared" si="249"/>
        <v>0</v>
      </c>
      <c r="X470" s="170">
        <f t="shared" si="249"/>
        <v>0</v>
      </c>
      <c r="Y470" s="170">
        <f t="shared" si="249"/>
        <v>0</v>
      </c>
      <c r="Z470" s="170">
        <f t="shared" si="249"/>
        <v>0</v>
      </c>
      <c r="AA470" s="170">
        <f t="shared" si="249"/>
        <v>0</v>
      </c>
      <c r="AB470" s="170">
        <f t="shared" si="249"/>
        <v>0</v>
      </c>
      <c r="AC470" s="170">
        <f t="shared" si="249"/>
        <v>0</v>
      </c>
      <c r="AD470" s="170">
        <f t="shared" si="249"/>
        <v>0</v>
      </c>
      <c r="AE470" s="170">
        <f t="shared" si="249"/>
        <v>0</v>
      </c>
      <c r="AF470" s="170">
        <f t="shared" si="249"/>
        <v>0</v>
      </c>
      <c r="AG470" s="170">
        <f t="shared" si="249"/>
        <v>0</v>
      </c>
      <c r="AH470" s="170">
        <f t="shared" si="249"/>
        <v>0</v>
      </c>
      <c r="AI470" s="170">
        <f t="shared" si="249"/>
        <v>6480123642</v>
      </c>
      <c r="AJ470" s="170">
        <f t="shared" si="249"/>
        <v>4881821466</v>
      </c>
      <c r="AK470" s="170">
        <f t="shared" si="249"/>
        <v>4767686849</v>
      </c>
      <c r="AL470" s="170">
        <f t="shared" si="249"/>
        <v>0</v>
      </c>
      <c r="AM470" s="170">
        <f t="shared" si="249"/>
        <v>0</v>
      </c>
      <c r="AN470" s="170">
        <f t="shared" si="249"/>
        <v>0</v>
      </c>
      <c r="AO470" s="170">
        <f t="shared" si="249"/>
        <v>0</v>
      </c>
      <c r="AP470" s="170">
        <f t="shared" si="249"/>
        <v>0</v>
      </c>
      <c r="AQ470" s="170">
        <f t="shared" si="249"/>
        <v>0</v>
      </c>
      <c r="AR470" s="170">
        <f t="shared" si="249"/>
        <v>0</v>
      </c>
      <c r="AS470" s="170">
        <f t="shared" si="249"/>
        <v>0</v>
      </c>
      <c r="AT470" s="170">
        <f t="shared" si="249"/>
        <v>0</v>
      </c>
      <c r="AU470" s="170">
        <f t="shared" si="249"/>
        <v>0</v>
      </c>
      <c r="AV470" s="170">
        <f t="shared" si="249"/>
        <v>0</v>
      </c>
      <c r="AW470" s="170">
        <f t="shared" si="249"/>
        <v>0</v>
      </c>
      <c r="AX470" s="170">
        <f t="shared" si="249"/>
        <v>0</v>
      </c>
      <c r="AY470" s="170">
        <f t="shared" si="249"/>
        <v>0</v>
      </c>
      <c r="AZ470" s="170">
        <f t="shared" si="249"/>
        <v>0</v>
      </c>
      <c r="BA470" s="170">
        <f t="shared" si="249"/>
        <v>0</v>
      </c>
      <c r="BB470" s="170">
        <f t="shared" si="249"/>
        <v>0</v>
      </c>
      <c r="BC470" s="170">
        <f t="shared" si="249"/>
        <v>0</v>
      </c>
      <c r="BD470" s="170">
        <f t="shared" si="249"/>
        <v>0</v>
      </c>
      <c r="BE470" s="170">
        <f t="shared" si="249"/>
        <v>0</v>
      </c>
      <c r="BF470" s="170">
        <f t="shared" si="249"/>
        <v>0</v>
      </c>
      <c r="BG470" s="170">
        <f t="shared" si="249"/>
        <v>107645394041</v>
      </c>
      <c r="BH470" s="170">
        <f t="shared" si="249"/>
        <v>105102231363</v>
      </c>
      <c r="BI470" s="170">
        <f t="shared" si="249"/>
        <v>105096927113</v>
      </c>
      <c r="BJ470" s="170">
        <f t="shared" si="249"/>
        <v>18840890009</v>
      </c>
      <c r="BK470" s="170">
        <f t="shared" si="249"/>
        <v>18840890009</v>
      </c>
      <c r="BL470" s="170">
        <f t="shared" si="249"/>
        <v>18840890009</v>
      </c>
      <c r="BM470" s="170">
        <f t="shared" si="249"/>
        <v>1165770164</v>
      </c>
      <c r="BN470" s="170">
        <f t="shared" si="249"/>
        <v>1165770164.1400001</v>
      </c>
      <c r="BO470" s="170">
        <f t="shared" si="249"/>
        <v>1165770164.1400001</v>
      </c>
      <c r="BP470" s="170">
        <f t="shared" si="249"/>
        <v>6431354</v>
      </c>
      <c r="BQ470" s="170">
        <f t="shared" si="249"/>
        <v>6336943</v>
      </c>
      <c r="BR470" s="170">
        <f t="shared" si="249"/>
        <v>6336943</v>
      </c>
      <c r="BS470" s="170">
        <f t="shared" si="249"/>
        <v>1341180171</v>
      </c>
      <c r="BT470" s="170">
        <f t="shared" si="249"/>
        <v>976986480</v>
      </c>
      <c r="BU470" s="170">
        <f t="shared" si="249"/>
        <v>976986480</v>
      </c>
      <c r="BV470" s="170">
        <f t="shared" si="249"/>
        <v>488921512</v>
      </c>
      <c r="BW470" s="170">
        <f t="shared" si="249"/>
        <v>205820184</v>
      </c>
      <c r="BX470" s="170">
        <f t="shared" si="249"/>
        <v>205820184</v>
      </c>
      <c r="BY470" s="170">
        <f t="shared" si="249"/>
        <v>9011218541</v>
      </c>
      <c r="BZ470" s="170">
        <f t="shared" si="249"/>
        <v>7905360942</v>
      </c>
      <c r="CA470" s="170">
        <f t="shared" si="249"/>
        <v>7905360942</v>
      </c>
      <c r="CB470" s="170">
        <f t="shared" si="249"/>
        <v>0</v>
      </c>
      <c r="CC470" s="170">
        <f t="shared" ref="CC470:CS470" si="250">CC469+CC463+CC443+CC425+CC388</f>
        <v>0</v>
      </c>
      <c r="CD470" s="170">
        <f t="shared" si="250"/>
        <v>0</v>
      </c>
      <c r="CE470" s="170">
        <f t="shared" si="250"/>
        <v>4425700205</v>
      </c>
      <c r="CF470" s="170">
        <f t="shared" si="250"/>
        <v>3900580193</v>
      </c>
      <c r="CG470" s="170">
        <f t="shared" si="250"/>
        <v>3686557259</v>
      </c>
      <c r="CH470" s="170">
        <f t="shared" si="250"/>
        <v>0</v>
      </c>
      <c r="CI470" s="170">
        <f t="shared" si="250"/>
        <v>0</v>
      </c>
      <c r="CJ470" s="170">
        <f t="shared" si="250"/>
        <v>0</v>
      </c>
      <c r="CK470" s="170">
        <f t="shared" si="250"/>
        <v>0</v>
      </c>
      <c r="CL470" s="170">
        <f t="shared" si="250"/>
        <v>0</v>
      </c>
      <c r="CM470" s="170">
        <f t="shared" si="250"/>
        <v>0</v>
      </c>
      <c r="CN470" s="170">
        <f t="shared" si="250"/>
        <v>0</v>
      </c>
      <c r="CO470" s="170">
        <f t="shared" si="250"/>
        <v>0</v>
      </c>
      <c r="CP470" s="170">
        <f t="shared" si="250"/>
        <v>0</v>
      </c>
      <c r="CQ470" s="170">
        <f t="shared" si="250"/>
        <v>0</v>
      </c>
      <c r="CR470" s="170">
        <f t="shared" si="250"/>
        <v>0</v>
      </c>
      <c r="CS470" s="170">
        <f t="shared" si="250"/>
        <v>0</v>
      </c>
      <c r="CT470" s="170">
        <f>CT469+CT463+CT443+CT425+CT388</f>
        <v>149405629639</v>
      </c>
      <c r="CU470" s="170">
        <f>CU469+CU463+CU443+CU425+CU388</f>
        <v>142985797744.14001</v>
      </c>
      <c r="CV470" s="170">
        <f>CV469+CV463+CV443+CV425+CV388</f>
        <v>142652335943.14001</v>
      </c>
    </row>
    <row r="471" spans="1:100" ht="15" x14ac:dyDescent="0.25">
      <c r="A471" s="171"/>
      <c r="B471" s="171"/>
      <c r="C471" s="172"/>
      <c r="D471" s="171"/>
      <c r="E471" s="172"/>
      <c r="F471" s="172"/>
      <c r="G471" s="171"/>
      <c r="H471" s="172"/>
      <c r="I471" s="171"/>
      <c r="J471" s="173"/>
      <c r="K471" s="173"/>
      <c r="L471" s="173"/>
      <c r="M471" s="173"/>
      <c r="N471" s="174"/>
      <c r="O471" s="171"/>
      <c r="P471" s="172"/>
      <c r="Q471" s="175">
        <f t="shared" ref="Q471:AV471" si="251">+Q470</f>
        <v>0</v>
      </c>
      <c r="R471" s="175">
        <f t="shared" si="251"/>
        <v>0</v>
      </c>
      <c r="S471" s="175">
        <f t="shared" si="251"/>
        <v>0</v>
      </c>
      <c r="T471" s="175">
        <f t="shared" si="251"/>
        <v>0</v>
      </c>
      <c r="U471" s="175">
        <f t="shared" si="251"/>
        <v>0</v>
      </c>
      <c r="V471" s="175">
        <f t="shared" si="251"/>
        <v>0</v>
      </c>
      <c r="W471" s="175">
        <f t="shared" si="251"/>
        <v>0</v>
      </c>
      <c r="X471" s="175">
        <f t="shared" si="251"/>
        <v>0</v>
      </c>
      <c r="Y471" s="175">
        <f t="shared" si="251"/>
        <v>0</v>
      </c>
      <c r="Z471" s="175">
        <f t="shared" si="251"/>
        <v>0</v>
      </c>
      <c r="AA471" s="175">
        <f t="shared" si="251"/>
        <v>0</v>
      </c>
      <c r="AB471" s="175">
        <f t="shared" si="251"/>
        <v>0</v>
      </c>
      <c r="AC471" s="175">
        <f t="shared" si="251"/>
        <v>0</v>
      </c>
      <c r="AD471" s="175">
        <f t="shared" si="251"/>
        <v>0</v>
      </c>
      <c r="AE471" s="175">
        <f t="shared" si="251"/>
        <v>0</v>
      </c>
      <c r="AF471" s="175">
        <f t="shared" si="251"/>
        <v>0</v>
      </c>
      <c r="AG471" s="175">
        <f t="shared" si="251"/>
        <v>0</v>
      </c>
      <c r="AH471" s="175">
        <f t="shared" si="251"/>
        <v>0</v>
      </c>
      <c r="AI471" s="175">
        <f t="shared" si="251"/>
        <v>6480123642</v>
      </c>
      <c r="AJ471" s="175">
        <f t="shared" si="251"/>
        <v>4881821466</v>
      </c>
      <c r="AK471" s="175">
        <f t="shared" si="251"/>
        <v>4767686849</v>
      </c>
      <c r="AL471" s="175">
        <f t="shared" si="251"/>
        <v>0</v>
      </c>
      <c r="AM471" s="175">
        <f t="shared" si="251"/>
        <v>0</v>
      </c>
      <c r="AN471" s="175">
        <f t="shared" si="251"/>
        <v>0</v>
      </c>
      <c r="AO471" s="175">
        <f t="shared" si="251"/>
        <v>0</v>
      </c>
      <c r="AP471" s="175">
        <f t="shared" si="251"/>
        <v>0</v>
      </c>
      <c r="AQ471" s="175">
        <f t="shared" si="251"/>
        <v>0</v>
      </c>
      <c r="AR471" s="175">
        <f t="shared" si="251"/>
        <v>0</v>
      </c>
      <c r="AS471" s="175">
        <f t="shared" si="251"/>
        <v>0</v>
      </c>
      <c r="AT471" s="175">
        <f t="shared" si="251"/>
        <v>0</v>
      </c>
      <c r="AU471" s="175">
        <f t="shared" si="251"/>
        <v>0</v>
      </c>
      <c r="AV471" s="175">
        <f t="shared" si="251"/>
        <v>0</v>
      </c>
      <c r="AW471" s="175">
        <f t="shared" ref="AW471:CB471" si="252">+AW470</f>
        <v>0</v>
      </c>
      <c r="AX471" s="175">
        <f t="shared" si="252"/>
        <v>0</v>
      </c>
      <c r="AY471" s="175">
        <f t="shared" si="252"/>
        <v>0</v>
      </c>
      <c r="AZ471" s="175">
        <f t="shared" si="252"/>
        <v>0</v>
      </c>
      <c r="BA471" s="175">
        <f t="shared" si="252"/>
        <v>0</v>
      </c>
      <c r="BB471" s="175">
        <f t="shared" si="252"/>
        <v>0</v>
      </c>
      <c r="BC471" s="175">
        <f t="shared" si="252"/>
        <v>0</v>
      </c>
      <c r="BD471" s="175">
        <f t="shared" si="252"/>
        <v>0</v>
      </c>
      <c r="BE471" s="175">
        <f t="shared" si="252"/>
        <v>0</v>
      </c>
      <c r="BF471" s="175">
        <f t="shared" si="252"/>
        <v>0</v>
      </c>
      <c r="BG471" s="175">
        <f t="shared" si="252"/>
        <v>107645394041</v>
      </c>
      <c r="BH471" s="175">
        <f t="shared" si="252"/>
        <v>105102231363</v>
      </c>
      <c r="BI471" s="175">
        <f t="shared" si="252"/>
        <v>105096927113</v>
      </c>
      <c r="BJ471" s="175">
        <f t="shared" si="252"/>
        <v>18840890009</v>
      </c>
      <c r="BK471" s="175">
        <f t="shared" si="252"/>
        <v>18840890009</v>
      </c>
      <c r="BL471" s="175">
        <f t="shared" si="252"/>
        <v>18840890009</v>
      </c>
      <c r="BM471" s="175">
        <f t="shared" si="252"/>
        <v>1165770164</v>
      </c>
      <c r="BN471" s="175">
        <f t="shared" si="252"/>
        <v>1165770164.1400001</v>
      </c>
      <c r="BO471" s="175">
        <f t="shared" si="252"/>
        <v>1165770164.1400001</v>
      </c>
      <c r="BP471" s="175">
        <f t="shared" si="252"/>
        <v>6431354</v>
      </c>
      <c r="BQ471" s="175">
        <f t="shared" si="252"/>
        <v>6336943</v>
      </c>
      <c r="BR471" s="175">
        <f t="shared" si="252"/>
        <v>6336943</v>
      </c>
      <c r="BS471" s="175">
        <f t="shared" si="252"/>
        <v>1341180171</v>
      </c>
      <c r="BT471" s="175">
        <f t="shared" si="252"/>
        <v>976986480</v>
      </c>
      <c r="BU471" s="175">
        <f t="shared" si="252"/>
        <v>976986480</v>
      </c>
      <c r="BV471" s="175">
        <f t="shared" si="252"/>
        <v>488921512</v>
      </c>
      <c r="BW471" s="175">
        <f t="shared" si="252"/>
        <v>205820184</v>
      </c>
      <c r="BX471" s="175">
        <f t="shared" si="252"/>
        <v>205820184</v>
      </c>
      <c r="BY471" s="175">
        <f t="shared" si="252"/>
        <v>9011218541</v>
      </c>
      <c r="BZ471" s="175">
        <f t="shared" si="252"/>
        <v>7905360942</v>
      </c>
      <c r="CA471" s="175">
        <f t="shared" si="252"/>
        <v>7905360942</v>
      </c>
      <c r="CB471" s="175">
        <f t="shared" si="252"/>
        <v>0</v>
      </c>
      <c r="CC471" s="175">
        <f t="shared" ref="CC471:CV471" si="253">+CC470</f>
        <v>0</v>
      </c>
      <c r="CD471" s="175">
        <f t="shared" si="253"/>
        <v>0</v>
      </c>
      <c r="CE471" s="175">
        <f t="shared" si="253"/>
        <v>4425700205</v>
      </c>
      <c r="CF471" s="175">
        <f t="shared" si="253"/>
        <v>3900580193</v>
      </c>
      <c r="CG471" s="175">
        <f t="shared" si="253"/>
        <v>3686557259</v>
      </c>
      <c r="CH471" s="175">
        <f t="shared" si="253"/>
        <v>0</v>
      </c>
      <c r="CI471" s="175">
        <f t="shared" si="253"/>
        <v>0</v>
      </c>
      <c r="CJ471" s="175">
        <f t="shared" si="253"/>
        <v>0</v>
      </c>
      <c r="CK471" s="175">
        <f t="shared" si="253"/>
        <v>0</v>
      </c>
      <c r="CL471" s="175">
        <f t="shared" si="253"/>
        <v>0</v>
      </c>
      <c r="CM471" s="175">
        <f t="shared" si="253"/>
        <v>0</v>
      </c>
      <c r="CN471" s="175">
        <f t="shared" si="253"/>
        <v>0</v>
      </c>
      <c r="CO471" s="175">
        <f t="shared" si="253"/>
        <v>0</v>
      </c>
      <c r="CP471" s="175">
        <f t="shared" si="253"/>
        <v>0</v>
      </c>
      <c r="CQ471" s="175">
        <f t="shared" si="253"/>
        <v>0</v>
      </c>
      <c r="CR471" s="175">
        <f t="shared" si="253"/>
        <v>0</v>
      </c>
      <c r="CS471" s="175">
        <f t="shared" si="253"/>
        <v>0</v>
      </c>
      <c r="CT471" s="855">
        <f t="shared" si="253"/>
        <v>149405629639</v>
      </c>
      <c r="CU471" s="856">
        <f t="shared" si="253"/>
        <v>142985797744.14001</v>
      </c>
      <c r="CV471" s="856">
        <f t="shared" si="253"/>
        <v>142652335943.14001</v>
      </c>
    </row>
    <row r="472" spans="1:100" s="27" customFormat="1" ht="15" x14ac:dyDescent="0.25">
      <c r="A472" s="176"/>
      <c r="B472" s="177"/>
      <c r="C472" s="949"/>
      <c r="D472" s="177"/>
      <c r="E472" s="949"/>
      <c r="F472" s="949"/>
      <c r="G472" s="177"/>
      <c r="H472" s="949"/>
      <c r="I472" s="177"/>
      <c r="J472" s="178"/>
      <c r="K472" s="178"/>
      <c r="L472" s="178"/>
      <c r="M472" s="178"/>
      <c r="N472" s="179"/>
      <c r="O472" s="177"/>
      <c r="P472" s="949"/>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1"/>
      <c r="BH472" s="181"/>
      <c r="BI472" s="181"/>
      <c r="BJ472" s="181"/>
      <c r="BK472" s="181"/>
      <c r="BL472" s="181"/>
      <c r="BM472" s="181"/>
      <c r="BN472" s="181"/>
      <c r="BO472" s="181"/>
      <c r="BP472" s="181"/>
      <c r="BQ472" s="181"/>
      <c r="BR472" s="181"/>
      <c r="BS472" s="181"/>
      <c r="BT472" s="181"/>
      <c r="BU472" s="181"/>
      <c r="BV472" s="181"/>
      <c r="BW472" s="181"/>
      <c r="BX472" s="181"/>
      <c r="BY472" s="180"/>
      <c r="BZ472" s="180"/>
      <c r="CA472" s="180"/>
      <c r="CB472" s="180"/>
      <c r="CC472" s="180"/>
      <c r="CD472" s="180"/>
      <c r="CE472" s="182"/>
      <c r="CF472" s="182"/>
      <c r="CG472" s="182"/>
      <c r="CH472" s="183"/>
      <c r="CI472" s="183"/>
      <c r="CJ472" s="183"/>
      <c r="CK472" s="180"/>
      <c r="CL472" s="180"/>
      <c r="CM472" s="180"/>
      <c r="CN472" s="180"/>
      <c r="CO472" s="180"/>
      <c r="CP472" s="180"/>
      <c r="CQ472" s="180"/>
      <c r="CR472" s="180"/>
      <c r="CS472" s="180"/>
      <c r="CT472" s="763"/>
      <c r="CU472" s="763"/>
      <c r="CV472" s="763"/>
    </row>
    <row r="473" spans="1:100" ht="20.25" x14ac:dyDescent="0.25">
      <c r="A473" s="134" t="s">
        <v>576</v>
      </c>
      <c r="B473" s="135"/>
      <c r="C473" s="136"/>
      <c r="D473" s="135"/>
      <c r="E473" s="135"/>
      <c r="F473" s="135"/>
      <c r="G473" s="135"/>
      <c r="H473" s="136"/>
      <c r="I473" s="135"/>
      <c r="J473" s="135"/>
      <c r="K473" s="135"/>
      <c r="L473" s="135"/>
      <c r="M473" s="135"/>
      <c r="N473" s="675"/>
      <c r="O473" s="135"/>
      <c r="P473" s="136"/>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c r="BG473" s="135"/>
      <c r="BH473" s="135"/>
      <c r="BI473" s="135"/>
      <c r="BJ473" s="135"/>
      <c r="BK473" s="135"/>
      <c r="BL473" s="135"/>
      <c r="BM473" s="135"/>
      <c r="BN473" s="135"/>
      <c r="BO473" s="135"/>
      <c r="BP473" s="135"/>
      <c r="BQ473" s="135"/>
      <c r="BR473" s="135"/>
      <c r="BS473" s="135"/>
      <c r="BT473" s="135"/>
      <c r="BU473" s="135"/>
      <c r="BV473" s="135"/>
      <c r="BW473" s="135"/>
      <c r="BX473" s="135"/>
      <c r="BY473" s="135"/>
      <c r="BZ473" s="135"/>
      <c r="CA473" s="135"/>
      <c r="CB473" s="135"/>
      <c r="CC473" s="135"/>
      <c r="CD473" s="135"/>
      <c r="CE473" s="137"/>
      <c r="CF473" s="137"/>
      <c r="CG473" s="137"/>
      <c r="CH473" s="138"/>
      <c r="CI473" s="138"/>
      <c r="CJ473" s="138"/>
      <c r="CK473" s="135"/>
      <c r="CL473" s="135"/>
      <c r="CM473" s="135"/>
      <c r="CN473" s="135"/>
      <c r="CO473" s="135"/>
      <c r="CP473" s="135"/>
      <c r="CQ473" s="135"/>
      <c r="CR473" s="135"/>
      <c r="CS473" s="135"/>
      <c r="CT473" s="566"/>
      <c r="CU473" s="566" t="s">
        <v>0</v>
      </c>
      <c r="CV473" s="566" t="s">
        <v>0</v>
      </c>
    </row>
    <row r="474" spans="1:100" ht="15" x14ac:dyDescent="0.25">
      <c r="A474" s="139">
        <v>3</v>
      </c>
      <c r="B474" s="140" t="s">
        <v>239</v>
      </c>
      <c r="C474" s="141"/>
      <c r="D474" s="140"/>
      <c r="E474" s="140"/>
      <c r="F474" s="140"/>
      <c r="G474" s="140"/>
      <c r="H474" s="141"/>
      <c r="I474" s="140"/>
      <c r="J474" s="140"/>
      <c r="K474" s="140"/>
      <c r="L474" s="140"/>
      <c r="M474" s="140"/>
      <c r="N474" s="676"/>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2"/>
      <c r="CF474" s="142"/>
      <c r="CG474" s="142"/>
      <c r="CH474" s="140"/>
      <c r="CI474" s="140"/>
      <c r="CJ474" s="140"/>
      <c r="CK474" s="140"/>
      <c r="CL474" s="140"/>
      <c r="CM474" s="140"/>
      <c r="CN474" s="140"/>
      <c r="CO474" s="140"/>
      <c r="CP474" s="140"/>
      <c r="CQ474" s="140"/>
      <c r="CR474" s="140"/>
      <c r="CS474" s="140"/>
      <c r="CT474" s="540"/>
      <c r="CU474" s="540"/>
      <c r="CV474" s="540"/>
    </row>
    <row r="475" spans="1:100" ht="15" x14ac:dyDescent="0.25">
      <c r="A475" s="185"/>
      <c r="B475" s="239">
        <v>16</v>
      </c>
      <c r="C475" s="147" t="s">
        <v>567</v>
      </c>
      <c r="D475" s="146"/>
      <c r="E475" s="146"/>
      <c r="F475" s="146"/>
      <c r="G475" s="146"/>
      <c r="H475" s="147"/>
      <c r="I475" s="146"/>
      <c r="J475" s="146"/>
      <c r="K475" s="146"/>
      <c r="L475" s="146"/>
      <c r="M475" s="146"/>
      <c r="N475" s="677"/>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c r="BI475" s="146"/>
      <c r="BJ475" s="146"/>
      <c r="BK475" s="146"/>
      <c r="BL475" s="146"/>
      <c r="BM475" s="146"/>
      <c r="BN475" s="146"/>
      <c r="BO475" s="146"/>
      <c r="BP475" s="146"/>
      <c r="BQ475" s="146"/>
      <c r="BR475" s="146"/>
      <c r="BS475" s="146"/>
      <c r="BT475" s="146"/>
      <c r="BU475" s="146"/>
      <c r="BV475" s="146"/>
      <c r="BW475" s="146"/>
      <c r="BX475" s="146"/>
      <c r="BY475" s="146"/>
      <c r="BZ475" s="146"/>
      <c r="CA475" s="146"/>
      <c r="CB475" s="146"/>
      <c r="CC475" s="146"/>
      <c r="CD475" s="146"/>
      <c r="CE475" s="148"/>
      <c r="CF475" s="148"/>
      <c r="CG475" s="148"/>
      <c r="CH475" s="146"/>
      <c r="CI475" s="146"/>
      <c r="CJ475" s="146"/>
      <c r="CK475" s="146"/>
      <c r="CL475" s="146"/>
      <c r="CM475" s="146"/>
      <c r="CN475" s="146"/>
      <c r="CO475" s="146"/>
      <c r="CP475" s="146"/>
      <c r="CQ475" s="146"/>
      <c r="CR475" s="146"/>
      <c r="CS475" s="146"/>
      <c r="CT475" s="526"/>
      <c r="CU475" s="526"/>
      <c r="CV475" s="526"/>
    </row>
    <row r="476" spans="1:100" ht="15" x14ac:dyDescent="0.25">
      <c r="A476" s="19"/>
      <c r="B476" s="464"/>
      <c r="C476" s="949"/>
      <c r="D476" s="177"/>
      <c r="E476" s="949"/>
      <c r="F476" s="927"/>
      <c r="G476" s="339">
        <v>56</v>
      </c>
      <c r="H476" s="189" t="s">
        <v>577</v>
      </c>
      <c r="I476" s="189"/>
      <c r="J476" s="189"/>
      <c r="K476" s="189"/>
      <c r="L476" s="189"/>
      <c r="M476" s="189"/>
      <c r="N476" s="684"/>
      <c r="O476" s="189"/>
      <c r="P476" s="189"/>
      <c r="Q476" s="189"/>
      <c r="R476" s="189"/>
      <c r="S476" s="189"/>
      <c r="T476" s="189"/>
      <c r="U476" s="189"/>
      <c r="V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189"/>
      <c r="BH476" s="189"/>
      <c r="BI476" s="189"/>
      <c r="BJ476" s="189"/>
      <c r="BK476" s="189"/>
      <c r="BL476" s="189"/>
      <c r="BM476" s="189"/>
      <c r="BN476" s="189"/>
      <c r="BO476" s="189"/>
      <c r="BP476" s="189"/>
      <c r="BQ476" s="189"/>
      <c r="BR476" s="189"/>
      <c r="BS476" s="189"/>
      <c r="BT476" s="189"/>
      <c r="BU476" s="189"/>
      <c r="BV476" s="189"/>
      <c r="BW476" s="189"/>
      <c r="BX476" s="189"/>
      <c r="BY476" s="189"/>
      <c r="BZ476" s="189"/>
      <c r="CA476" s="189"/>
      <c r="CB476" s="189"/>
      <c r="CC476" s="189"/>
      <c r="CD476" s="189"/>
      <c r="CE476" s="190"/>
      <c r="CF476" s="190"/>
      <c r="CG476" s="190"/>
      <c r="CH476" s="189"/>
      <c r="CI476" s="189"/>
      <c r="CJ476" s="189"/>
      <c r="CK476" s="189"/>
      <c r="CL476" s="189"/>
      <c r="CM476" s="189"/>
      <c r="CN476" s="189"/>
      <c r="CO476" s="189"/>
      <c r="CP476" s="189"/>
      <c r="CQ476" s="189"/>
      <c r="CR476" s="189"/>
      <c r="CS476" s="189"/>
      <c r="CT476" s="522"/>
      <c r="CU476" s="522"/>
      <c r="CV476" s="522"/>
    </row>
    <row r="477" spans="1:100" s="27" customFormat="1" ht="71.25" x14ac:dyDescent="0.25">
      <c r="A477" s="19"/>
      <c r="B477" s="185"/>
      <c r="C477" s="1112" t="s">
        <v>914</v>
      </c>
      <c r="D477" s="1114" t="s">
        <v>570</v>
      </c>
      <c r="E477" s="1116" t="s">
        <v>571</v>
      </c>
      <c r="F477" s="1116" t="s">
        <v>572</v>
      </c>
      <c r="G477" s="22"/>
      <c r="H477" s="929">
        <v>180</v>
      </c>
      <c r="I477" s="928" t="s">
        <v>578</v>
      </c>
      <c r="J477" s="929">
        <v>0</v>
      </c>
      <c r="K477" s="929">
        <v>1</v>
      </c>
      <c r="L477" s="652">
        <v>1</v>
      </c>
      <c r="M477" s="1012" t="s">
        <v>579</v>
      </c>
      <c r="N477" s="1017" t="s">
        <v>580</v>
      </c>
      <c r="O477" s="1012" t="s">
        <v>581</v>
      </c>
      <c r="P477" s="929" t="s">
        <v>38</v>
      </c>
      <c r="Q477" s="25">
        <v>0</v>
      </c>
      <c r="R477" s="25"/>
      <c r="S477" s="25"/>
      <c r="T477" s="25">
        <v>0</v>
      </c>
      <c r="U477" s="25"/>
      <c r="V477" s="25"/>
      <c r="W477" s="25">
        <v>0</v>
      </c>
      <c r="X477" s="25"/>
      <c r="Y477" s="25"/>
      <c r="Z477" s="25">
        <v>0</v>
      </c>
      <c r="AA477" s="25"/>
      <c r="AB477" s="25"/>
      <c r="AC477" s="25">
        <v>0</v>
      </c>
      <c r="AD477" s="25"/>
      <c r="AE477" s="25"/>
      <c r="AF477" s="25">
        <v>0</v>
      </c>
      <c r="AG477" s="25"/>
      <c r="AH477" s="25"/>
      <c r="AI477" s="25">
        <v>0</v>
      </c>
      <c r="AJ477" s="25"/>
      <c r="AK477" s="25"/>
      <c r="AL477" s="25"/>
      <c r="AM477" s="25"/>
      <c r="AN477" s="25"/>
      <c r="AO477" s="25"/>
      <c r="AP477" s="25"/>
      <c r="AQ477" s="25"/>
      <c r="AR477" s="25"/>
      <c r="AS477" s="25"/>
      <c r="AT477" s="25"/>
      <c r="AU477" s="25">
        <v>0</v>
      </c>
      <c r="AV477" s="25"/>
      <c r="AW477" s="25"/>
      <c r="AX477" s="25"/>
      <c r="AY477" s="25"/>
      <c r="AZ477" s="25"/>
      <c r="BA477" s="25">
        <v>0</v>
      </c>
      <c r="BB477" s="25"/>
      <c r="BC477" s="25"/>
      <c r="BD477" s="25">
        <v>0</v>
      </c>
      <c r="BE477" s="25"/>
      <c r="BF477" s="25"/>
      <c r="BG477" s="25"/>
      <c r="BH477" s="25"/>
      <c r="BI477" s="25"/>
      <c r="BJ477" s="25"/>
      <c r="BK477" s="25"/>
      <c r="BL477" s="25"/>
      <c r="BM477" s="25"/>
      <c r="BN477" s="25"/>
      <c r="BO477" s="25"/>
      <c r="BP477" s="25"/>
      <c r="BQ477" s="25"/>
      <c r="BR477" s="25"/>
      <c r="BS477" s="25"/>
      <c r="BT477" s="25"/>
      <c r="BU477" s="25"/>
      <c r="BV477" s="25"/>
      <c r="BW477" s="25"/>
      <c r="BX477" s="25"/>
      <c r="BY477" s="25">
        <v>0</v>
      </c>
      <c r="BZ477" s="25"/>
      <c r="CA477" s="25"/>
      <c r="CB477" s="25">
        <v>0</v>
      </c>
      <c r="CC477" s="26"/>
      <c r="CD477" s="26"/>
      <c r="CE477" s="112">
        <f>47500000+200000000</f>
        <v>247500000</v>
      </c>
      <c r="CF477" s="112">
        <v>237046000</v>
      </c>
      <c r="CG477" s="112">
        <v>236709000</v>
      </c>
      <c r="CH477" s="9"/>
      <c r="CI477" s="9"/>
      <c r="CJ477" s="9"/>
      <c r="CK477" s="25">
        <v>0</v>
      </c>
      <c r="CL477" s="26"/>
      <c r="CM477" s="26"/>
      <c r="CN477" s="26">
        <v>0</v>
      </c>
      <c r="CO477" s="26"/>
      <c r="CP477" s="26"/>
      <c r="CQ477" s="26"/>
      <c r="CR477" s="26"/>
      <c r="CS477" s="26"/>
      <c r="CT477" s="25">
        <f t="shared" ref="CT477:CV478" si="254">Q477+T477+W477+Z477+AC477+AF477+AI477+AL477+AO477+AR477+AU477+AX477+BA477+BD477+BG477+BJ477+BM477+BP477+BS477+BV477+BY477+CB477+CE477+CH477+CK477+CQ477+CN477</f>
        <v>247500000</v>
      </c>
      <c r="CU477" s="25">
        <f t="shared" si="254"/>
        <v>237046000</v>
      </c>
      <c r="CV477" s="25">
        <f t="shared" si="254"/>
        <v>236709000</v>
      </c>
    </row>
    <row r="478" spans="1:100" s="27" customFormat="1" ht="189" customHeight="1" x14ac:dyDescent="0.25">
      <c r="A478" s="19"/>
      <c r="B478" s="152"/>
      <c r="C478" s="1113"/>
      <c r="D478" s="1115"/>
      <c r="E478" s="1117"/>
      <c r="F478" s="1117"/>
      <c r="G478" s="29"/>
      <c r="H478" s="929">
        <v>181</v>
      </c>
      <c r="I478" s="928" t="s">
        <v>582</v>
      </c>
      <c r="J478" s="929">
        <v>6</v>
      </c>
      <c r="K478" s="929">
        <v>6</v>
      </c>
      <c r="L478" s="653">
        <v>6</v>
      </c>
      <c r="M478" s="1013"/>
      <c r="N478" s="1019"/>
      <c r="O478" s="1013"/>
      <c r="P478" s="929" t="s">
        <v>38</v>
      </c>
      <c r="Q478" s="25">
        <v>0</v>
      </c>
      <c r="R478" s="25"/>
      <c r="S478" s="25"/>
      <c r="T478" s="25">
        <v>0</v>
      </c>
      <c r="U478" s="25"/>
      <c r="V478" s="25"/>
      <c r="W478" s="25">
        <v>0</v>
      </c>
      <c r="X478" s="25"/>
      <c r="Y478" s="25"/>
      <c r="Z478" s="25">
        <v>0</v>
      </c>
      <c r="AA478" s="25"/>
      <c r="AB478" s="25"/>
      <c r="AC478" s="25">
        <v>0</v>
      </c>
      <c r="AD478" s="25"/>
      <c r="AE478" s="25"/>
      <c r="AF478" s="25">
        <v>0</v>
      </c>
      <c r="AG478" s="25"/>
      <c r="AH478" s="25"/>
      <c r="AI478" s="25">
        <v>0</v>
      </c>
      <c r="AJ478" s="25"/>
      <c r="AK478" s="25"/>
      <c r="AL478" s="25"/>
      <c r="AM478" s="25"/>
      <c r="AN478" s="25"/>
      <c r="AO478" s="25"/>
      <c r="AP478" s="25"/>
      <c r="AQ478" s="25"/>
      <c r="AR478" s="25"/>
      <c r="AS478" s="25"/>
      <c r="AT478" s="25"/>
      <c r="AU478" s="25">
        <v>0</v>
      </c>
      <c r="AV478" s="25"/>
      <c r="AW478" s="25"/>
      <c r="AX478" s="25"/>
      <c r="AY478" s="25"/>
      <c r="AZ478" s="25"/>
      <c r="BA478" s="25">
        <v>0</v>
      </c>
      <c r="BB478" s="25"/>
      <c r="BC478" s="25"/>
      <c r="BD478" s="25">
        <v>0</v>
      </c>
      <c r="BE478" s="25"/>
      <c r="BF478" s="25"/>
      <c r="BG478" s="25"/>
      <c r="BH478" s="25"/>
      <c r="BI478" s="25"/>
      <c r="BJ478" s="25"/>
      <c r="BK478" s="25"/>
      <c r="BL478" s="25"/>
      <c r="BM478" s="25"/>
      <c r="BN478" s="25"/>
      <c r="BO478" s="25"/>
      <c r="BP478" s="25"/>
      <c r="BQ478" s="25"/>
      <c r="BR478" s="25"/>
      <c r="BS478" s="25"/>
      <c r="BT478" s="25"/>
      <c r="BU478" s="25"/>
      <c r="BV478" s="25"/>
      <c r="BW478" s="25"/>
      <c r="BX478" s="25"/>
      <c r="BY478" s="25">
        <v>0</v>
      </c>
      <c r="BZ478" s="25"/>
      <c r="CA478" s="25"/>
      <c r="CB478" s="25">
        <v>0</v>
      </c>
      <c r="CC478" s="26"/>
      <c r="CD478" s="26"/>
      <c r="CE478" s="112">
        <v>12500000</v>
      </c>
      <c r="CF478" s="112">
        <v>12500000</v>
      </c>
      <c r="CG478" s="112">
        <v>12500000</v>
      </c>
      <c r="CH478" s="9"/>
      <c r="CI478" s="9"/>
      <c r="CJ478" s="9"/>
      <c r="CK478" s="25">
        <v>0</v>
      </c>
      <c r="CL478" s="26"/>
      <c r="CM478" s="26"/>
      <c r="CN478" s="26">
        <v>0</v>
      </c>
      <c r="CO478" s="26"/>
      <c r="CP478" s="26"/>
      <c r="CQ478" s="26"/>
      <c r="CR478" s="26"/>
      <c r="CS478" s="26"/>
      <c r="CT478" s="25">
        <f t="shared" si="254"/>
        <v>12500000</v>
      </c>
      <c r="CU478" s="25">
        <f t="shared" si="254"/>
        <v>12500000</v>
      </c>
      <c r="CV478" s="25">
        <f t="shared" si="254"/>
        <v>12500000</v>
      </c>
    </row>
    <row r="479" spans="1:100" ht="15" x14ac:dyDescent="0.25">
      <c r="A479" s="19"/>
      <c r="B479" s="464"/>
      <c r="C479" s="453"/>
      <c r="D479" s="153"/>
      <c r="E479" s="581"/>
      <c r="F479" s="581"/>
      <c r="G479" s="154"/>
      <c r="H479" s="155"/>
      <c r="I479" s="154"/>
      <c r="J479" s="155"/>
      <c r="K479" s="155"/>
      <c r="L479" s="155"/>
      <c r="M479" s="155"/>
      <c r="N479" s="157"/>
      <c r="O479" s="154"/>
      <c r="P479" s="155"/>
      <c r="Q479" s="158">
        <f t="shared" ref="Q479:CB479" si="255">SUM(Q477:Q478)</f>
        <v>0</v>
      </c>
      <c r="R479" s="158">
        <f t="shared" si="255"/>
        <v>0</v>
      </c>
      <c r="S479" s="158">
        <f t="shared" si="255"/>
        <v>0</v>
      </c>
      <c r="T479" s="158">
        <f t="shared" si="255"/>
        <v>0</v>
      </c>
      <c r="U479" s="158">
        <f t="shared" si="255"/>
        <v>0</v>
      </c>
      <c r="V479" s="158">
        <f t="shared" si="255"/>
        <v>0</v>
      </c>
      <c r="W479" s="158">
        <f t="shared" si="255"/>
        <v>0</v>
      </c>
      <c r="X479" s="158">
        <f t="shared" si="255"/>
        <v>0</v>
      </c>
      <c r="Y479" s="158">
        <f t="shared" si="255"/>
        <v>0</v>
      </c>
      <c r="Z479" s="158">
        <f t="shared" si="255"/>
        <v>0</v>
      </c>
      <c r="AA479" s="158">
        <f t="shared" si="255"/>
        <v>0</v>
      </c>
      <c r="AB479" s="158">
        <f t="shared" si="255"/>
        <v>0</v>
      </c>
      <c r="AC479" s="158">
        <f t="shared" si="255"/>
        <v>0</v>
      </c>
      <c r="AD479" s="158">
        <f t="shared" si="255"/>
        <v>0</v>
      </c>
      <c r="AE479" s="158">
        <f t="shared" si="255"/>
        <v>0</v>
      </c>
      <c r="AF479" s="158">
        <f t="shared" si="255"/>
        <v>0</v>
      </c>
      <c r="AG479" s="158">
        <f t="shared" si="255"/>
        <v>0</v>
      </c>
      <c r="AH479" s="158">
        <f t="shared" si="255"/>
        <v>0</v>
      </c>
      <c r="AI479" s="158">
        <f t="shared" si="255"/>
        <v>0</v>
      </c>
      <c r="AJ479" s="158">
        <f t="shared" si="255"/>
        <v>0</v>
      </c>
      <c r="AK479" s="158">
        <f t="shared" si="255"/>
        <v>0</v>
      </c>
      <c r="AL479" s="158">
        <f t="shared" si="255"/>
        <v>0</v>
      </c>
      <c r="AM479" s="158">
        <f t="shared" si="255"/>
        <v>0</v>
      </c>
      <c r="AN479" s="158">
        <f t="shared" si="255"/>
        <v>0</v>
      </c>
      <c r="AO479" s="158">
        <f t="shared" si="255"/>
        <v>0</v>
      </c>
      <c r="AP479" s="158">
        <f t="shared" si="255"/>
        <v>0</v>
      </c>
      <c r="AQ479" s="158">
        <f t="shared" si="255"/>
        <v>0</v>
      </c>
      <c r="AR479" s="158">
        <f t="shared" si="255"/>
        <v>0</v>
      </c>
      <c r="AS479" s="158">
        <f t="shared" si="255"/>
        <v>0</v>
      </c>
      <c r="AT479" s="158">
        <f t="shared" si="255"/>
        <v>0</v>
      </c>
      <c r="AU479" s="158">
        <f t="shared" si="255"/>
        <v>0</v>
      </c>
      <c r="AV479" s="158">
        <f t="shared" si="255"/>
        <v>0</v>
      </c>
      <c r="AW479" s="158">
        <f t="shared" si="255"/>
        <v>0</v>
      </c>
      <c r="AX479" s="158">
        <f t="shared" si="255"/>
        <v>0</v>
      </c>
      <c r="AY479" s="158">
        <f t="shared" si="255"/>
        <v>0</v>
      </c>
      <c r="AZ479" s="158">
        <f t="shared" si="255"/>
        <v>0</v>
      </c>
      <c r="BA479" s="158">
        <f t="shared" si="255"/>
        <v>0</v>
      </c>
      <c r="BB479" s="158">
        <f t="shared" si="255"/>
        <v>0</v>
      </c>
      <c r="BC479" s="158">
        <f t="shared" si="255"/>
        <v>0</v>
      </c>
      <c r="BD479" s="158">
        <f t="shared" si="255"/>
        <v>0</v>
      </c>
      <c r="BE479" s="158">
        <f t="shared" si="255"/>
        <v>0</v>
      </c>
      <c r="BF479" s="158">
        <f t="shared" si="255"/>
        <v>0</v>
      </c>
      <c r="BG479" s="158">
        <f t="shared" si="255"/>
        <v>0</v>
      </c>
      <c r="BH479" s="158">
        <f t="shared" si="255"/>
        <v>0</v>
      </c>
      <c r="BI479" s="158">
        <f t="shared" si="255"/>
        <v>0</v>
      </c>
      <c r="BJ479" s="158">
        <f t="shared" si="255"/>
        <v>0</v>
      </c>
      <c r="BK479" s="158">
        <f t="shared" si="255"/>
        <v>0</v>
      </c>
      <c r="BL479" s="158">
        <f t="shared" si="255"/>
        <v>0</v>
      </c>
      <c r="BM479" s="158">
        <f t="shared" si="255"/>
        <v>0</v>
      </c>
      <c r="BN479" s="158">
        <f t="shared" si="255"/>
        <v>0</v>
      </c>
      <c r="BO479" s="158">
        <f t="shared" si="255"/>
        <v>0</v>
      </c>
      <c r="BP479" s="158">
        <f t="shared" si="255"/>
        <v>0</v>
      </c>
      <c r="BQ479" s="158">
        <f t="shared" si="255"/>
        <v>0</v>
      </c>
      <c r="BR479" s="158">
        <f t="shared" si="255"/>
        <v>0</v>
      </c>
      <c r="BS479" s="158">
        <f t="shared" si="255"/>
        <v>0</v>
      </c>
      <c r="BT479" s="158">
        <f t="shared" si="255"/>
        <v>0</v>
      </c>
      <c r="BU479" s="158">
        <f t="shared" si="255"/>
        <v>0</v>
      </c>
      <c r="BV479" s="158">
        <f t="shared" si="255"/>
        <v>0</v>
      </c>
      <c r="BW479" s="158">
        <f t="shared" si="255"/>
        <v>0</v>
      </c>
      <c r="BX479" s="158">
        <f t="shared" si="255"/>
        <v>0</v>
      </c>
      <c r="BY479" s="158">
        <f t="shared" si="255"/>
        <v>0</v>
      </c>
      <c r="BZ479" s="158">
        <f t="shared" si="255"/>
        <v>0</v>
      </c>
      <c r="CA479" s="158">
        <f t="shared" si="255"/>
        <v>0</v>
      </c>
      <c r="CB479" s="158">
        <f t="shared" si="255"/>
        <v>0</v>
      </c>
      <c r="CC479" s="158">
        <f t="shared" ref="CC479:CS479" si="256">SUM(CC477:CC478)</f>
        <v>0</v>
      </c>
      <c r="CD479" s="158">
        <f t="shared" si="256"/>
        <v>0</v>
      </c>
      <c r="CE479" s="158">
        <f t="shared" si="256"/>
        <v>260000000</v>
      </c>
      <c r="CF479" s="158">
        <f t="shared" si="256"/>
        <v>249546000</v>
      </c>
      <c r="CG479" s="158">
        <f t="shared" si="256"/>
        <v>249209000</v>
      </c>
      <c r="CH479" s="158">
        <f t="shared" si="256"/>
        <v>0</v>
      </c>
      <c r="CI479" s="158">
        <f t="shared" si="256"/>
        <v>0</v>
      </c>
      <c r="CJ479" s="158">
        <f t="shared" si="256"/>
        <v>0</v>
      </c>
      <c r="CK479" s="158">
        <f t="shared" si="256"/>
        <v>0</v>
      </c>
      <c r="CL479" s="158">
        <f t="shared" si="256"/>
        <v>0</v>
      </c>
      <c r="CM479" s="158">
        <f t="shared" si="256"/>
        <v>0</v>
      </c>
      <c r="CN479" s="158">
        <f t="shared" si="256"/>
        <v>0</v>
      </c>
      <c r="CO479" s="158">
        <f t="shared" si="256"/>
        <v>0</v>
      </c>
      <c r="CP479" s="158">
        <f t="shared" si="256"/>
        <v>0</v>
      </c>
      <c r="CQ479" s="158">
        <f t="shared" si="256"/>
        <v>0</v>
      </c>
      <c r="CR479" s="158">
        <f t="shared" si="256"/>
        <v>0</v>
      </c>
      <c r="CS479" s="158">
        <f t="shared" si="256"/>
        <v>0</v>
      </c>
      <c r="CT479" s="158">
        <f>SUM(CT477:CT478)</f>
        <v>260000000</v>
      </c>
      <c r="CU479" s="158">
        <f>SUM(CU477:CU478)</f>
        <v>249546000</v>
      </c>
      <c r="CV479" s="158">
        <f>SUM(CV477:CV478)</f>
        <v>249209000</v>
      </c>
    </row>
    <row r="480" spans="1:100" s="27" customFormat="1" ht="15" x14ac:dyDescent="0.25">
      <c r="A480" s="19"/>
      <c r="B480" s="456"/>
      <c r="C480" s="457"/>
      <c r="D480" s="161"/>
      <c r="E480" s="162"/>
      <c r="F480" s="162"/>
      <c r="G480" s="161"/>
      <c r="H480" s="162"/>
      <c r="I480" s="161"/>
      <c r="J480" s="162"/>
      <c r="K480" s="162"/>
      <c r="L480" s="162"/>
      <c r="M480" s="162"/>
      <c r="N480" s="164"/>
      <c r="O480" s="161"/>
      <c r="P480" s="162"/>
      <c r="Q480" s="165">
        <f t="shared" ref="Q480:CB480" si="257">Q479</f>
        <v>0</v>
      </c>
      <c r="R480" s="165">
        <f t="shared" si="257"/>
        <v>0</v>
      </c>
      <c r="S480" s="165">
        <f t="shared" si="257"/>
        <v>0</v>
      </c>
      <c r="T480" s="165">
        <f t="shared" si="257"/>
        <v>0</v>
      </c>
      <c r="U480" s="165">
        <f t="shared" si="257"/>
        <v>0</v>
      </c>
      <c r="V480" s="165">
        <f t="shared" si="257"/>
        <v>0</v>
      </c>
      <c r="W480" s="165">
        <f t="shared" si="257"/>
        <v>0</v>
      </c>
      <c r="X480" s="165">
        <f t="shared" si="257"/>
        <v>0</v>
      </c>
      <c r="Y480" s="165">
        <f t="shared" si="257"/>
        <v>0</v>
      </c>
      <c r="Z480" s="165">
        <f t="shared" si="257"/>
        <v>0</v>
      </c>
      <c r="AA480" s="165">
        <f t="shared" si="257"/>
        <v>0</v>
      </c>
      <c r="AB480" s="165">
        <f t="shared" si="257"/>
        <v>0</v>
      </c>
      <c r="AC480" s="165">
        <f t="shared" si="257"/>
        <v>0</v>
      </c>
      <c r="AD480" s="165">
        <f t="shared" si="257"/>
        <v>0</v>
      </c>
      <c r="AE480" s="165">
        <f t="shared" si="257"/>
        <v>0</v>
      </c>
      <c r="AF480" s="165">
        <f t="shared" si="257"/>
        <v>0</v>
      </c>
      <c r="AG480" s="165">
        <f t="shared" si="257"/>
        <v>0</v>
      </c>
      <c r="AH480" s="165">
        <f t="shared" si="257"/>
        <v>0</v>
      </c>
      <c r="AI480" s="165">
        <f t="shared" si="257"/>
        <v>0</v>
      </c>
      <c r="AJ480" s="165">
        <f t="shared" si="257"/>
        <v>0</v>
      </c>
      <c r="AK480" s="165">
        <f t="shared" si="257"/>
        <v>0</v>
      </c>
      <c r="AL480" s="165">
        <f t="shared" si="257"/>
        <v>0</v>
      </c>
      <c r="AM480" s="165">
        <f t="shared" si="257"/>
        <v>0</v>
      </c>
      <c r="AN480" s="165">
        <f t="shared" si="257"/>
        <v>0</v>
      </c>
      <c r="AO480" s="165">
        <f t="shared" si="257"/>
        <v>0</v>
      </c>
      <c r="AP480" s="165">
        <f t="shared" si="257"/>
        <v>0</v>
      </c>
      <c r="AQ480" s="165">
        <f t="shared" si="257"/>
        <v>0</v>
      </c>
      <c r="AR480" s="165">
        <f t="shared" si="257"/>
        <v>0</v>
      </c>
      <c r="AS480" s="165">
        <f t="shared" si="257"/>
        <v>0</v>
      </c>
      <c r="AT480" s="165">
        <f t="shared" si="257"/>
        <v>0</v>
      </c>
      <c r="AU480" s="165">
        <f t="shared" si="257"/>
        <v>0</v>
      </c>
      <c r="AV480" s="165">
        <f t="shared" si="257"/>
        <v>0</v>
      </c>
      <c r="AW480" s="165">
        <f t="shared" si="257"/>
        <v>0</v>
      </c>
      <c r="AX480" s="165">
        <f t="shared" si="257"/>
        <v>0</v>
      </c>
      <c r="AY480" s="165">
        <f t="shared" si="257"/>
        <v>0</v>
      </c>
      <c r="AZ480" s="165">
        <f t="shared" si="257"/>
        <v>0</v>
      </c>
      <c r="BA480" s="165">
        <f t="shared" si="257"/>
        <v>0</v>
      </c>
      <c r="BB480" s="165">
        <f t="shared" si="257"/>
        <v>0</v>
      </c>
      <c r="BC480" s="165">
        <f t="shared" si="257"/>
        <v>0</v>
      </c>
      <c r="BD480" s="165">
        <f t="shared" si="257"/>
        <v>0</v>
      </c>
      <c r="BE480" s="165">
        <f t="shared" si="257"/>
        <v>0</v>
      </c>
      <c r="BF480" s="165">
        <f t="shared" si="257"/>
        <v>0</v>
      </c>
      <c r="BG480" s="165">
        <f t="shared" si="257"/>
        <v>0</v>
      </c>
      <c r="BH480" s="165">
        <f t="shared" si="257"/>
        <v>0</v>
      </c>
      <c r="BI480" s="165">
        <f t="shared" si="257"/>
        <v>0</v>
      </c>
      <c r="BJ480" s="165">
        <f t="shared" si="257"/>
        <v>0</v>
      </c>
      <c r="BK480" s="165">
        <f t="shared" si="257"/>
        <v>0</v>
      </c>
      <c r="BL480" s="165">
        <f t="shared" si="257"/>
        <v>0</v>
      </c>
      <c r="BM480" s="165">
        <f t="shared" si="257"/>
        <v>0</v>
      </c>
      <c r="BN480" s="165">
        <f t="shared" si="257"/>
        <v>0</v>
      </c>
      <c r="BO480" s="165">
        <f t="shared" si="257"/>
        <v>0</v>
      </c>
      <c r="BP480" s="165">
        <f t="shared" si="257"/>
        <v>0</v>
      </c>
      <c r="BQ480" s="165">
        <f t="shared" si="257"/>
        <v>0</v>
      </c>
      <c r="BR480" s="165">
        <f t="shared" si="257"/>
        <v>0</v>
      </c>
      <c r="BS480" s="165">
        <f t="shared" si="257"/>
        <v>0</v>
      </c>
      <c r="BT480" s="165">
        <f t="shared" si="257"/>
        <v>0</v>
      </c>
      <c r="BU480" s="165">
        <f t="shared" si="257"/>
        <v>0</v>
      </c>
      <c r="BV480" s="165">
        <f t="shared" si="257"/>
        <v>0</v>
      </c>
      <c r="BW480" s="165">
        <f t="shared" si="257"/>
        <v>0</v>
      </c>
      <c r="BX480" s="165">
        <f t="shared" si="257"/>
        <v>0</v>
      </c>
      <c r="BY480" s="165">
        <f t="shared" si="257"/>
        <v>0</v>
      </c>
      <c r="BZ480" s="165">
        <f t="shared" si="257"/>
        <v>0</v>
      </c>
      <c r="CA480" s="165">
        <f t="shared" si="257"/>
        <v>0</v>
      </c>
      <c r="CB480" s="165">
        <f t="shared" si="257"/>
        <v>0</v>
      </c>
      <c r="CC480" s="165">
        <f t="shared" ref="CC480:CS480" si="258">CC479</f>
        <v>0</v>
      </c>
      <c r="CD480" s="165">
        <f t="shared" si="258"/>
        <v>0</v>
      </c>
      <c r="CE480" s="165">
        <f t="shared" si="258"/>
        <v>260000000</v>
      </c>
      <c r="CF480" s="165">
        <f t="shared" si="258"/>
        <v>249546000</v>
      </c>
      <c r="CG480" s="165">
        <f t="shared" si="258"/>
        <v>249209000</v>
      </c>
      <c r="CH480" s="165">
        <f t="shared" si="258"/>
        <v>0</v>
      </c>
      <c r="CI480" s="165">
        <f t="shared" si="258"/>
        <v>0</v>
      </c>
      <c r="CJ480" s="165">
        <f t="shared" si="258"/>
        <v>0</v>
      </c>
      <c r="CK480" s="165">
        <f t="shared" si="258"/>
        <v>0</v>
      </c>
      <c r="CL480" s="165">
        <f t="shared" si="258"/>
        <v>0</v>
      </c>
      <c r="CM480" s="165">
        <f t="shared" si="258"/>
        <v>0</v>
      </c>
      <c r="CN480" s="165">
        <f t="shared" si="258"/>
        <v>0</v>
      </c>
      <c r="CO480" s="165">
        <f t="shared" si="258"/>
        <v>0</v>
      </c>
      <c r="CP480" s="165">
        <f t="shared" si="258"/>
        <v>0</v>
      </c>
      <c r="CQ480" s="165">
        <f t="shared" si="258"/>
        <v>0</v>
      </c>
      <c r="CR480" s="165">
        <f t="shared" si="258"/>
        <v>0</v>
      </c>
      <c r="CS480" s="165">
        <f t="shared" si="258"/>
        <v>0</v>
      </c>
      <c r="CT480" s="165">
        <f>CT479</f>
        <v>260000000</v>
      </c>
      <c r="CU480" s="165">
        <f>CU479</f>
        <v>249546000</v>
      </c>
      <c r="CV480" s="165">
        <f>CV479</f>
        <v>249209000</v>
      </c>
    </row>
    <row r="481" spans="1:100" s="27" customFormat="1" ht="15" x14ac:dyDescent="0.25">
      <c r="A481" s="19"/>
      <c r="B481" s="465"/>
      <c r="C481" s="466"/>
      <c r="D481" s="177"/>
      <c r="E481" s="949"/>
      <c r="F481" s="949"/>
      <c r="G481" s="177"/>
      <c r="H481" s="949"/>
      <c r="I481" s="177"/>
      <c r="J481" s="949"/>
      <c r="K481" s="949"/>
      <c r="L481" s="949"/>
      <c r="M481" s="949"/>
      <c r="N481" s="179"/>
      <c r="O481" s="177"/>
      <c r="P481" s="949"/>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1"/>
      <c r="BH481" s="181"/>
      <c r="BI481" s="181"/>
      <c r="BJ481" s="181"/>
      <c r="BK481" s="181"/>
      <c r="BL481" s="181"/>
      <c r="BM481" s="181"/>
      <c r="BN481" s="181"/>
      <c r="BO481" s="181"/>
      <c r="BP481" s="181"/>
      <c r="BQ481" s="181"/>
      <c r="BR481" s="181"/>
      <c r="BS481" s="181"/>
      <c r="BT481" s="181"/>
      <c r="BU481" s="181"/>
      <c r="BV481" s="181"/>
      <c r="BW481" s="181"/>
      <c r="BX481" s="181"/>
      <c r="BY481" s="180"/>
      <c r="BZ481" s="180"/>
      <c r="CA481" s="180"/>
      <c r="CB481" s="180"/>
      <c r="CC481" s="180"/>
      <c r="CD481" s="180"/>
      <c r="CE481" s="182"/>
      <c r="CF481" s="182"/>
      <c r="CG481" s="182"/>
      <c r="CH481" s="183"/>
      <c r="CI481" s="183"/>
      <c r="CJ481" s="183"/>
      <c r="CK481" s="180"/>
      <c r="CL481" s="180"/>
      <c r="CM481" s="180"/>
      <c r="CN481" s="180"/>
      <c r="CO481" s="180"/>
      <c r="CP481" s="180"/>
      <c r="CQ481" s="180"/>
      <c r="CR481" s="180"/>
      <c r="CS481" s="180"/>
      <c r="CT481" s="25"/>
      <c r="CU481" s="76"/>
      <c r="CV481" s="76"/>
    </row>
    <row r="482" spans="1:100" s="27" customFormat="1" ht="15" x14ac:dyDescent="0.25">
      <c r="A482" s="19"/>
      <c r="B482" s="239">
        <v>17</v>
      </c>
      <c r="C482" s="146" t="s">
        <v>583</v>
      </c>
      <c r="D482" s="146"/>
      <c r="E482" s="146"/>
      <c r="F482" s="146"/>
      <c r="G482" s="146"/>
      <c r="H482" s="147"/>
      <c r="I482" s="146"/>
      <c r="J482" s="146"/>
      <c r="K482" s="146"/>
      <c r="L482" s="146"/>
      <c r="M482" s="146"/>
      <c r="N482" s="677"/>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c r="BI482" s="146"/>
      <c r="BJ482" s="146"/>
      <c r="BK482" s="146"/>
      <c r="BL482" s="146"/>
      <c r="BM482" s="146"/>
      <c r="BN482" s="146"/>
      <c r="BO482" s="146"/>
      <c r="BP482" s="146"/>
      <c r="BQ482" s="146"/>
      <c r="BR482" s="146"/>
      <c r="BS482" s="146"/>
      <c r="BT482" s="146"/>
      <c r="BU482" s="146"/>
      <c r="BV482" s="146"/>
      <c r="BW482" s="146"/>
      <c r="BX482" s="146"/>
      <c r="BY482" s="146"/>
      <c r="BZ482" s="146"/>
      <c r="CA482" s="146"/>
      <c r="CB482" s="146"/>
      <c r="CC482" s="146"/>
      <c r="CD482" s="146"/>
      <c r="CE482" s="148"/>
      <c r="CF482" s="148"/>
      <c r="CG482" s="148"/>
      <c r="CH482" s="146"/>
      <c r="CI482" s="146"/>
      <c r="CJ482" s="146"/>
      <c r="CK482" s="146"/>
      <c r="CL482" s="146"/>
      <c r="CM482" s="146"/>
      <c r="CN482" s="146"/>
      <c r="CO482" s="146"/>
      <c r="CP482" s="146"/>
      <c r="CQ482" s="146"/>
      <c r="CR482" s="146"/>
      <c r="CS482" s="146"/>
      <c r="CT482" s="526"/>
      <c r="CU482" s="526"/>
      <c r="CV482" s="526"/>
    </row>
    <row r="483" spans="1:100" ht="15" x14ac:dyDescent="0.25">
      <c r="A483" s="19"/>
      <c r="B483" s="467"/>
      <c r="C483" s="453"/>
      <c r="D483" s="153"/>
      <c r="E483" s="581"/>
      <c r="F483" s="581"/>
      <c r="G483" s="339">
        <v>58</v>
      </c>
      <c r="H483" s="189" t="s">
        <v>584</v>
      </c>
      <c r="I483" s="189"/>
      <c r="J483" s="189"/>
      <c r="K483" s="189"/>
      <c r="L483" s="189"/>
      <c r="M483" s="189"/>
      <c r="N483" s="684"/>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189"/>
      <c r="BH483" s="189"/>
      <c r="BI483" s="189"/>
      <c r="BJ483" s="189"/>
      <c r="BK483" s="189"/>
      <c r="BL483" s="189"/>
      <c r="BM483" s="189"/>
      <c r="BN483" s="189"/>
      <c r="BO483" s="189"/>
      <c r="BP483" s="189"/>
      <c r="BQ483" s="189"/>
      <c r="BR483" s="189"/>
      <c r="BS483" s="189"/>
      <c r="BT483" s="189"/>
      <c r="BU483" s="189"/>
      <c r="BV483" s="189"/>
      <c r="BW483" s="189"/>
      <c r="BX483" s="189"/>
      <c r="BY483" s="189"/>
      <c r="BZ483" s="189"/>
      <c r="CA483" s="189"/>
      <c r="CB483" s="189"/>
      <c r="CC483" s="189"/>
      <c r="CD483" s="189"/>
      <c r="CE483" s="190"/>
      <c r="CF483" s="190"/>
      <c r="CG483" s="190"/>
      <c r="CH483" s="189"/>
      <c r="CI483" s="189"/>
      <c r="CJ483" s="189"/>
      <c r="CK483" s="189"/>
      <c r="CL483" s="189"/>
      <c r="CM483" s="189"/>
      <c r="CN483" s="189"/>
      <c r="CO483" s="189"/>
      <c r="CP483" s="189"/>
      <c r="CQ483" s="189"/>
      <c r="CR483" s="189"/>
      <c r="CS483" s="189"/>
      <c r="CT483" s="522"/>
      <c r="CU483" s="522"/>
      <c r="CV483" s="522"/>
    </row>
    <row r="484" spans="1:100" ht="79.5" customHeight="1" x14ac:dyDescent="0.25">
      <c r="A484" s="19"/>
      <c r="B484" s="468"/>
      <c r="C484" s="469">
        <v>22</v>
      </c>
      <c r="D484" s="153" t="s">
        <v>585</v>
      </c>
      <c r="E484" s="581" t="s">
        <v>586</v>
      </c>
      <c r="F484" s="581" t="s">
        <v>587</v>
      </c>
      <c r="G484" s="22"/>
      <c r="H484" s="929">
        <v>183</v>
      </c>
      <c r="I484" s="928" t="s">
        <v>588</v>
      </c>
      <c r="J484" s="30">
        <v>0</v>
      </c>
      <c r="K484" s="30">
        <v>1</v>
      </c>
      <c r="L484" s="654">
        <v>1</v>
      </c>
      <c r="M484" s="69" t="s">
        <v>579</v>
      </c>
      <c r="N484" s="36" t="s">
        <v>589</v>
      </c>
      <c r="O484" s="928" t="s">
        <v>590</v>
      </c>
      <c r="P484" s="929" t="s">
        <v>38</v>
      </c>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0"/>
      <c r="BH484" s="250"/>
      <c r="BI484" s="250"/>
      <c r="BJ484" s="250"/>
      <c r="BK484" s="250"/>
      <c r="BL484" s="250"/>
      <c r="BM484" s="250"/>
      <c r="BN484" s="250"/>
      <c r="BO484" s="250"/>
      <c r="BP484" s="250"/>
      <c r="BQ484" s="250"/>
      <c r="BR484" s="250"/>
      <c r="BS484" s="250"/>
      <c r="BT484" s="250"/>
      <c r="BU484" s="250"/>
      <c r="BV484" s="250"/>
      <c r="BW484" s="250"/>
      <c r="BX484" s="250"/>
      <c r="BY484" s="25"/>
      <c r="BZ484" s="25"/>
      <c r="CA484" s="25"/>
      <c r="CB484" s="25"/>
      <c r="CC484" s="25"/>
      <c r="CD484" s="25"/>
      <c r="CE484" s="110">
        <f>80000000+100000000</f>
        <v>180000000</v>
      </c>
      <c r="CF484" s="110">
        <v>180000000</v>
      </c>
      <c r="CG484" s="110">
        <v>74000000</v>
      </c>
      <c r="CH484" s="13"/>
      <c r="CI484" s="13"/>
      <c r="CJ484" s="13"/>
      <c r="CK484" s="25"/>
      <c r="CL484" s="26"/>
      <c r="CM484" s="26"/>
      <c r="CN484" s="470"/>
      <c r="CO484" s="470"/>
      <c r="CP484" s="470"/>
      <c r="CQ484" s="470"/>
      <c r="CR484" s="470"/>
      <c r="CS484" s="470"/>
      <c r="CT484" s="25">
        <f>Q484+T484+W484+Z484+AC484+AF484+AI484+AL484+AO484+AR484+AU484+AX484+BA484+BD484+BG484+BJ484+BM484+BP484+BS484+BV484+BY484+CB484+CE484+CH484+CK484+CQ484+CN484</f>
        <v>180000000</v>
      </c>
      <c r="CU484" s="25">
        <f>R484+U484+X484+AA484+AD484+AG484+AJ484+AM484+AP484+AS484+AV484+AY484+BB484+BE484+BH484+BK484+BN484+BQ484+BT484+BW484+BZ484+CC484+CF484+CI484+CL484+CR484+CO484</f>
        <v>180000000</v>
      </c>
      <c r="CV484" s="25">
        <f>S484+V484+Y484+AB484+AE484+AH484+AK484+AN484+AQ484+AT484+AW484+AZ484+BC484+BF484+BI484+BL484+BO484+BR484+BU484+BX484+CA484+CD484+CG484+CJ484+CM484+CS484+CP484</f>
        <v>74000000</v>
      </c>
    </row>
    <row r="485" spans="1:100" ht="15" x14ac:dyDescent="0.25">
      <c r="A485" s="19"/>
      <c r="B485" s="468"/>
      <c r="C485" s="469"/>
      <c r="D485" s="153"/>
      <c r="E485" s="581"/>
      <c r="F485" s="581"/>
      <c r="G485" s="154"/>
      <c r="H485" s="155"/>
      <c r="I485" s="154"/>
      <c r="J485" s="311"/>
      <c r="K485" s="311"/>
      <c r="L485" s="311"/>
      <c r="M485" s="311"/>
      <c r="N485" s="157"/>
      <c r="O485" s="154"/>
      <c r="P485" s="155"/>
      <c r="Q485" s="158">
        <f>SUM(Q484:Q484)</f>
        <v>0</v>
      </c>
      <c r="R485" s="158">
        <f t="shared" ref="R485:CC485" si="259">SUM(R484:R484)</f>
        <v>0</v>
      </c>
      <c r="S485" s="158">
        <f t="shared" si="259"/>
        <v>0</v>
      </c>
      <c r="T485" s="158">
        <f t="shared" si="259"/>
        <v>0</v>
      </c>
      <c r="U485" s="158">
        <f t="shared" si="259"/>
        <v>0</v>
      </c>
      <c r="V485" s="158">
        <f t="shared" si="259"/>
        <v>0</v>
      </c>
      <c r="W485" s="158">
        <f t="shared" si="259"/>
        <v>0</v>
      </c>
      <c r="X485" s="158">
        <f t="shared" si="259"/>
        <v>0</v>
      </c>
      <c r="Y485" s="158">
        <f t="shared" si="259"/>
        <v>0</v>
      </c>
      <c r="Z485" s="158">
        <f t="shared" si="259"/>
        <v>0</v>
      </c>
      <c r="AA485" s="158">
        <f t="shared" si="259"/>
        <v>0</v>
      </c>
      <c r="AB485" s="158">
        <f t="shared" si="259"/>
        <v>0</v>
      </c>
      <c r="AC485" s="158">
        <f t="shared" si="259"/>
        <v>0</v>
      </c>
      <c r="AD485" s="158">
        <f t="shared" si="259"/>
        <v>0</v>
      </c>
      <c r="AE485" s="158">
        <f t="shared" si="259"/>
        <v>0</v>
      </c>
      <c r="AF485" s="158">
        <f t="shared" si="259"/>
        <v>0</v>
      </c>
      <c r="AG485" s="158">
        <f t="shared" si="259"/>
        <v>0</v>
      </c>
      <c r="AH485" s="158">
        <f t="shared" si="259"/>
        <v>0</v>
      </c>
      <c r="AI485" s="158">
        <f t="shared" si="259"/>
        <v>0</v>
      </c>
      <c r="AJ485" s="158">
        <f t="shared" si="259"/>
        <v>0</v>
      </c>
      <c r="AK485" s="158">
        <f t="shared" si="259"/>
        <v>0</v>
      </c>
      <c r="AL485" s="158">
        <f t="shared" si="259"/>
        <v>0</v>
      </c>
      <c r="AM485" s="158">
        <f t="shared" si="259"/>
        <v>0</v>
      </c>
      <c r="AN485" s="158">
        <f t="shared" si="259"/>
        <v>0</v>
      </c>
      <c r="AO485" s="158">
        <f t="shared" si="259"/>
        <v>0</v>
      </c>
      <c r="AP485" s="158">
        <f t="shared" si="259"/>
        <v>0</v>
      </c>
      <c r="AQ485" s="158">
        <f t="shared" si="259"/>
        <v>0</v>
      </c>
      <c r="AR485" s="158">
        <f t="shared" si="259"/>
        <v>0</v>
      </c>
      <c r="AS485" s="158">
        <f t="shared" si="259"/>
        <v>0</v>
      </c>
      <c r="AT485" s="158">
        <f t="shared" si="259"/>
        <v>0</v>
      </c>
      <c r="AU485" s="158">
        <f t="shared" si="259"/>
        <v>0</v>
      </c>
      <c r="AV485" s="158">
        <f t="shared" si="259"/>
        <v>0</v>
      </c>
      <c r="AW485" s="158">
        <f t="shared" si="259"/>
        <v>0</v>
      </c>
      <c r="AX485" s="158">
        <f t="shared" si="259"/>
        <v>0</v>
      </c>
      <c r="AY485" s="158">
        <f t="shared" si="259"/>
        <v>0</v>
      </c>
      <c r="AZ485" s="158">
        <f t="shared" si="259"/>
        <v>0</v>
      </c>
      <c r="BA485" s="158">
        <f t="shared" si="259"/>
        <v>0</v>
      </c>
      <c r="BB485" s="158">
        <f t="shared" si="259"/>
        <v>0</v>
      </c>
      <c r="BC485" s="158">
        <f t="shared" si="259"/>
        <v>0</v>
      </c>
      <c r="BD485" s="158">
        <f t="shared" si="259"/>
        <v>0</v>
      </c>
      <c r="BE485" s="158">
        <f t="shared" si="259"/>
        <v>0</v>
      </c>
      <c r="BF485" s="158">
        <f t="shared" si="259"/>
        <v>0</v>
      </c>
      <c r="BG485" s="158">
        <f t="shared" si="259"/>
        <v>0</v>
      </c>
      <c r="BH485" s="158">
        <f t="shared" si="259"/>
        <v>0</v>
      </c>
      <c r="BI485" s="158">
        <f t="shared" si="259"/>
        <v>0</v>
      </c>
      <c r="BJ485" s="158">
        <f t="shared" si="259"/>
        <v>0</v>
      </c>
      <c r="BK485" s="158">
        <f t="shared" si="259"/>
        <v>0</v>
      </c>
      <c r="BL485" s="158">
        <f t="shared" si="259"/>
        <v>0</v>
      </c>
      <c r="BM485" s="158">
        <f t="shared" si="259"/>
        <v>0</v>
      </c>
      <c r="BN485" s="158">
        <f t="shared" si="259"/>
        <v>0</v>
      </c>
      <c r="BO485" s="158">
        <f t="shared" si="259"/>
        <v>0</v>
      </c>
      <c r="BP485" s="158">
        <f t="shared" si="259"/>
        <v>0</v>
      </c>
      <c r="BQ485" s="158">
        <f t="shared" si="259"/>
        <v>0</v>
      </c>
      <c r="BR485" s="158">
        <f t="shared" si="259"/>
        <v>0</v>
      </c>
      <c r="BS485" s="158">
        <f t="shared" si="259"/>
        <v>0</v>
      </c>
      <c r="BT485" s="158">
        <f t="shared" si="259"/>
        <v>0</v>
      </c>
      <c r="BU485" s="158">
        <f t="shared" si="259"/>
        <v>0</v>
      </c>
      <c r="BV485" s="158">
        <f t="shared" si="259"/>
        <v>0</v>
      </c>
      <c r="BW485" s="158">
        <f t="shared" si="259"/>
        <v>0</v>
      </c>
      <c r="BX485" s="158">
        <f t="shared" si="259"/>
        <v>0</v>
      </c>
      <c r="BY485" s="158">
        <f t="shared" si="259"/>
        <v>0</v>
      </c>
      <c r="BZ485" s="158">
        <f t="shared" si="259"/>
        <v>0</v>
      </c>
      <c r="CA485" s="158">
        <f t="shared" si="259"/>
        <v>0</v>
      </c>
      <c r="CB485" s="158">
        <f t="shared" si="259"/>
        <v>0</v>
      </c>
      <c r="CC485" s="158">
        <f t="shared" si="259"/>
        <v>0</v>
      </c>
      <c r="CD485" s="158">
        <f t="shared" ref="CD485:CS485" si="260">SUM(CD484:CD484)</f>
        <v>0</v>
      </c>
      <c r="CE485" s="158">
        <f t="shared" si="260"/>
        <v>180000000</v>
      </c>
      <c r="CF485" s="158">
        <f t="shared" si="260"/>
        <v>180000000</v>
      </c>
      <c r="CG485" s="158">
        <f t="shared" si="260"/>
        <v>74000000</v>
      </c>
      <c r="CH485" s="158">
        <f t="shared" si="260"/>
        <v>0</v>
      </c>
      <c r="CI485" s="158">
        <f t="shared" si="260"/>
        <v>0</v>
      </c>
      <c r="CJ485" s="158">
        <f t="shared" si="260"/>
        <v>0</v>
      </c>
      <c r="CK485" s="158">
        <f t="shared" si="260"/>
        <v>0</v>
      </c>
      <c r="CL485" s="158">
        <f t="shared" si="260"/>
        <v>0</v>
      </c>
      <c r="CM485" s="158">
        <f t="shared" si="260"/>
        <v>0</v>
      </c>
      <c r="CN485" s="158">
        <f t="shared" si="260"/>
        <v>0</v>
      </c>
      <c r="CO485" s="158">
        <f t="shared" si="260"/>
        <v>0</v>
      </c>
      <c r="CP485" s="158">
        <f t="shared" si="260"/>
        <v>0</v>
      </c>
      <c r="CQ485" s="158">
        <f t="shared" si="260"/>
        <v>0</v>
      </c>
      <c r="CR485" s="158">
        <f t="shared" si="260"/>
        <v>0</v>
      </c>
      <c r="CS485" s="158">
        <f t="shared" si="260"/>
        <v>0</v>
      </c>
      <c r="CT485" s="158">
        <f>SUM(CT484:CT484)</f>
        <v>180000000</v>
      </c>
      <c r="CU485" s="158">
        <f>SUM(CU484:CU484)</f>
        <v>180000000</v>
      </c>
      <c r="CV485" s="158">
        <f>SUM(CV484:CV484)</f>
        <v>74000000</v>
      </c>
    </row>
    <row r="486" spans="1:100" ht="15" x14ac:dyDescent="0.25">
      <c r="A486" s="19"/>
      <c r="B486" s="468"/>
      <c r="C486" s="471"/>
      <c r="D486" s="419"/>
      <c r="E486" s="471"/>
      <c r="F486" s="471"/>
      <c r="G486" s="419"/>
      <c r="H486" s="471"/>
      <c r="I486" s="419"/>
      <c r="J486" s="472"/>
      <c r="K486" s="472"/>
      <c r="L486" s="472"/>
      <c r="M486" s="472"/>
      <c r="N486" s="418"/>
      <c r="O486" s="419"/>
      <c r="P486" s="471"/>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286"/>
      <c r="CF486" s="286"/>
      <c r="CG486" s="286"/>
      <c r="CH486" s="287"/>
      <c r="CI486" s="287"/>
      <c r="CJ486" s="287"/>
      <c r="CK486" s="106"/>
      <c r="CL486" s="106"/>
      <c r="CM486" s="106"/>
      <c r="CN486" s="106"/>
      <c r="CO486" s="106"/>
      <c r="CP486" s="106"/>
      <c r="CQ486" s="106"/>
      <c r="CR486" s="106"/>
      <c r="CS486" s="106"/>
      <c r="CT486" s="25"/>
      <c r="CU486" s="516"/>
      <c r="CV486" s="516"/>
    </row>
    <row r="487" spans="1:100" ht="15" x14ac:dyDescent="0.25">
      <c r="A487" s="19"/>
      <c r="B487" s="468"/>
      <c r="C487" s="938"/>
      <c r="D487" s="953"/>
      <c r="E487" s="944"/>
      <c r="F487" s="473"/>
      <c r="G487" s="188">
        <v>59</v>
      </c>
      <c r="H487" s="189" t="s">
        <v>591</v>
      </c>
      <c r="I487" s="189"/>
      <c r="J487" s="189"/>
      <c r="K487" s="189"/>
      <c r="L487" s="189"/>
      <c r="M487" s="189"/>
      <c r="N487" s="684"/>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c r="BD487" s="189"/>
      <c r="BE487" s="189"/>
      <c r="BF487" s="189"/>
      <c r="BG487" s="189"/>
      <c r="BH487" s="189"/>
      <c r="BI487" s="189"/>
      <c r="BJ487" s="189"/>
      <c r="BK487" s="189"/>
      <c r="BL487" s="189"/>
      <c r="BM487" s="189"/>
      <c r="BN487" s="189"/>
      <c r="BO487" s="189"/>
      <c r="BP487" s="189"/>
      <c r="BQ487" s="189"/>
      <c r="BR487" s="189"/>
      <c r="BS487" s="189"/>
      <c r="BT487" s="189"/>
      <c r="BU487" s="189"/>
      <c r="BV487" s="189"/>
      <c r="BW487" s="189"/>
      <c r="BX487" s="189"/>
      <c r="BY487" s="189"/>
      <c r="BZ487" s="189"/>
      <c r="CA487" s="189"/>
      <c r="CB487" s="189"/>
      <c r="CC487" s="189"/>
      <c r="CD487" s="189"/>
      <c r="CE487" s="190"/>
      <c r="CF487" s="190"/>
      <c r="CG487" s="190"/>
      <c r="CH487" s="189"/>
      <c r="CI487" s="189"/>
      <c r="CJ487" s="189"/>
      <c r="CK487" s="189"/>
      <c r="CL487" s="189"/>
      <c r="CM487" s="189"/>
      <c r="CN487" s="189"/>
      <c r="CO487" s="189"/>
      <c r="CP487" s="189"/>
      <c r="CQ487" s="189"/>
      <c r="CR487" s="189"/>
      <c r="CS487" s="189"/>
      <c r="CT487" s="522"/>
      <c r="CU487" s="522"/>
      <c r="CV487" s="522"/>
    </row>
    <row r="488" spans="1:100" s="27" customFormat="1" ht="55.5" customHeight="1" x14ac:dyDescent="0.25">
      <c r="A488" s="19"/>
      <c r="B488" s="474"/>
      <c r="C488" s="1067" t="s">
        <v>592</v>
      </c>
      <c r="D488" s="1034" t="s">
        <v>593</v>
      </c>
      <c r="E488" s="1027" t="s">
        <v>594</v>
      </c>
      <c r="F488" s="1027" t="s">
        <v>595</v>
      </c>
      <c r="G488" s="28"/>
      <c r="H488" s="929">
        <v>184</v>
      </c>
      <c r="I488" s="928" t="s">
        <v>596</v>
      </c>
      <c r="J488" s="30">
        <v>1</v>
      </c>
      <c r="K488" s="30">
        <v>1</v>
      </c>
      <c r="L488" s="655">
        <v>1</v>
      </c>
      <c r="M488" s="1109" t="s">
        <v>579</v>
      </c>
      <c r="N488" s="1017" t="s">
        <v>597</v>
      </c>
      <c r="O488" s="1098" t="s">
        <v>598</v>
      </c>
      <c r="P488" s="56" t="s">
        <v>38</v>
      </c>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c r="CB488" s="25"/>
      <c r="CC488" s="26"/>
      <c r="CD488" s="26"/>
      <c r="CE488" s="112">
        <f>25000000+100000000+300000000</f>
        <v>425000000</v>
      </c>
      <c r="CF488" s="112">
        <v>421074252.88</v>
      </c>
      <c r="CG488" s="112">
        <v>421073452.88</v>
      </c>
      <c r="CH488" s="9"/>
      <c r="CI488" s="9"/>
      <c r="CJ488" s="9"/>
      <c r="CK488" s="25"/>
      <c r="CL488" s="26"/>
      <c r="CM488" s="26"/>
      <c r="CN488" s="26"/>
      <c r="CO488" s="26"/>
      <c r="CP488" s="26"/>
      <c r="CQ488" s="26"/>
      <c r="CR488" s="26"/>
      <c r="CS488" s="26"/>
      <c r="CT488" s="25">
        <f t="shared" ref="CT488:CV490" si="261">Q488+T488+W488+Z488+AC488+AF488+AI488+AL488+AO488+AR488+AU488+AX488+BA488+BD488+BG488+BJ488+BM488+BP488+BS488+BV488+BY488+CB488+CE488+CH488+CK488+CQ488+CN488</f>
        <v>425000000</v>
      </c>
      <c r="CU488" s="25">
        <f t="shared" si="261"/>
        <v>421074252.88</v>
      </c>
      <c r="CV488" s="25">
        <f t="shared" si="261"/>
        <v>421073452.88</v>
      </c>
    </row>
    <row r="489" spans="1:100" ht="81" customHeight="1" x14ac:dyDescent="0.25">
      <c r="A489" s="19"/>
      <c r="B489" s="468"/>
      <c r="C489" s="1068"/>
      <c r="D489" s="1118"/>
      <c r="E489" s="1028"/>
      <c r="F489" s="1028"/>
      <c r="G489" s="28"/>
      <c r="H489" s="929">
        <v>185</v>
      </c>
      <c r="I489" s="928" t="s">
        <v>599</v>
      </c>
      <c r="J489" s="30" t="s">
        <v>30</v>
      </c>
      <c r="K489" s="30">
        <v>1</v>
      </c>
      <c r="L489" s="656">
        <v>1</v>
      </c>
      <c r="M489" s="1110"/>
      <c r="N489" s="1018"/>
      <c r="O489" s="1099"/>
      <c r="P489" s="929" t="s">
        <v>38</v>
      </c>
      <c r="Q489" s="25">
        <v>0</v>
      </c>
      <c r="R489" s="25"/>
      <c r="S489" s="25"/>
      <c r="T489" s="25">
        <v>0</v>
      </c>
      <c r="U489" s="25"/>
      <c r="V489" s="25"/>
      <c r="W489" s="25">
        <v>0</v>
      </c>
      <c r="X489" s="25"/>
      <c r="Y489" s="25"/>
      <c r="Z489" s="25">
        <v>0</v>
      </c>
      <c r="AA489" s="25"/>
      <c r="AB489" s="25"/>
      <c r="AC489" s="25">
        <v>0</v>
      </c>
      <c r="AD489" s="25"/>
      <c r="AE489" s="25"/>
      <c r="AF489" s="25">
        <v>0</v>
      </c>
      <c r="AG489" s="25"/>
      <c r="AH489" s="25"/>
      <c r="AI489" s="25">
        <v>0</v>
      </c>
      <c r="AJ489" s="25"/>
      <c r="AK489" s="25"/>
      <c r="AL489" s="25"/>
      <c r="AM489" s="25"/>
      <c r="AN489" s="25"/>
      <c r="AO489" s="25"/>
      <c r="AP489" s="25"/>
      <c r="AQ489" s="25"/>
      <c r="AR489" s="25"/>
      <c r="AS489" s="25"/>
      <c r="AT489" s="25"/>
      <c r="AU489" s="25">
        <v>0</v>
      </c>
      <c r="AV489" s="25"/>
      <c r="AW489" s="25"/>
      <c r="AX489" s="25"/>
      <c r="AY489" s="25"/>
      <c r="AZ489" s="25"/>
      <c r="BA489" s="25">
        <v>0</v>
      </c>
      <c r="BB489" s="25"/>
      <c r="BC489" s="25"/>
      <c r="BD489" s="25">
        <v>0</v>
      </c>
      <c r="BE489" s="25"/>
      <c r="BF489" s="25"/>
      <c r="BG489" s="250"/>
      <c r="BH489" s="250"/>
      <c r="BI489" s="250"/>
      <c r="BJ489" s="250"/>
      <c r="BK489" s="250"/>
      <c r="BL489" s="250"/>
      <c r="BM489" s="250"/>
      <c r="BN489" s="250"/>
      <c r="BO489" s="250"/>
      <c r="BP489" s="250"/>
      <c r="BQ489" s="250"/>
      <c r="BR489" s="250"/>
      <c r="BS489" s="250"/>
      <c r="BT489" s="250"/>
      <c r="BU489" s="250"/>
      <c r="BV489" s="250"/>
      <c r="BW489" s="250"/>
      <c r="BX489" s="250"/>
      <c r="BY489" s="25">
        <v>0</v>
      </c>
      <c r="BZ489" s="25"/>
      <c r="CA489" s="25"/>
      <c r="CB489" s="25">
        <v>0</v>
      </c>
      <c r="CC489" s="26"/>
      <c r="CD489" s="26"/>
      <c r="CE489" s="112">
        <v>16500000</v>
      </c>
      <c r="CF489" s="112">
        <v>16500000</v>
      </c>
      <c r="CG489" s="112">
        <v>16500000</v>
      </c>
      <c r="CH489" s="9"/>
      <c r="CI489" s="9"/>
      <c r="CJ489" s="9"/>
      <c r="CK489" s="25">
        <v>0</v>
      </c>
      <c r="CL489" s="26"/>
      <c r="CM489" s="26"/>
      <c r="CN489" s="288">
        <v>0</v>
      </c>
      <c r="CO489" s="288"/>
      <c r="CP489" s="288"/>
      <c r="CQ489" s="288"/>
      <c r="CR489" s="288"/>
      <c r="CS489" s="288"/>
      <c r="CT489" s="25">
        <f t="shared" si="261"/>
        <v>16500000</v>
      </c>
      <c r="CU489" s="25">
        <f t="shared" si="261"/>
        <v>16500000</v>
      </c>
      <c r="CV489" s="25">
        <f t="shared" si="261"/>
        <v>16500000</v>
      </c>
    </row>
    <row r="490" spans="1:100" ht="100.5" customHeight="1" x14ac:dyDescent="0.25">
      <c r="A490" s="19"/>
      <c r="B490" s="468"/>
      <c r="C490" s="1069"/>
      <c r="D490" s="1035"/>
      <c r="E490" s="1101"/>
      <c r="F490" s="1101"/>
      <c r="G490" s="29"/>
      <c r="H490" s="929">
        <v>186</v>
      </c>
      <c r="I490" s="928" t="s">
        <v>600</v>
      </c>
      <c r="J490" s="30" t="s">
        <v>30</v>
      </c>
      <c r="K490" s="30">
        <v>1</v>
      </c>
      <c r="L490" s="656">
        <v>1</v>
      </c>
      <c r="M490" s="1111"/>
      <c r="N490" s="1019"/>
      <c r="O490" s="1100"/>
      <c r="P490" s="929" t="s">
        <v>38</v>
      </c>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0"/>
      <c r="BH490" s="250"/>
      <c r="BI490" s="250"/>
      <c r="BJ490" s="250"/>
      <c r="BK490" s="250"/>
      <c r="BL490" s="250"/>
      <c r="BM490" s="250"/>
      <c r="BN490" s="250"/>
      <c r="BO490" s="250"/>
      <c r="BP490" s="250"/>
      <c r="BQ490" s="250"/>
      <c r="BR490" s="250"/>
      <c r="BS490" s="250"/>
      <c r="BT490" s="250"/>
      <c r="BU490" s="250"/>
      <c r="BV490" s="250"/>
      <c r="BW490" s="250"/>
      <c r="BX490" s="250"/>
      <c r="BY490" s="25"/>
      <c r="BZ490" s="25"/>
      <c r="CA490" s="25"/>
      <c r="CB490" s="25"/>
      <c r="CC490" s="26"/>
      <c r="CD490" s="26"/>
      <c r="CE490" s="112">
        <v>28500000</v>
      </c>
      <c r="CF490" s="112">
        <v>27151200</v>
      </c>
      <c r="CG490" s="112">
        <v>27151200</v>
      </c>
      <c r="CH490" s="9"/>
      <c r="CI490" s="9"/>
      <c r="CJ490" s="9"/>
      <c r="CK490" s="25"/>
      <c r="CL490" s="26"/>
      <c r="CM490" s="26"/>
      <c r="CN490" s="288"/>
      <c r="CO490" s="288"/>
      <c r="CP490" s="288"/>
      <c r="CQ490" s="288"/>
      <c r="CR490" s="288"/>
      <c r="CS490" s="288"/>
      <c r="CT490" s="25">
        <f t="shared" si="261"/>
        <v>28500000</v>
      </c>
      <c r="CU490" s="25">
        <f t="shared" si="261"/>
        <v>27151200</v>
      </c>
      <c r="CV490" s="25">
        <f t="shared" si="261"/>
        <v>27151200</v>
      </c>
    </row>
    <row r="491" spans="1:100" ht="15" x14ac:dyDescent="0.25">
      <c r="A491" s="19"/>
      <c r="B491" s="468"/>
      <c r="C491" s="469"/>
      <c r="D491" s="153"/>
      <c r="E491" s="581"/>
      <c r="F491" s="581"/>
      <c r="G491" s="154"/>
      <c r="H491" s="155"/>
      <c r="I491" s="154"/>
      <c r="J491" s="311"/>
      <c r="K491" s="311"/>
      <c r="L491" s="311"/>
      <c r="M491" s="311"/>
      <c r="N491" s="157"/>
      <c r="O491" s="154"/>
      <c r="P491" s="155"/>
      <c r="Q491" s="158">
        <f>SUM(Q488:Q490)</f>
        <v>0</v>
      </c>
      <c r="R491" s="158">
        <f t="shared" ref="R491:CC491" si="262">SUM(R488:R490)</f>
        <v>0</v>
      </c>
      <c r="S491" s="158">
        <f t="shared" si="262"/>
        <v>0</v>
      </c>
      <c r="T491" s="158">
        <f t="shared" si="262"/>
        <v>0</v>
      </c>
      <c r="U491" s="158">
        <f t="shared" si="262"/>
        <v>0</v>
      </c>
      <c r="V491" s="158">
        <f t="shared" si="262"/>
        <v>0</v>
      </c>
      <c r="W491" s="158">
        <f t="shared" si="262"/>
        <v>0</v>
      </c>
      <c r="X491" s="158">
        <f t="shared" si="262"/>
        <v>0</v>
      </c>
      <c r="Y491" s="158">
        <f t="shared" si="262"/>
        <v>0</v>
      </c>
      <c r="Z491" s="158">
        <f t="shared" si="262"/>
        <v>0</v>
      </c>
      <c r="AA491" s="158">
        <f t="shared" si="262"/>
        <v>0</v>
      </c>
      <c r="AB491" s="158">
        <f t="shared" si="262"/>
        <v>0</v>
      </c>
      <c r="AC491" s="158">
        <f t="shared" si="262"/>
        <v>0</v>
      </c>
      <c r="AD491" s="158">
        <f t="shared" si="262"/>
        <v>0</v>
      </c>
      <c r="AE491" s="158">
        <f t="shared" si="262"/>
        <v>0</v>
      </c>
      <c r="AF491" s="158">
        <f t="shared" si="262"/>
        <v>0</v>
      </c>
      <c r="AG491" s="158">
        <f t="shared" si="262"/>
        <v>0</v>
      </c>
      <c r="AH491" s="158">
        <f t="shared" si="262"/>
        <v>0</v>
      </c>
      <c r="AI491" s="158">
        <f t="shared" si="262"/>
        <v>0</v>
      </c>
      <c r="AJ491" s="158">
        <f t="shared" si="262"/>
        <v>0</v>
      </c>
      <c r="AK491" s="158">
        <f t="shared" si="262"/>
        <v>0</v>
      </c>
      <c r="AL491" s="158">
        <f t="shared" si="262"/>
        <v>0</v>
      </c>
      <c r="AM491" s="158">
        <f t="shared" si="262"/>
        <v>0</v>
      </c>
      <c r="AN491" s="158">
        <f t="shared" si="262"/>
        <v>0</v>
      </c>
      <c r="AO491" s="158">
        <f t="shared" si="262"/>
        <v>0</v>
      </c>
      <c r="AP491" s="158">
        <f t="shared" si="262"/>
        <v>0</v>
      </c>
      <c r="AQ491" s="158">
        <f t="shared" si="262"/>
        <v>0</v>
      </c>
      <c r="AR491" s="158">
        <f t="shared" si="262"/>
        <v>0</v>
      </c>
      <c r="AS491" s="158">
        <f t="shared" si="262"/>
        <v>0</v>
      </c>
      <c r="AT491" s="158">
        <f t="shared" si="262"/>
        <v>0</v>
      </c>
      <c r="AU491" s="158">
        <f t="shared" si="262"/>
        <v>0</v>
      </c>
      <c r="AV491" s="158">
        <f t="shared" si="262"/>
        <v>0</v>
      </c>
      <c r="AW491" s="158">
        <f t="shared" si="262"/>
        <v>0</v>
      </c>
      <c r="AX491" s="158">
        <f t="shared" si="262"/>
        <v>0</v>
      </c>
      <c r="AY491" s="158">
        <f t="shared" si="262"/>
        <v>0</v>
      </c>
      <c r="AZ491" s="158">
        <f t="shared" si="262"/>
        <v>0</v>
      </c>
      <c r="BA491" s="158">
        <f t="shared" si="262"/>
        <v>0</v>
      </c>
      <c r="BB491" s="158">
        <f t="shared" si="262"/>
        <v>0</v>
      </c>
      <c r="BC491" s="158">
        <f t="shared" si="262"/>
        <v>0</v>
      </c>
      <c r="BD491" s="158">
        <f t="shared" si="262"/>
        <v>0</v>
      </c>
      <c r="BE491" s="158">
        <f t="shared" si="262"/>
        <v>0</v>
      </c>
      <c r="BF491" s="158">
        <f t="shared" si="262"/>
        <v>0</v>
      </c>
      <c r="BG491" s="158">
        <f t="shared" si="262"/>
        <v>0</v>
      </c>
      <c r="BH491" s="158">
        <f t="shared" si="262"/>
        <v>0</v>
      </c>
      <c r="BI491" s="158">
        <f t="shared" si="262"/>
        <v>0</v>
      </c>
      <c r="BJ491" s="158">
        <f t="shared" si="262"/>
        <v>0</v>
      </c>
      <c r="BK491" s="158">
        <f t="shared" si="262"/>
        <v>0</v>
      </c>
      <c r="BL491" s="158">
        <f t="shared" si="262"/>
        <v>0</v>
      </c>
      <c r="BM491" s="158">
        <f t="shared" si="262"/>
        <v>0</v>
      </c>
      <c r="BN491" s="158">
        <f t="shared" si="262"/>
        <v>0</v>
      </c>
      <c r="BO491" s="158">
        <f t="shared" si="262"/>
        <v>0</v>
      </c>
      <c r="BP491" s="158">
        <f t="shared" si="262"/>
        <v>0</v>
      </c>
      <c r="BQ491" s="158">
        <f t="shared" si="262"/>
        <v>0</v>
      </c>
      <c r="BR491" s="158">
        <f t="shared" si="262"/>
        <v>0</v>
      </c>
      <c r="BS491" s="158">
        <f t="shared" si="262"/>
        <v>0</v>
      </c>
      <c r="BT491" s="158">
        <f t="shared" si="262"/>
        <v>0</v>
      </c>
      <c r="BU491" s="158">
        <f t="shared" si="262"/>
        <v>0</v>
      </c>
      <c r="BV491" s="158">
        <f t="shared" si="262"/>
        <v>0</v>
      </c>
      <c r="BW491" s="158">
        <f t="shared" si="262"/>
        <v>0</v>
      </c>
      <c r="BX491" s="158">
        <f t="shared" si="262"/>
        <v>0</v>
      </c>
      <c r="BY491" s="158">
        <f t="shared" si="262"/>
        <v>0</v>
      </c>
      <c r="BZ491" s="158">
        <f t="shared" si="262"/>
        <v>0</v>
      </c>
      <c r="CA491" s="158">
        <f t="shared" si="262"/>
        <v>0</v>
      </c>
      <c r="CB491" s="158">
        <f t="shared" si="262"/>
        <v>0</v>
      </c>
      <c r="CC491" s="158">
        <f t="shared" si="262"/>
        <v>0</v>
      </c>
      <c r="CD491" s="158">
        <f t="shared" ref="CD491:CS491" si="263">SUM(CD488:CD490)</f>
        <v>0</v>
      </c>
      <c r="CE491" s="158">
        <f t="shared" si="263"/>
        <v>470000000</v>
      </c>
      <c r="CF491" s="158">
        <f t="shared" si="263"/>
        <v>464725452.88</v>
      </c>
      <c r="CG491" s="158">
        <f t="shared" si="263"/>
        <v>464724652.88</v>
      </c>
      <c r="CH491" s="158">
        <f t="shared" si="263"/>
        <v>0</v>
      </c>
      <c r="CI491" s="158">
        <f t="shared" si="263"/>
        <v>0</v>
      </c>
      <c r="CJ491" s="158">
        <f t="shared" si="263"/>
        <v>0</v>
      </c>
      <c r="CK491" s="158">
        <f t="shared" si="263"/>
        <v>0</v>
      </c>
      <c r="CL491" s="158">
        <f t="shared" si="263"/>
        <v>0</v>
      </c>
      <c r="CM491" s="158">
        <f t="shared" si="263"/>
        <v>0</v>
      </c>
      <c r="CN491" s="158">
        <f t="shared" si="263"/>
        <v>0</v>
      </c>
      <c r="CO491" s="158">
        <f t="shared" si="263"/>
        <v>0</v>
      </c>
      <c r="CP491" s="158">
        <f t="shared" si="263"/>
        <v>0</v>
      </c>
      <c r="CQ491" s="158">
        <f t="shared" si="263"/>
        <v>0</v>
      </c>
      <c r="CR491" s="158">
        <f t="shared" si="263"/>
        <v>0</v>
      </c>
      <c r="CS491" s="158">
        <f t="shared" si="263"/>
        <v>0</v>
      </c>
      <c r="CT491" s="158">
        <f>SUM(CT488:CT490)</f>
        <v>470000000</v>
      </c>
      <c r="CU491" s="158">
        <f>SUM(CU488:CU490)</f>
        <v>464725452.88</v>
      </c>
      <c r="CV491" s="158">
        <f>SUM(CV488:CV490)</f>
        <v>464724652.88</v>
      </c>
    </row>
    <row r="492" spans="1:100" ht="15" x14ac:dyDescent="0.25">
      <c r="A492" s="19"/>
      <c r="B492" s="468"/>
      <c r="C492" s="471"/>
      <c r="D492" s="419"/>
      <c r="E492" s="471"/>
      <c r="F492" s="471"/>
      <c r="G492" s="419"/>
      <c r="H492" s="471"/>
      <c r="I492" s="419"/>
      <c r="J492" s="472"/>
      <c r="K492" s="472"/>
      <c r="L492" s="472"/>
      <c r="M492" s="472"/>
      <c r="N492" s="418"/>
      <c r="O492" s="419"/>
      <c r="P492" s="471"/>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286"/>
      <c r="CF492" s="286"/>
      <c r="CG492" s="286"/>
      <c r="CH492" s="287"/>
      <c r="CI492" s="287"/>
      <c r="CJ492" s="287"/>
      <c r="CK492" s="106"/>
      <c r="CL492" s="106"/>
      <c r="CM492" s="106"/>
      <c r="CN492" s="106"/>
      <c r="CO492" s="106"/>
      <c r="CP492" s="106"/>
      <c r="CQ492" s="106"/>
      <c r="CR492" s="106"/>
      <c r="CS492" s="106"/>
      <c r="CT492" s="25"/>
      <c r="CU492" s="516"/>
      <c r="CV492" s="516"/>
    </row>
    <row r="493" spans="1:100" ht="15" x14ac:dyDescent="0.25">
      <c r="A493" s="19"/>
      <c r="B493" s="468"/>
      <c r="C493" s="938"/>
      <c r="D493" s="953"/>
      <c r="E493" s="944"/>
      <c r="F493" s="473"/>
      <c r="G493" s="188">
        <v>60</v>
      </c>
      <c r="H493" s="189" t="s">
        <v>601</v>
      </c>
      <c r="I493" s="189"/>
      <c r="J493" s="189"/>
      <c r="K493" s="189"/>
      <c r="L493" s="189"/>
      <c r="M493" s="189"/>
      <c r="N493" s="684"/>
      <c r="O493" s="189"/>
      <c r="P493" s="189"/>
      <c r="Q493" s="189"/>
      <c r="R493" s="189"/>
      <c r="S493" s="189"/>
      <c r="T493" s="189"/>
      <c r="U493" s="189"/>
      <c r="V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c r="BD493" s="189"/>
      <c r="BE493" s="189"/>
      <c r="BF493" s="189"/>
      <c r="BG493" s="189"/>
      <c r="BH493" s="189"/>
      <c r="BI493" s="189"/>
      <c r="BJ493" s="189"/>
      <c r="BK493" s="189"/>
      <c r="BL493" s="189"/>
      <c r="BM493" s="189"/>
      <c r="BN493" s="189"/>
      <c r="BO493" s="189"/>
      <c r="BP493" s="189"/>
      <c r="BQ493" s="189"/>
      <c r="BR493" s="189"/>
      <c r="BS493" s="189"/>
      <c r="BT493" s="189"/>
      <c r="BU493" s="189"/>
      <c r="BV493" s="189"/>
      <c r="BW493" s="189"/>
      <c r="BX493" s="189"/>
      <c r="BY493" s="189"/>
      <c r="BZ493" s="189"/>
      <c r="CA493" s="189"/>
      <c r="CB493" s="189"/>
      <c r="CC493" s="189"/>
      <c r="CD493" s="189"/>
      <c r="CE493" s="190"/>
      <c r="CF493" s="190"/>
      <c r="CG493" s="190"/>
      <c r="CH493" s="189"/>
      <c r="CI493" s="189"/>
      <c r="CJ493" s="189"/>
      <c r="CK493" s="189"/>
      <c r="CL493" s="189"/>
      <c r="CM493" s="189"/>
      <c r="CN493" s="189"/>
      <c r="CO493" s="189"/>
      <c r="CP493" s="189"/>
      <c r="CQ493" s="189"/>
      <c r="CR493" s="189"/>
      <c r="CS493" s="189"/>
      <c r="CT493" s="522"/>
      <c r="CU493" s="522"/>
      <c r="CV493" s="522"/>
    </row>
    <row r="494" spans="1:100" s="459" customFormat="1" ht="54.95" customHeight="1" x14ac:dyDescent="0.25">
      <c r="A494" s="19"/>
      <c r="B494" s="468"/>
      <c r="C494" s="469">
        <v>22</v>
      </c>
      <c r="D494" s="153" t="s">
        <v>602</v>
      </c>
      <c r="E494" s="582" t="s">
        <v>603</v>
      </c>
      <c r="F494" s="582" t="s">
        <v>604</v>
      </c>
      <c r="G494" s="22"/>
      <c r="H494" s="929">
        <v>187</v>
      </c>
      <c r="I494" s="928" t="s">
        <v>605</v>
      </c>
      <c r="J494" s="30">
        <v>1</v>
      </c>
      <c r="K494" s="30">
        <v>1</v>
      </c>
      <c r="L494" s="657">
        <v>1</v>
      </c>
      <c r="M494" s="1109" t="s">
        <v>579</v>
      </c>
      <c r="N494" s="1017" t="s">
        <v>606</v>
      </c>
      <c r="O494" s="1012" t="s">
        <v>607</v>
      </c>
      <c r="P494" s="929" t="s">
        <v>38</v>
      </c>
      <c r="Q494" s="25">
        <v>0</v>
      </c>
      <c r="R494" s="25"/>
      <c r="S494" s="25"/>
      <c r="T494" s="25">
        <v>0</v>
      </c>
      <c r="U494" s="25"/>
      <c r="V494" s="25"/>
      <c r="W494" s="25">
        <v>0</v>
      </c>
      <c r="X494" s="25"/>
      <c r="Y494" s="25"/>
      <c r="Z494" s="25">
        <v>0</v>
      </c>
      <c r="AA494" s="25"/>
      <c r="AB494" s="25"/>
      <c r="AC494" s="25">
        <v>0</v>
      </c>
      <c r="AD494" s="25"/>
      <c r="AE494" s="25"/>
      <c r="AF494" s="25">
        <v>0</v>
      </c>
      <c r="AG494" s="25"/>
      <c r="AH494" s="25"/>
      <c r="AI494" s="25">
        <v>0</v>
      </c>
      <c r="AJ494" s="25"/>
      <c r="AK494" s="25"/>
      <c r="AL494" s="25"/>
      <c r="AM494" s="25"/>
      <c r="AN494" s="25"/>
      <c r="AO494" s="25"/>
      <c r="AP494" s="25"/>
      <c r="AQ494" s="25"/>
      <c r="AR494" s="25"/>
      <c r="AS494" s="25"/>
      <c r="AT494" s="25"/>
      <c r="AU494" s="25">
        <v>0</v>
      </c>
      <c r="AV494" s="25"/>
      <c r="AW494" s="25"/>
      <c r="AX494" s="25"/>
      <c r="AY494" s="25"/>
      <c r="AZ494" s="25"/>
      <c r="BA494" s="25">
        <v>0</v>
      </c>
      <c r="BB494" s="25"/>
      <c r="BC494" s="25"/>
      <c r="BD494" s="25">
        <v>0</v>
      </c>
      <c r="BE494" s="25"/>
      <c r="BF494" s="25"/>
      <c r="BG494" s="250"/>
      <c r="BH494" s="250"/>
      <c r="BI494" s="250"/>
      <c r="BJ494" s="250"/>
      <c r="BK494" s="250"/>
      <c r="BL494" s="250"/>
      <c r="BM494" s="250"/>
      <c r="BN494" s="250"/>
      <c r="BO494" s="250"/>
      <c r="BP494" s="250"/>
      <c r="BQ494" s="250"/>
      <c r="BR494" s="250"/>
      <c r="BS494" s="250"/>
      <c r="BT494" s="250"/>
      <c r="BU494" s="250"/>
      <c r="BV494" s="250"/>
      <c r="BW494" s="250"/>
      <c r="BX494" s="250"/>
      <c r="BY494" s="25">
        <v>0</v>
      </c>
      <c r="BZ494" s="25"/>
      <c r="CA494" s="25"/>
      <c r="CB494" s="25">
        <v>0</v>
      </c>
      <c r="CC494" s="26"/>
      <c r="CD494" s="26"/>
      <c r="CE494" s="112">
        <f>24350000</f>
        <v>24350000</v>
      </c>
      <c r="CF494" s="112">
        <v>21417000</v>
      </c>
      <c r="CG494" s="112">
        <v>18516990</v>
      </c>
      <c r="CH494" s="9"/>
      <c r="CI494" s="9"/>
      <c r="CJ494" s="9"/>
      <c r="CK494" s="319">
        <v>0</v>
      </c>
      <c r="CL494" s="288"/>
      <c r="CM494" s="288"/>
      <c r="CN494" s="288">
        <v>0</v>
      </c>
      <c r="CO494" s="288"/>
      <c r="CP494" s="288"/>
      <c r="CQ494" s="288"/>
      <c r="CR494" s="288"/>
      <c r="CS494" s="288"/>
      <c r="CT494" s="25">
        <f t="shared" ref="CT494:CV496" si="264">Q494+T494+W494+Z494+AC494+AF494+AI494+AL494+AO494+AR494+AU494+AX494+BA494+BD494+BG494+BJ494+BM494+BP494+BS494+BV494+BY494+CB494+CE494+CH494+CK494+CQ494+CN494</f>
        <v>24350000</v>
      </c>
      <c r="CU494" s="25">
        <f t="shared" si="264"/>
        <v>21417000</v>
      </c>
      <c r="CV494" s="25">
        <f t="shared" si="264"/>
        <v>18516990</v>
      </c>
    </row>
    <row r="495" spans="1:100" s="459" customFormat="1" ht="78" customHeight="1" x14ac:dyDescent="0.25">
      <c r="A495" s="19"/>
      <c r="B495" s="468"/>
      <c r="C495" s="469">
        <v>31</v>
      </c>
      <c r="D495" s="475" t="s">
        <v>608</v>
      </c>
      <c r="E495" s="476">
        <v>0.249</v>
      </c>
      <c r="F495" s="477">
        <v>0.2</v>
      </c>
      <c r="G495" s="28"/>
      <c r="H495" s="929">
        <v>188</v>
      </c>
      <c r="I495" s="928" t="s">
        <v>609</v>
      </c>
      <c r="J495" s="30" t="s">
        <v>30</v>
      </c>
      <c r="K495" s="30">
        <v>2</v>
      </c>
      <c r="L495" s="657">
        <v>2</v>
      </c>
      <c r="M495" s="1110"/>
      <c r="N495" s="1018"/>
      <c r="O495" s="1020"/>
      <c r="P495" s="929" t="s">
        <v>38</v>
      </c>
      <c r="Q495" s="25">
        <v>0</v>
      </c>
      <c r="R495" s="25"/>
      <c r="S495" s="25"/>
      <c r="T495" s="25">
        <v>0</v>
      </c>
      <c r="U495" s="25"/>
      <c r="V495" s="25"/>
      <c r="W495" s="25">
        <v>0</v>
      </c>
      <c r="X495" s="25"/>
      <c r="Y495" s="25"/>
      <c r="Z495" s="25">
        <v>0</v>
      </c>
      <c r="AA495" s="25"/>
      <c r="AB495" s="25"/>
      <c r="AC495" s="25">
        <v>0</v>
      </c>
      <c r="AD495" s="25"/>
      <c r="AE495" s="25"/>
      <c r="AF495" s="25">
        <v>0</v>
      </c>
      <c r="AG495" s="25"/>
      <c r="AH495" s="25"/>
      <c r="AI495" s="25">
        <v>0</v>
      </c>
      <c r="AJ495" s="25"/>
      <c r="AK495" s="25"/>
      <c r="AL495" s="25"/>
      <c r="AM495" s="25"/>
      <c r="AN495" s="25"/>
      <c r="AO495" s="25"/>
      <c r="AP495" s="25"/>
      <c r="AQ495" s="25"/>
      <c r="AR495" s="25"/>
      <c r="AS495" s="25"/>
      <c r="AT495" s="25"/>
      <c r="AU495" s="25">
        <v>0</v>
      </c>
      <c r="AV495" s="25"/>
      <c r="AW495" s="25"/>
      <c r="AX495" s="25"/>
      <c r="AY495" s="25"/>
      <c r="AZ495" s="25"/>
      <c r="BA495" s="25">
        <v>0</v>
      </c>
      <c r="BB495" s="25"/>
      <c r="BC495" s="25"/>
      <c r="BD495" s="25">
        <v>0</v>
      </c>
      <c r="BE495" s="25"/>
      <c r="BF495" s="25"/>
      <c r="BG495" s="250"/>
      <c r="BH495" s="250"/>
      <c r="BI495" s="250"/>
      <c r="BJ495" s="250"/>
      <c r="BK495" s="250"/>
      <c r="BL495" s="250"/>
      <c r="BM495" s="250"/>
      <c r="BN495" s="250"/>
      <c r="BO495" s="250"/>
      <c r="BP495" s="250"/>
      <c r="BQ495" s="250"/>
      <c r="BR495" s="250"/>
      <c r="BS495" s="250"/>
      <c r="BT495" s="250"/>
      <c r="BU495" s="250"/>
      <c r="BV495" s="250"/>
      <c r="BW495" s="250"/>
      <c r="BX495" s="250"/>
      <c r="BY495" s="25">
        <v>0</v>
      </c>
      <c r="BZ495" s="25"/>
      <c r="CA495" s="25"/>
      <c r="CB495" s="25">
        <v>0</v>
      </c>
      <c r="CC495" s="26"/>
      <c r="CD495" s="26"/>
      <c r="CE495" s="118">
        <v>31650000</v>
      </c>
      <c r="CF495" s="118">
        <v>26810000</v>
      </c>
      <c r="CG495" s="118">
        <v>26810000</v>
      </c>
      <c r="CH495" s="6"/>
      <c r="CI495" s="6"/>
      <c r="CJ495" s="6"/>
      <c r="CK495" s="319">
        <v>0</v>
      </c>
      <c r="CL495" s="288"/>
      <c r="CM495" s="288"/>
      <c r="CN495" s="288">
        <v>0</v>
      </c>
      <c r="CO495" s="288"/>
      <c r="CP495" s="288"/>
      <c r="CQ495" s="288"/>
      <c r="CR495" s="288"/>
      <c r="CS495" s="288"/>
      <c r="CT495" s="25">
        <f t="shared" si="264"/>
        <v>31650000</v>
      </c>
      <c r="CU495" s="25">
        <f t="shared" si="264"/>
        <v>26810000</v>
      </c>
      <c r="CV495" s="25">
        <f t="shared" si="264"/>
        <v>26810000</v>
      </c>
    </row>
    <row r="496" spans="1:100" s="27" customFormat="1" ht="81" customHeight="1" x14ac:dyDescent="0.25">
      <c r="A496" s="19"/>
      <c r="B496" s="474"/>
      <c r="C496" s="927">
        <v>32</v>
      </c>
      <c r="D496" s="53" t="s">
        <v>902</v>
      </c>
      <c r="E496" s="478" t="s">
        <v>610</v>
      </c>
      <c r="F496" s="929" t="s">
        <v>611</v>
      </c>
      <c r="G496" s="28"/>
      <c r="H496" s="929">
        <v>189</v>
      </c>
      <c r="I496" s="928" t="s">
        <v>612</v>
      </c>
      <c r="J496" s="30" t="s">
        <v>30</v>
      </c>
      <c r="K496" s="30">
        <v>1</v>
      </c>
      <c r="L496" s="657">
        <v>1</v>
      </c>
      <c r="M496" s="1111"/>
      <c r="N496" s="1019"/>
      <c r="O496" s="1013"/>
      <c r="P496" s="929" t="s">
        <v>38</v>
      </c>
      <c r="Q496" s="25">
        <v>0</v>
      </c>
      <c r="R496" s="25"/>
      <c r="S496" s="25"/>
      <c r="T496" s="25">
        <v>0</v>
      </c>
      <c r="U496" s="25"/>
      <c r="V496" s="25"/>
      <c r="W496" s="25">
        <v>0</v>
      </c>
      <c r="X496" s="25"/>
      <c r="Y496" s="25"/>
      <c r="Z496" s="25">
        <v>0</v>
      </c>
      <c r="AA496" s="25"/>
      <c r="AB496" s="25"/>
      <c r="AC496" s="25">
        <v>0</v>
      </c>
      <c r="AD496" s="25"/>
      <c r="AE496" s="25"/>
      <c r="AF496" s="25">
        <v>0</v>
      </c>
      <c r="AG496" s="25"/>
      <c r="AH496" s="25"/>
      <c r="AI496" s="25">
        <v>0</v>
      </c>
      <c r="AJ496" s="25"/>
      <c r="AK496" s="25"/>
      <c r="AL496" s="25"/>
      <c r="AM496" s="25"/>
      <c r="AN496" s="25"/>
      <c r="AO496" s="25"/>
      <c r="AP496" s="25"/>
      <c r="AQ496" s="25"/>
      <c r="AR496" s="25"/>
      <c r="AS496" s="25"/>
      <c r="AT496" s="25"/>
      <c r="AU496" s="25">
        <v>0</v>
      </c>
      <c r="AV496" s="25"/>
      <c r="AW496" s="25"/>
      <c r="AX496" s="25"/>
      <c r="AY496" s="25"/>
      <c r="AZ496" s="25"/>
      <c r="BA496" s="25">
        <v>0</v>
      </c>
      <c r="BB496" s="25"/>
      <c r="BC496" s="25"/>
      <c r="BD496" s="25">
        <v>0</v>
      </c>
      <c r="BE496" s="25"/>
      <c r="BF496" s="25"/>
      <c r="BG496" s="25"/>
      <c r="BH496" s="25"/>
      <c r="BI496" s="25"/>
      <c r="BJ496" s="25"/>
      <c r="BK496" s="25"/>
      <c r="BL496" s="25"/>
      <c r="BM496" s="25"/>
      <c r="BN496" s="25"/>
      <c r="BO496" s="25"/>
      <c r="BP496" s="25"/>
      <c r="BQ496" s="25"/>
      <c r="BR496" s="25"/>
      <c r="BS496" s="25"/>
      <c r="BT496" s="25"/>
      <c r="BU496" s="25"/>
      <c r="BV496" s="25"/>
      <c r="BW496" s="25"/>
      <c r="BX496" s="25"/>
      <c r="BY496" s="25">
        <v>0</v>
      </c>
      <c r="BZ496" s="25"/>
      <c r="CA496" s="25"/>
      <c r="CB496" s="25">
        <v>0</v>
      </c>
      <c r="CC496" s="26"/>
      <c r="CD496" s="26"/>
      <c r="CE496" s="112">
        <f>44000000+60000000</f>
        <v>104000000</v>
      </c>
      <c r="CF496" s="112">
        <v>103346916</v>
      </c>
      <c r="CG496" s="112">
        <v>103346916</v>
      </c>
      <c r="CH496" s="9"/>
      <c r="CI496" s="9"/>
      <c r="CJ496" s="9"/>
      <c r="CK496" s="25">
        <v>0</v>
      </c>
      <c r="CL496" s="26"/>
      <c r="CM496" s="26"/>
      <c r="CN496" s="26">
        <v>0</v>
      </c>
      <c r="CO496" s="26"/>
      <c r="CP496" s="26"/>
      <c r="CQ496" s="26"/>
      <c r="CR496" s="26"/>
      <c r="CS496" s="26"/>
      <c r="CT496" s="25">
        <f t="shared" si="264"/>
        <v>104000000</v>
      </c>
      <c r="CU496" s="25">
        <f t="shared" si="264"/>
        <v>103346916</v>
      </c>
      <c r="CV496" s="25">
        <f t="shared" si="264"/>
        <v>103346916</v>
      </c>
    </row>
    <row r="497" spans="1:100" ht="15" x14ac:dyDescent="0.25">
      <c r="A497" s="19"/>
      <c r="B497" s="468"/>
      <c r="C497" s="469"/>
      <c r="D497" s="153"/>
      <c r="E497" s="581"/>
      <c r="F497" s="581"/>
      <c r="G497" s="154"/>
      <c r="H497" s="155"/>
      <c r="I497" s="154"/>
      <c r="J497" s="311"/>
      <c r="K497" s="311"/>
      <c r="L497" s="311"/>
      <c r="M497" s="311"/>
      <c r="N497" s="157"/>
      <c r="O497" s="154"/>
      <c r="P497" s="155"/>
      <c r="Q497" s="158">
        <f>SUM(Q494:Q496)</f>
        <v>0</v>
      </c>
      <c r="R497" s="158">
        <f t="shared" ref="R497:CC497" si="265">SUM(R494:R496)</f>
        <v>0</v>
      </c>
      <c r="S497" s="158">
        <f t="shared" si="265"/>
        <v>0</v>
      </c>
      <c r="T497" s="158">
        <f t="shared" si="265"/>
        <v>0</v>
      </c>
      <c r="U497" s="158">
        <f t="shared" si="265"/>
        <v>0</v>
      </c>
      <c r="V497" s="158">
        <f t="shared" si="265"/>
        <v>0</v>
      </c>
      <c r="W497" s="158">
        <f t="shared" si="265"/>
        <v>0</v>
      </c>
      <c r="X497" s="158">
        <f t="shared" si="265"/>
        <v>0</v>
      </c>
      <c r="Y497" s="158">
        <f t="shared" si="265"/>
        <v>0</v>
      </c>
      <c r="Z497" s="158">
        <f t="shared" si="265"/>
        <v>0</v>
      </c>
      <c r="AA497" s="158">
        <f t="shared" si="265"/>
        <v>0</v>
      </c>
      <c r="AB497" s="158">
        <f t="shared" si="265"/>
        <v>0</v>
      </c>
      <c r="AC497" s="158">
        <f t="shared" si="265"/>
        <v>0</v>
      </c>
      <c r="AD497" s="158">
        <f t="shared" si="265"/>
        <v>0</v>
      </c>
      <c r="AE497" s="158">
        <f t="shared" si="265"/>
        <v>0</v>
      </c>
      <c r="AF497" s="158">
        <f t="shared" si="265"/>
        <v>0</v>
      </c>
      <c r="AG497" s="158">
        <f t="shared" si="265"/>
        <v>0</v>
      </c>
      <c r="AH497" s="158">
        <f t="shared" si="265"/>
        <v>0</v>
      </c>
      <c r="AI497" s="158">
        <f t="shared" si="265"/>
        <v>0</v>
      </c>
      <c r="AJ497" s="158">
        <f t="shared" si="265"/>
        <v>0</v>
      </c>
      <c r="AK497" s="158">
        <f t="shared" si="265"/>
        <v>0</v>
      </c>
      <c r="AL497" s="158">
        <f t="shared" si="265"/>
        <v>0</v>
      </c>
      <c r="AM497" s="158">
        <f t="shared" si="265"/>
        <v>0</v>
      </c>
      <c r="AN497" s="158">
        <f t="shared" si="265"/>
        <v>0</v>
      </c>
      <c r="AO497" s="158">
        <f t="shared" si="265"/>
        <v>0</v>
      </c>
      <c r="AP497" s="158">
        <f t="shared" si="265"/>
        <v>0</v>
      </c>
      <c r="AQ497" s="158">
        <f t="shared" si="265"/>
        <v>0</v>
      </c>
      <c r="AR497" s="158">
        <f t="shared" si="265"/>
        <v>0</v>
      </c>
      <c r="AS497" s="158">
        <f t="shared" si="265"/>
        <v>0</v>
      </c>
      <c r="AT497" s="158">
        <f t="shared" si="265"/>
        <v>0</v>
      </c>
      <c r="AU497" s="158">
        <f t="shared" si="265"/>
        <v>0</v>
      </c>
      <c r="AV497" s="158">
        <f t="shared" si="265"/>
        <v>0</v>
      </c>
      <c r="AW497" s="158">
        <f t="shared" si="265"/>
        <v>0</v>
      </c>
      <c r="AX497" s="158">
        <f t="shared" si="265"/>
        <v>0</v>
      </c>
      <c r="AY497" s="158">
        <f t="shared" si="265"/>
        <v>0</v>
      </c>
      <c r="AZ497" s="158">
        <f t="shared" si="265"/>
        <v>0</v>
      </c>
      <c r="BA497" s="158">
        <f t="shared" si="265"/>
        <v>0</v>
      </c>
      <c r="BB497" s="158">
        <f t="shared" si="265"/>
        <v>0</v>
      </c>
      <c r="BC497" s="158">
        <f t="shared" si="265"/>
        <v>0</v>
      </c>
      <c r="BD497" s="158">
        <f t="shared" si="265"/>
        <v>0</v>
      </c>
      <c r="BE497" s="158">
        <f t="shared" si="265"/>
        <v>0</v>
      </c>
      <c r="BF497" s="158">
        <f t="shared" si="265"/>
        <v>0</v>
      </c>
      <c r="BG497" s="158">
        <f t="shared" si="265"/>
        <v>0</v>
      </c>
      <c r="BH497" s="158">
        <f t="shared" si="265"/>
        <v>0</v>
      </c>
      <c r="BI497" s="158">
        <f t="shared" si="265"/>
        <v>0</v>
      </c>
      <c r="BJ497" s="158">
        <f t="shared" si="265"/>
        <v>0</v>
      </c>
      <c r="BK497" s="158">
        <f t="shared" si="265"/>
        <v>0</v>
      </c>
      <c r="BL497" s="158">
        <f t="shared" si="265"/>
        <v>0</v>
      </c>
      <c r="BM497" s="158">
        <f t="shared" si="265"/>
        <v>0</v>
      </c>
      <c r="BN497" s="158">
        <f t="shared" si="265"/>
        <v>0</v>
      </c>
      <c r="BO497" s="158">
        <f t="shared" si="265"/>
        <v>0</v>
      </c>
      <c r="BP497" s="158">
        <f t="shared" si="265"/>
        <v>0</v>
      </c>
      <c r="BQ497" s="158">
        <f t="shared" si="265"/>
        <v>0</v>
      </c>
      <c r="BR497" s="158">
        <f t="shared" si="265"/>
        <v>0</v>
      </c>
      <c r="BS497" s="158">
        <f t="shared" si="265"/>
        <v>0</v>
      </c>
      <c r="BT497" s="158">
        <f t="shared" si="265"/>
        <v>0</v>
      </c>
      <c r="BU497" s="158">
        <f t="shared" si="265"/>
        <v>0</v>
      </c>
      <c r="BV497" s="158">
        <f t="shared" si="265"/>
        <v>0</v>
      </c>
      <c r="BW497" s="158">
        <f t="shared" si="265"/>
        <v>0</v>
      </c>
      <c r="BX497" s="158">
        <f t="shared" si="265"/>
        <v>0</v>
      </c>
      <c r="BY497" s="158">
        <f t="shared" si="265"/>
        <v>0</v>
      </c>
      <c r="BZ497" s="158">
        <f t="shared" si="265"/>
        <v>0</v>
      </c>
      <c r="CA497" s="158">
        <f t="shared" si="265"/>
        <v>0</v>
      </c>
      <c r="CB497" s="158">
        <f t="shared" si="265"/>
        <v>0</v>
      </c>
      <c r="CC497" s="158">
        <f t="shared" si="265"/>
        <v>0</v>
      </c>
      <c r="CD497" s="158">
        <f t="shared" ref="CD497:CS497" si="266">SUM(CD494:CD496)</f>
        <v>0</v>
      </c>
      <c r="CE497" s="158">
        <f t="shared" si="266"/>
        <v>160000000</v>
      </c>
      <c r="CF497" s="158">
        <f t="shared" si="266"/>
        <v>151573916</v>
      </c>
      <c r="CG497" s="158">
        <f t="shared" si="266"/>
        <v>148673906</v>
      </c>
      <c r="CH497" s="158">
        <f t="shared" si="266"/>
        <v>0</v>
      </c>
      <c r="CI497" s="158">
        <f t="shared" si="266"/>
        <v>0</v>
      </c>
      <c r="CJ497" s="158">
        <f t="shared" si="266"/>
        <v>0</v>
      </c>
      <c r="CK497" s="158">
        <f t="shared" si="266"/>
        <v>0</v>
      </c>
      <c r="CL497" s="158">
        <f t="shared" si="266"/>
        <v>0</v>
      </c>
      <c r="CM497" s="158">
        <f t="shared" si="266"/>
        <v>0</v>
      </c>
      <c r="CN497" s="158">
        <f t="shared" si="266"/>
        <v>0</v>
      </c>
      <c r="CO497" s="158">
        <f t="shared" si="266"/>
        <v>0</v>
      </c>
      <c r="CP497" s="158">
        <f t="shared" si="266"/>
        <v>0</v>
      </c>
      <c r="CQ497" s="158">
        <f t="shared" si="266"/>
        <v>0</v>
      </c>
      <c r="CR497" s="158">
        <f t="shared" si="266"/>
        <v>0</v>
      </c>
      <c r="CS497" s="158">
        <f t="shared" si="266"/>
        <v>0</v>
      </c>
      <c r="CT497" s="158">
        <f>SUM(CT494:CT496)</f>
        <v>160000000</v>
      </c>
      <c r="CU497" s="158">
        <f>SUM(CU494:CU496)</f>
        <v>151573916</v>
      </c>
      <c r="CV497" s="158">
        <f>SUM(CV494:CV496)</f>
        <v>148673906</v>
      </c>
    </row>
    <row r="498" spans="1:100" ht="15" x14ac:dyDescent="0.25">
      <c r="A498" s="19"/>
      <c r="B498" s="468"/>
      <c r="C498" s="471"/>
      <c r="D498" s="419"/>
      <c r="E498" s="471"/>
      <c r="F498" s="471"/>
      <c r="G498" s="419"/>
      <c r="H498" s="471"/>
      <c r="I498" s="419"/>
      <c r="J498" s="472"/>
      <c r="K498" s="472"/>
      <c r="L498" s="472"/>
      <c r="M498" s="472"/>
      <c r="N498" s="418"/>
      <c r="O498" s="419"/>
      <c r="P498" s="471"/>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286"/>
      <c r="CF498" s="286"/>
      <c r="CG498" s="286"/>
      <c r="CH498" s="287"/>
      <c r="CI498" s="287"/>
      <c r="CJ498" s="287"/>
      <c r="CK498" s="106"/>
      <c r="CL498" s="106"/>
      <c r="CM498" s="106"/>
      <c r="CN498" s="106"/>
      <c r="CO498" s="106"/>
      <c r="CP498" s="106"/>
      <c r="CQ498" s="106"/>
      <c r="CR498" s="106"/>
      <c r="CS498" s="106"/>
      <c r="CT498" s="25"/>
      <c r="CU498" s="516"/>
      <c r="CV498" s="516"/>
    </row>
    <row r="499" spans="1:100" ht="15" x14ac:dyDescent="0.25">
      <c r="A499" s="19"/>
      <c r="B499" s="468"/>
      <c r="C499" s="938"/>
      <c r="D499" s="953"/>
      <c r="E499" s="944"/>
      <c r="F499" s="473"/>
      <c r="G499" s="188">
        <v>61</v>
      </c>
      <c r="H499" s="189" t="s">
        <v>613</v>
      </c>
      <c r="I499" s="189"/>
      <c r="J499" s="189"/>
      <c r="K499" s="189"/>
      <c r="L499" s="189"/>
      <c r="M499" s="189"/>
      <c r="N499" s="684"/>
      <c r="O499" s="189"/>
      <c r="P499" s="189"/>
      <c r="Q499" s="189"/>
      <c r="R499" s="189"/>
      <c r="S499" s="189"/>
      <c r="T499" s="189"/>
      <c r="U499" s="189"/>
      <c r="V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c r="BG499" s="189"/>
      <c r="BH499" s="189"/>
      <c r="BI499" s="189"/>
      <c r="BJ499" s="189"/>
      <c r="BK499" s="189"/>
      <c r="BL499" s="189"/>
      <c r="BM499" s="189"/>
      <c r="BN499" s="189"/>
      <c r="BO499" s="189"/>
      <c r="BP499" s="189"/>
      <c r="BQ499" s="189"/>
      <c r="BR499" s="189"/>
      <c r="BS499" s="189"/>
      <c r="BT499" s="189"/>
      <c r="BU499" s="189"/>
      <c r="BV499" s="189"/>
      <c r="BW499" s="189"/>
      <c r="BX499" s="189"/>
      <c r="BY499" s="189"/>
      <c r="BZ499" s="189"/>
      <c r="CA499" s="189"/>
      <c r="CB499" s="189"/>
      <c r="CC499" s="189"/>
      <c r="CD499" s="189"/>
      <c r="CE499" s="190"/>
      <c r="CF499" s="190"/>
      <c r="CG499" s="190"/>
      <c r="CH499" s="189"/>
      <c r="CI499" s="189"/>
      <c r="CJ499" s="189"/>
      <c r="CK499" s="189"/>
      <c r="CL499" s="189"/>
      <c r="CM499" s="189"/>
      <c r="CN499" s="189"/>
      <c r="CO499" s="189"/>
      <c r="CP499" s="189"/>
      <c r="CQ499" s="189"/>
      <c r="CR499" s="189"/>
      <c r="CS499" s="189"/>
      <c r="CT499" s="522"/>
      <c r="CU499" s="522"/>
      <c r="CV499" s="522"/>
    </row>
    <row r="500" spans="1:100" ht="68.25" customHeight="1" x14ac:dyDescent="0.25">
      <c r="A500" s="19"/>
      <c r="B500" s="468"/>
      <c r="C500" s="469">
        <v>34</v>
      </c>
      <c r="D500" s="475" t="s">
        <v>614</v>
      </c>
      <c r="E500" s="582" t="s">
        <v>30</v>
      </c>
      <c r="F500" s="581">
        <v>40</v>
      </c>
      <c r="G500" s="22"/>
      <c r="H500" s="929">
        <v>190</v>
      </c>
      <c r="I500" s="928" t="s">
        <v>615</v>
      </c>
      <c r="J500" s="10">
        <v>1</v>
      </c>
      <c r="K500" s="10">
        <v>1</v>
      </c>
      <c r="L500" s="658">
        <v>1</v>
      </c>
      <c r="M500" s="928" t="s">
        <v>579</v>
      </c>
      <c r="N500" s="36" t="s">
        <v>616</v>
      </c>
      <c r="O500" s="928" t="s">
        <v>617</v>
      </c>
      <c r="P500" s="929" t="s">
        <v>38</v>
      </c>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0"/>
      <c r="BH500" s="250"/>
      <c r="BI500" s="250"/>
      <c r="BJ500" s="250"/>
      <c r="BK500" s="250"/>
      <c r="BL500" s="250"/>
      <c r="BM500" s="250"/>
      <c r="BN500" s="250"/>
      <c r="BO500" s="250"/>
      <c r="BP500" s="250"/>
      <c r="BQ500" s="250"/>
      <c r="BR500" s="250"/>
      <c r="BS500" s="250"/>
      <c r="BT500" s="250"/>
      <c r="BU500" s="250"/>
      <c r="BV500" s="250"/>
      <c r="BW500" s="250"/>
      <c r="BX500" s="250"/>
      <c r="BY500" s="25"/>
      <c r="BZ500" s="25"/>
      <c r="CA500" s="25"/>
      <c r="CB500" s="25"/>
      <c r="CC500" s="25"/>
      <c r="CD500" s="25"/>
      <c r="CE500" s="110">
        <v>190000000</v>
      </c>
      <c r="CF500" s="110">
        <v>183206718</v>
      </c>
      <c r="CG500" s="110">
        <v>182523851</v>
      </c>
      <c r="CH500" s="13"/>
      <c r="CI500" s="13"/>
      <c r="CJ500" s="13"/>
      <c r="CK500" s="25"/>
      <c r="CL500" s="26"/>
      <c r="CM500" s="26"/>
      <c r="CN500" s="470"/>
      <c r="CO500" s="470"/>
      <c r="CP500" s="470"/>
      <c r="CQ500" s="470"/>
      <c r="CR500" s="470"/>
      <c r="CS500" s="470"/>
      <c r="CT500" s="25">
        <f>Q500+T500+W500+Z500+AC500+AF500+AI500+AL500+AO500+AR500+AU500+AX500+BA500+BD500+BG500+BJ500+BM500+BP500+BS500+BV500+BY500+CB500+CE500+CH500+CK500+CQ500+CN500</f>
        <v>190000000</v>
      </c>
      <c r="CU500" s="25">
        <f>R500+U500+X500+AA500+AD500+AG500+AJ500+AM500+AP500+AS500+AV500+AY500+BB500+BE500+BH500+BK500+BN500+BQ500+BT500+BW500+BZ500+CC500+CF500+CI500+CL500+CR500+CO500</f>
        <v>183206718</v>
      </c>
      <c r="CV500" s="25">
        <f>S500+V500+Y500+AB500+AE500+AH500+AK500+AN500+AQ500+AT500+AW500+AZ500+BC500+BF500+BI500+BL500+BO500+BR500+BU500+BX500+CA500+CD500+CG500+CJ500+CM500+CS500+CP500</f>
        <v>182523851</v>
      </c>
    </row>
    <row r="501" spans="1:100" ht="15" x14ac:dyDescent="0.25">
      <c r="A501" s="19"/>
      <c r="B501" s="479"/>
      <c r="C501" s="469"/>
      <c r="D501" s="153"/>
      <c r="E501" s="581"/>
      <c r="F501" s="581"/>
      <c r="G501" s="154"/>
      <c r="H501" s="155"/>
      <c r="I501" s="154"/>
      <c r="J501" s="249"/>
      <c r="K501" s="249"/>
      <c r="L501" s="249"/>
      <c r="M501" s="249"/>
      <c r="N501" s="157"/>
      <c r="O501" s="154"/>
      <c r="P501" s="155"/>
      <c r="Q501" s="158">
        <f>SUM(Q500:Q500)</f>
        <v>0</v>
      </c>
      <c r="R501" s="158">
        <f t="shared" ref="R501:CC501" si="267">SUM(R500:R500)</f>
        <v>0</v>
      </c>
      <c r="S501" s="158">
        <f t="shared" si="267"/>
        <v>0</v>
      </c>
      <c r="T501" s="158">
        <f t="shared" si="267"/>
        <v>0</v>
      </c>
      <c r="U501" s="158">
        <f t="shared" si="267"/>
        <v>0</v>
      </c>
      <c r="V501" s="158">
        <f t="shared" si="267"/>
        <v>0</v>
      </c>
      <c r="W501" s="158">
        <f t="shared" si="267"/>
        <v>0</v>
      </c>
      <c r="X501" s="158">
        <f t="shared" si="267"/>
        <v>0</v>
      </c>
      <c r="Y501" s="158">
        <f t="shared" si="267"/>
        <v>0</v>
      </c>
      <c r="Z501" s="158">
        <f t="shared" si="267"/>
        <v>0</v>
      </c>
      <c r="AA501" s="158">
        <f t="shared" si="267"/>
        <v>0</v>
      </c>
      <c r="AB501" s="158">
        <f t="shared" si="267"/>
        <v>0</v>
      </c>
      <c r="AC501" s="158">
        <f t="shared" si="267"/>
        <v>0</v>
      </c>
      <c r="AD501" s="158">
        <f t="shared" si="267"/>
        <v>0</v>
      </c>
      <c r="AE501" s="158">
        <f t="shared" si="267"/>
        <v>0</v>
      </c>
      <c r="AF501" s="158">
        <f t="shared" si="267"/>
        <v>0</v>
      </c>
      <c r="AG501" s="158">
        <f t="shared" si="267"/>
        <v>0</v>
      </c>
      <c r="AH501" s="158">
        <f t="shared" si="267"/>
        <v>0</v>
      </c>
      <c r="AI501" s="158">
        <f t="shared" si="267"/>
        <v>0</v>
      </c>
      <c r="AJ501" s="158">
        <f t="shared" si="267"/>
        <v>0</v>
      </c>
      <c r="AK501" s="158">
        <f t="shared" si="267"/>
        <v>0</v>
      </c>
      <c r="AL501" s="158">
        <f t="shared" si="267"/>
        <v>0</v>
      </c>
      <c r="AM501" s="158">
        <f t="shared" si="267"/>
        <v>0</v>
      </c>
      <c r="AN501" s="158">
        <f t="shared" si="267"/>
        <v>0</v>
      </c>
      <c r="AO501" s="158">
        <f t="shared" si="267"/>
        <v>0</v>
      </c>
      <c r="AP501" s="158">
        <f t="shared" si="267"/>
        <v>0</v>
      </c>
      <c r="AQ501" s="158">
        <f t="shared" si="267"/>
        <v>0</v>
      </c>
      <c r="AR501" s="158">
        <f t="shared" si="267"/>
        <v>0</v>
      </c>
      <c r="AS501" s="158">
        <f t="shared" si="267"/>
        <v>0</v>
      </c>
      <c r="AT501" s="158">
        <f t="shared" si="267"/>
        <v>0</v>
      </c>
      <c r="AU501" s="158">
        <f t="shared" si="267"/>
        <v>0</v>
      </c>
      <c r="AV501" s="158">
        <f t="shared" si="267"/>
        <v>0</v>
      </c>
      <c r="AW501" s="158">
        <f t="shared" si="267"/>
        <v>0</v>
      </c>
      <c r="AX501" s="158">
        <f t="shared" si="267"/>
        <v>0</v>
      </c>
      <c r="AY501" s="158">
        <f t="shared" si="267"/>
        <v>0</v>
      </c>
      <c r="AZ501" s="158">
        <f t="shared" si="267"/>
        <v>0</v>
      </c>
      <c r="BA501" s="158">
        <f t="shared" si="267"/>
        <v>0</v>
      </c>
      <c r="BB501" s="158">
        <f t="shared" si="267"/>
        <v>0</v>
      </c>
      <c r="BC501" s="158">
        <f t="shared" si="267"/>
        <v>0</v>
      </c>
      <c r="BD501" s="158">
        <f t="shared" si="267"/>
        <v>0</v>
      </c>
      <c r="BE501" s="158">
        <f t="shared" si="267"/>
        <v>0</v>
      </c>
      <c r="BF501" s="158">
        <f t="shared" si="267"/>
        <v>0</v>
      </c>
      <c r="BG501" s="158">
        <f t="shared" si="267"/>
        <v>0</v>
      </c>
      <c r="BH501" s="158">
        <f t="shared" si="267"/>
        <v>0</v>
      </c>
      <c r="BI501" s="158">
        <f t="shared" si="267"/>
        <v>0</v>
      </c>
      <c r="BJ501" s="158">
        <f t="shared" si="267"/>
        <v>0</v>
      </c>
      <c r="BK501" s="158">
        <f t="shared" si="267"/>
        <v>0</v>
      </c>
      <c r="BL501" s="158">
        <f t="shared" si="267"/>
        <v>0</v>
      </c>
      <c r="BM501" s="158">
        <f t="shared" si="267"/>
        <v>0</v>
      </c>
      <c r="BN501" s="158">
        <f t="shared" si="267"/>
        <v>0</v>
      </c>
      <c r="BO501" s="158">
        <f t="shared" si="267"/>
        <v>0</v>
      </c>
      <c r="BP501" s="158">
        <f t="shared" si="267"/>
        <v>0</v>
      </c>
      <c r="BQ501" s="158">
        <f t="shared" si="267"/>
        <v>0</v>
      </c>
      <c r="BR501" s="158">
        <f t="shared" si="267"/>
        <v>0</v>
      </c>
      <c r="BS501" s="158">
        <f t="shared" si="267"/>
        <v>0</v>
      </c>
      <c r="BT501" s="158">
        <f t="shared" si="267"/>
        <v>0</v>
      </c>
      <c r="BU501" s="158">
        <f t="shared" si="267"/>
        <v>0</v>
      </c>
      <c r="BV501" s="158">
        <f t="shared" si="267"/>
        <v>0</v>
      </c>
      <c r="BW501" s="158">
        <f t="shared" si="267"/>
        <v>0</v>
      </c>
      <c r="BX501" s="158">
        <f t="shared" si="267"/>
        <v>0</v>
      </c>
      <c r="BY501" s="158">
        <f t="shared" si="267"/>
        <v>0</v>
      </c>
      <c r="BZ501" s="158">
        <f t="shared" si="267"/>
        <v>0</v>
      </c>
      <c r="CA501" s="158">
        <f t="shared" si="267"/>
        <v>0</v>
      </c>
      <c r="CB501" s="158">
        <f t="shared" si="267"/>
        <v>0</v>
      </c>
      <c r="CC501" s="158">
        <f t="shared" si="267"/>
        <v>0</v>
      </c>
      <c r="CD501" s="158">
        <f t="shared" ref="CD501:CS501" si="268">SUM(CD500:CD500)</f>
        <v>0</v>
      </c>
      <c r="CE501" s="158">
        <f t="shared" si="268"/>
        <v>190000000</v>
      </c>
      <c r="CF501" s="158">
        <f t="shared" si="268"/>
        <v>183206718</v>
      </c>
      <c r="CG501" s="158">
        <f t="shared" si="268"/>
        <v>182523851</v>
      </c>
      <c r="CH501" s="158">
        <f t="shared" si="268"/>
        <v>0</v>
      </c>
      <c r="CI501" s="158">
        <f t="shared" si="268"/>
        <v>0</v>
      </c>
      <c r="CJ501" s="158">
        <f t="shared" si="268"/>
        <v>0</v>
      </c>
      <c r="CK501" s="158">
        <f t="shared" si="268"/>
        <v>0</v>
      </c>
      <c r="CL501" s="158">
        <f t="shared" si="268"/>
        <v>0</v>
      </c>
      <c r="CM501" s="158">
        <f t="shared" si="268"/>
        <v>0</v>
      </c>
      <c r="CN501" s="158">
        <f t="shared" si="268"/>
        <v>0</v>
      </c>
      <c r="CO501" s="158">
        <f t="shared" si="268"/>
        <v>0</v>
      </c>
      <c r="CP501" s="158">
        <f t="shared" si="268"/>
        <v>0</v>
      </c>
      <c r="CQ501" s="158">
        <f t="shared" si="268"/>
        <v>0</v>
      </c>
      <c r="CR501" s="158">
        <f t="shared" si="268"/>
        <v>0</v>
      </c>
      <c r="CS501" s="158">
        <f t="shared" si="268"/>
        <v>0</v>
      </c>
      <c r="CT501" s="158">
        <f>SUM(CT500:CT500)</f>
        <v>190000000</v>
      </c>
      <c r="CU501" s="158">
        <f>SUM(CU500:CU500)</f>
        <v>183206718</v>
      </c>
      <c r="CV501" s="158">
        <f>SUM(CV500:CV500)</f>
        <v>182523851</v>
      </c>
    </row>
    <row r="502" spans="1:100" ht="15" x14ac:dyDescent="0.25">
      <c r="A502" s="19"/>
      <c r="B502" s="216"/>
      <c r="C502" s="162"/>
      <c r="D502" s="161"/>
      <c r="E502" s="162"/>
      <c r="F502" s="162"/>
      <c r="G502" s="161"/>
      <c r="H502" s="162"/>
      <c r="I502" s="161"/>
      <c r="J502" s="257"/>
      <c r="K502" s="257"/>
      <c r="L502" s="257"/>
      <c r="M502" s="257"/>
      <c r="N502" s="164"/>
      <c r="O502" s="161"/>
      <c r="P502" s="162"/>
      <c r="Q502" s="165">
        <f>Q501+Q497+Q491+Q485</f>
        <v>0</v>
      </c>
      <c r="R502" s="165">
        <f t="shared" ref="R502:CC502" si="269">R501+R497+R491+R485</f>
        <v>0</v>
      </c>
      <c r="S502" s="165">
        <f t="shared" si="269"/>
        <v>0</v>
      </c>
      <c r="T502" s="165">
        <f t="shared" si="269"/>
        <v>0</v>
      </c>
      <c r="U502" s="165">
        <f t="shared" si="269"/>
        <v>0</v>
      </c>
      <c r="V502" s="165">
        <f t="shared" si="269"/>
        <v>0</v>
      </c>
      <c r="W502" s="165">
        <f t="shared" si="269"/>
        <v>0</v>
      </c>
      <c r="X502" s="165">
        <f t="shared" si="269"/>
        <v>0</v>
      </c>
      <c r="Y502" s="165">
        <f t="shared" si="269"/>
        <v>0</v>
      </c>
      <c r="Z502" s="165">
        <f t="shared" si="269"/>
        <v>0</v>
      </c>
      <c r="AA502" s="165">
        <f t="shared" si="269"/>
        <v>0</v>
      </c>
      <c r="AB502" s="165">
        <f t="shared" si="269"/>
        <v>0</v>
      </c>
      <c r="AC502" s="165">
        <f t="shared" si="269"/>
        <v>0</v>
      </c>
      <c r="AD502" s="165">
        <f t="shared" si="269"/>
        <v>0</v>
      </c>
      <c r="AE502" s="165">
        <f t="shared" si="269"/>
        <v>0</v>
      </c>
      <c r="AF502" s="165">
        <f t="shared" si="269"/>
        <v>0</v>
      </c>
      <c r="AG502" s="165">
        <f t="shared" si="269"/>
        <v>0</v>
      </c>
      <c r="AH502" s="165">
        <f t="shared" si="269"/>
        <v>0</v>
      </c>
      <c r="AI502" s="165">
        <f t="shared" si="269"/>
        <v>0</v>
      </c>
      <c r="AJ502" s="165">
        <f t="shared" si="269"/>
        <v>0</v>
      </c>
      <c r="AK502" s="165">
        <f t="shared" si="269"/>
        <v>0</v>
      </c>
      <c r="AL502" s="165">
        <f t="shared" si="269"/>
        <v>0</v>
      </c>
      <c r="AM502" s="165">
        <f t="shared" si="269"/>
        <v>0</v>
      </c>
      <c r="AN502" s="165">
        <f t="shared" si="269"/>
        <v>0</v>
      </c>
      <c r="AO502" s="165">
        <f t="shared" si="269"/>
        <v>0</v>
      </c>
      <c r="AP502" s="165">
        <f t="shared" si="269"/>
        <v>0</v>
      </c>
      <c r="AQ502" s="165">
        <f t="shared" si="269"/>
        <v>0</v>
      </c>
      <c r="AR502" s="165">
        <f t="shared" si="269"/>
        <v>0</v>
      </c>
      <c r="AS502" s="165">
        <f t="shared" si="269"/>
        <v>0</v>
      </c>
      <c r="AT502" s="165">
        <f t="shared" si="269"/>
        <v>0</v>
      </c>
      <c r="AU502" s="165">
        <f t="shared" si="269"/>
        <v>0</v>
      </c>
      <c r="AV502" s="165">
        <f t="shared" si="269"/>
        <v>0</v>
      </c>
      <c r="AW502" s="165">
        <f t="shared" si="269"/>
        <v>0</v>
      </c>
      <c r="AX502" s="165">
        <f t="shared" si="269"/>
        <v>0</v>
      </c>
      <c r="AY502" s="165">
        <f t="shared" si="269"/>
        <v>0</v>
      </c>
      <c r="AZ502" s="165">
        <f t="shared" si="269"/>
        <v>0</v>
      </c>
      <c r="BA502" s="165">
        <f t="shared" si="269"/>
        <v>0</v>
      </c>
      <c r="BB502" s="165">
        <f t="shared" si="269"/>
        <v>0</v>
      </c>
      <c r="BC502" s="165">
        <f t="shared" si="269"/>
        <v>0</v>
      </c>
      <c r="BD502" s="165">
        <f t="shared" si="269"/>
        <v>0</v>
      </c>
      <c r="BE502" s="165">
        <f t="shared" si="269"/>
        <v>0</v>
      </c>
      <c r="BF502" s="165">
        <f t="shared" si="269"/>
        <v>0</v>
      </c>
      <c r="BG502" s="165">
        <f t="shared" si="269"/>
        <v>0</v>
      </c>
      <c r="BH502" s="165">
        <f t="shared" si="269"/>
        <v>0</v>
      </c>
      <c r="BI502" s="165">
        <f t="shared" si="269"/>
        <v>0</v>
      </c>
      <c r="BJ502" s="165">
        <f t="shared" si="269"/>
        <v>0</v>
      </c>
      <c r="BK502" s="165">
        <f t="shared" si="269"/>
        <v>0</v>
      </c>
      <c r="BL502" s="165">
        <f t="shared" si="269"/>
        <v>0</v>
      </c>
      <c r="BM502" s="165">
        <f t="shared" si="269"/>
        <v>0</v>
      </c>
      <c r="BN502" s="165">
        <f t="shared" si="269"/>
        <v>0</v>
      </c>
      <c r="BO502" s="165">
        <f t="shared" si="269"/>
        <v>0</v>
      </c>
      <c r="BP502" s="165">
        <f t="shared" si="269"/>
        <v>0</v>
      </c>
      <c r="BQ502" s="165">
        <f t="shared" si="269"/>
        <v>0</v>
      </c>
      <c r="BR502" s="165">
        <f t="shared" si="269"/>
        <v>0</v>
      </c>
      <c r="BS502" s="165">
        <f t="shared" si="269"/>
        <v>0</v>
      </c>
      <c r="BT502" s="165">
        <f t="shared" si="269"/>
        <v>0</v>
      </c>
      <c r="BU502" s="165">
        <f t="shared" si="269"/>
        <v>0</v>
      </c>
      <c r="BV502" s="165">
        <f t="shared" si="269"/>
        <v>0</v>
      </c>
      <c r="BW502" s="165">
        <f t="shared" si="269"/>
        <v>0</v>
      </c>
      <c r="BX502" s="165">
        <f t="shared" si="269"/>
        <v>0</v>
      </c>
      <c r="BY502" s="165">
        <f t="shared" si="269"/>
        <v>0</v>
      </c>
      <c r="BZ502" s="165">
        <f t="shared" si="269"/>
        <v>0</v>
      </c>
      <c r="CA502" s="165">
        <f t="shared" si="269"/>
        <v>0</v>
      </c>
      <c r="CB502" s="165">
        <f t="shared" si="269"/>
        <v>0</v>
      </c>
      <c r="CC502" s="165">
        <f t="shared" si="269"/>
        <v>0</v>
      </c>
      <c r="CD502" s="165">
        <f t="shared" ref="CD502:CS502" si="270">CD501+CD497+CD491+CD485</f>
        <v>0</v>
      </c>
      <c r="CE502" s="165">
        <f t="shared" si="270"/>
        <v>1000000000</v>
      </c>
      <c r="CF502" s="165">
        <f t="shared" si="270"/>
        <v>979506086.88</v>
      </c>
      <c r="CG502" s="165">
        <f t="shared" si="270"/>
        <v>869922409.88</v>
      </c>
      <c r="CH502" s="165">
        <f t="shared" si="270"/>
        <v>0</v>
      </c>
      <c r="CI502" s="165">
        <f t="shared" si="270"/>
        <v>0</v>
      </c>
      <c r="CJ502" s="165">
        <f t="shared" si="270"/>
        <v>0</v>
      </c>
      <c r="CK502" s="165">
        <f t="shared" si="270"/>
        <v>0</v>
      </c>
      <c r="CL502" s="165">
        <f t="shared" si="270"/>
        <v>0</v>
      </c>
      <c r="CM502" s="165">
        <f t="shared" si="270"/>
        <v>0</v>
      </c>
      <c r="CN502" s="165">
        <f t="shared" si="270"/>
        <v>0</v>
      </c>
      <c r="CO502" s="165">
        <f t="shared" si="270"/>
        <v>0</v>
      </c>
      <c r="CP502" s="165">
        <f t="shared" si="270"/>
        <v>0</v>
      </c>
      <c r="CQ502" s="165">
        <f t="shared" si="270"/>
        <v>0</v>
      </c>
      <c r="CR502" s="165">
        <f t="shared" si="270"/>
        <v>0</v>
      </c>
      <c r="CS502" s="165">
        <f t="shared" si="270"/>
        <v>0</v>
      </c>
      <c r="CT502" s="165">
        <f>CT501+CT497+CT491+CT485</f>
        <v>1000000000</v>
      </c>
      <c r="CU502" s="165">
        <f>CU501+CU497+CU491+CU485</f>
        <v>979506086.88</v>
      </c>
      <c r="CV502" s="165">
        <f>CV501+CV497+CV491+CV485</f>
        <v>869922409.88</v>
      </c>
    </row>
    <row r="503" spans="1:100" s="27" customFormat="1" ht="15" x14ac:dyDescent="0.25">
      <c r="A503" s="19"/>
      <c r="B503" s="465"/>
      <c r="C503" s="466"/>
      <c r="D503" s="177"/>
      <c r="E503" s="949"/>
      <c r="F503" s="949"/>
      <c r="G503" s="177"/>
      <c r="H503" s="949"/>
      <c r="I503" s="177"/>
      <c r="J503" s="949"/>
      <c r="K503" s="949"/>
      <c r="L503" s="949"/>
      <c r="M503" s="949"/>
      <c r="N503" s="179"/>
      <c r="O503" s="177"/>
      <c r="P503" s="949"/>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1"/>
      <c r="BH503" s="181"/>
      <c r="BI503" s="181"/>
      <c r="BJ503" s="181"/>
      <c r="BK503" s="181"/>
      <c r="BL503" s="181"/>
      <c r="BM503" s="181"/>
      <c r="BN503" s="181"/>
      <c r="BO503" s="181"/>
      <c r="BP503" s="181"/>
      <c r="BQ503" s="181"/>
      <c r="BR503" s="181"/>
      <c r="BS503" s="181"/>
      <c r="BT503" s="181"/>
      <c r="BU503" s="181"/>
      <c r="BV503" s="181"/>
      <c r="BW503" s="181"/>
      <c r="BX503" s="181"/>
      <c r="BY503" s="180"/>
      <c r="BZ503" s="180"/>
      <c r="CA503" s="180"/>
      <c r="CB503" s="180"/>
      <c r="CC503" s="180"/>
      <c r="CD503" s="180"/>
      <c r="CE503" s="182"/>
      <c r="CF503" s="182"/>
      <c r="CG503" s="182"/>
      <c r="CH503" s="183"/>
      <c r="CI503" s="183"/>
      <c r="CJ503" s="183"/>
      <c r="CK503" s="180"/>
      <c r="CL503" s="180"/>
      <c r="CM503" s="180"/>
      <c r="CN503" s="180"/>
      <c r="CO503" s="180"/>
      <c r="CP503" s="180"/>
      <c r="CQ503" s="180"/>
      <c r="CR503" s="180"/>
      <c r="CS503" s="180"/>
      <c r="CT503" s="25"/>
      <c r="CU503" s="76"/>
      <c r="CV503" s="76"/>
    </row>
    <row r="504" spans="1:100" s="27" customFormat="1" ht="15" x14ac:dyDescent="0.25">
      <c r="A504" s="19"/>
      <c r="B504" s="239">
        <v>18</v>
      </c>
      <c r="C504" s="146" t="s">
        <v>618</v>
      </c>
      <c r="D504" s="146"/>
      <c r="E504" s="146"/>
      <c r="F504" s="146"/>
      <c r="G504" s="146"/>
      <c r="H504" s="146"/>
      <c r="I504" s="146"/>
      <c r="J504" s="146"/>
      <c r="K504" s="146"/>
      <c r="L504" s="146"/>
      <c r="M504" s="146"/>
      <c r="N504" s="677"/>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c r="BI504" s="146"/>
      <c r="BJ504" s="146"/>
      <c r="BK504" s="146"/>
      <c r="BL504" s="146"/>
      <c r="BM504" s="146"/>
      <c r="BN504" s="146"/>
      <c r="BO504" s="146"/>
      <c r="BP504" s="146"/>
      <c r="BQ504" s="146"/>
      <c r="BR504" s="146"/>
      <c r="BS504" s="146"/>
      <c r="BT504" s="146"/>
      <c r="BU504" s="146"/>
      <c r="BV504" s="146"/>
      <c r="BW504" s="146"/>
      <c r="BX504" s="146"/>
      <c r="BY504" s="146"/>
      <c r="BZ504" s="146"/>
      <c r="CA504" s="146"/>
      <c r="CB504" s="146"/>
      <c r="CC504" s="146"/>
      <c r="CD504" s="146"/>
      <c r="CE504" s="148"/>
      <c r="CF504" s="148"/>
      <c r="CG504" s="148"/>
      <c r="CH504" s="146"/>
      <c r="CI504" s="146"/>
      <c r="CJ504" s="146"/>
      <c r="CK504" s="146"/>
      <c r="CL504" s="146"/>
      <c r="CM504" s="146"/>
      <c r="CN504" s="146"/>
      <c r="CO504" s="146"/>
      <c r="CP504" s="146"/>
      <c r="CQ504" s="146"/>
      <c r="CR504" s="146"/>
      <c r="CS504" s="146"/>
      <c r="CT504" s="526"/>
      <c r="CU504" s="526"/>
      <c r="CV504" s="526"/>
    </row>
    <row r="505" spans="1:100" s="27" customFormat="1" ht="15" x14ac:dyDescent="0.25">
      <c r="A505" s="19"/>
      <c r="B505" s="467"/>
      <c r="C505" s="453"/>
      <c r="D505" s="153"/>
      <c r="E505" s="581"/>
      <c r="F505" s="581"/>
      <c r="G505" s="339">
        <v>62</v>
      </c>
      <c r="H505" s="189" t="s">
        <v>619</v>
      </c>
      <c r="I505" s="189"/>
      <c r="J505" s="189"/>
      <c r="K505" s="189"/>
      <c r="L505" s="189"/>
      <c r="M505" s="189"/>
      <c r="N505" s="684"/>
      <c r="O505" s="189"/>
      <c r="P505" s="189"/>
      <c r="Q505" s="189"/>
      <c r="R505" s="189"/>
      <c r="S505" s="189"/>
      <c r="T505" s="189"/>
      <c r="U505" s="189"/>
      <c r="V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c r="BD505" s="189"/>
      <c r="BE505" s="189"/>
      <c r="BF505" s="189"/>
      <c r="BG505" s="189"/>
      <c r="BH505" s="189"/>
      <c r="BI505" s="189"/>
      <c r="BJ505" s="189"/>
      <c r="BK505" s="189"/>
      <c r="BL505" s="189"/>
      <c r="BM505" s="189"/>
      <c r="BN505" s="189"/>
      <c r="BO505" s="189"/>
      <c r="BP505" s="189"/>
      <c r="BQ505" s="189"/>
      <c r="BR505" s="189"/>
      <c r="BS505" s="189"/>
      <c r="BT505" s="189"/>
      <c r="BU505" s="189"/>
      <c r="BV505" s="189"/>
      <c r="BW505" s="189"/>
      <c r="BX505" s="189"/>
      <c r="BY505" s="189"/>
      <c r="BZ505" s="189"/>
      <c r="CA505" s="189"/>
      <c r="CB505" s="189"/>
      <c r="CC505" s="189"/>
      <c r="CD505" s="189"/>
      <c r="CE505" s="190"/>
      <c r="CF505" s="190"/>
      <c r="CG505" s="190"/>
      <c r="CH505" s="189"/>
      <c r="CI505" s="189"/>
      <c r="CJ505" s="189"/>
      <c r="CK505" s="189"/>
      <c r="CL505" s="189"/>
      <c r="CM505" s="189"/>
      <c r="CN505" s="189"/>
      <c r="CO505" s="189"/>
      <c r="CP505" s="189"/>
      <c r="CQ505" s="189"/>
      <c r="CR505" s="189"/>
      <c r="CS505" s="189"/>
      <c r="CT505" s="522"/>
      <c r="CU505" s="522"/>
      <c r="CV505" s="522"/>
    </row>
    <row r="506" spans="1:100" ht="152.25" customHeight="1" x14ac:dyDescent="0.25">
      <c r="A506" s="19"/>
      <c r="B506" s="468"/>
      <c r="C506" s="469">
        <v>22</v>
      </c>
      <c r="D506" s="475" t="s">
        <v>602</v>
      </c>
      <c r="E506" s="582" t="s">
        <v>603</v>
      </c>
      <c r="F506" s="581" t="s">
        <v>604</v>
      </c>
      <c r="G506" s="22"/>
      <c r="H506" s="929">
        <v>191</v>
      </c>
      <c r="I506" s="480" t="s">
        <v>620</v>
      </c>
      <c r="J506" s="929" t="s">
        <v>30</v>
      </c>
      <c r="K506" s="929">
        <v>1</v>
      </c>
      <c r="L506" s="659">
        <v>1</v>
      </c>
      <c r="M506" s="928" t="s">
        <v>579</v>
      </c>
      <c r="N506" s="36" t="s">
        <v>621</v>
      </c>
      <c r="O506" s="5" t="s">
        <v>622</v>
      </c>
      <c r="P506" s="56" t="s">
        <v>38</v>
      </c>
      <c r="Q506" s="25">
        <v>0</v>
      </c>
      <c r="R506" s="25"/>
      <c r="S506" s="25"/>
      <c r="T506" s="25">
        <v>0</v>
      </c>
      <c r="U506" s="25"/>
      <c r="V506" s="25"/>
      <c r="W506" s="25">
        <v>0</v>
      </c>
      <c r="X506" s="25"/>
      <c r="Y506" s="25"/>
      <c r="Z506" s="25">
        <v>0</v>
      </c>
      <c r="AA506" s="25"/>
      <c r="AB506" s="25"/>
      <c r="AC506" s="25">
        <v>0</v>
      </c>
      <c r="AD506" s="25"/>
      <c r="AE506" s="25"/>
      <c r="AF506" s="25">
        <v>0</v>
      </c>
      <c r="AG506" s="25"/>
      <c r="AH506" s="25"/>
      <c r="AI506" s="25">
        <v>0</v>
      </c>
      <c r="AJ506" s="25"/>
      <c r="AK506" s="25"/>
      <c r="AL506" s="25"/>
      <c r="AM506" s="25"/>
      <c r="AN506" s="25"/>
      <c r="AO506" s="25"/>
      <c r="AP506" s="25"/>
      <c r="AQ506" s="25"/>
      <c r="AR506" s="25"/>
      <c r="AS506" s="25"/>
      <c r="AT506" s="25"/>
      <c r="AU506" s="25">
        <v>0</v>
      </c>
      <c r="AV506" s="25"/>
      <c r="AW506" s="25"/>
      <c r="AX506" s="25"/>
      <c r="AY506" s="25"/>
      <c r="AZ506" s="25"/>
      <c r="BA506" s="25">
        <v>0</v>
      </c>
      <c r="BB506" s="25"/>
      <c r="BC506" s="25"/>
      <c r="BD506" s="25">
        <v>0</v>
      </c>
      <c r="BE506" s="25"/>
      <c r="BF506" s="25"/>
      <c r="BG506" s="250"/>
      <c r="BH506" s="250"/>
      <c r="BI506" s="250"/>
      <c r="BJ506" s="250"/>
      <c r="BK506" s="250"/>
      <c r="BL506" s="250"/>
      <c r="BM506" s="250"/>
      <c r="BN506" s="250"/>
      <c r="BO506" s="250"/>
      <c r="BP506" s="250"/>
      <c r="BQ506" s="250"/>
      <c r="BR506" s="250"/>
      <c r="BS506" s="250"/>
      <c r="BT506" s="250"/>
      <c r="BU506" s="250"/>
      <c r="BV506" s="250"/>
      <c r="BW506" s="250"/>
      <c r="BX506" s="250"/>
      <c r="BY506" s="25">
        <v>0</v>
      </c>
      <c r="BZ506" s="25"/>
      <c r="CA506" s="25"/>
      <c r="CB506" s="25">
        <v>0</v>
      </c>
      <c r="CC506" s="25"/>
      <c r="CD506" s="25"/>
      <c r="CE506" s="114">
        <f>10000000+150000000+1000000000-60000000</f>
        <v>1100000000</v>
      </c>
      <c r="CF506" s="114">
        <v>956439613</v>
      </c>
      <c r="CG506" s="114">
        <v>657437665</v>
      </c>
      <c r="CH506" s="328"/>
      <c r="CI506" s="328"/>
      <c r="CJ506" s="328"/>
      <c r="CK506" s="319">
        <v>0</v>
      </c>
      <c r="CL506" s="288"/>
      <c r="CM506" s="288"/>
      <c r="CN506" s="288">
        <v>0</v>
      </c>
      <c r="CO506" s="288"/>
      <c r="CP506" s="288"/>
      <c r="CQ506" s="288"/>
      <c r="CR506" s="288"/>
      <c r="CS506" s="288"/>
      <c r="CT506" s="25">
        <f t="shared" ref="CT506:CV507" si="271">Q506+T506+W506+Z506+AC506+AF506+AI506+AL506+AO506+AR506+AU506+AX506+BA506+BD506+BG506+BJ506+BM506+BP506+BS506+BV506+BY506+CB506+CE506+CH506+CK506+CQ506+CN506</f>
        <v>1100000000</v>
      </c>
      <c r="CU506" s="25">
        <f t="shared" si="271"/>
        <v>956439613</v>
      </c>
      <c r="CV506" s="25">
        <f t="shared" si="271"/>
        <v>657437665</v>
      </c>
    </row>
    <row r="507" spans="1:100" s="27" customFormat="1" ht="76.5" customHeight="1" x14ac:dyDescent="0.25">
      <c r="A507" s="19"/>
      <c r="B507" s="474"/>
      <c r="C507" s="927">
        <v>22</v>
      </c>
      <c r="D507" s="53" t="s">
        <v>602</v>
      </c>
      <c r="E507" s="478" t="s">
        <v>603</v>
      </c>
      <c r="F507" s="929" t="s">
        <v>604</v>
      </c>
      <c r="G507" s="28"/>
      <c r="H507" s="929">
        <v>192</v>
      </c>
      <c r="I507" s="928" t="s">
        <v>623</v>
      </c>
      <c r="J507" s="929">
        <v>1</v>
      </c>
      <c r="K507" s="929">
        <v>1</v>
      </c>
      <c r="L507" s="660">
        <v>1</v>
      </c>
      <c r="M507" s="928" t="s">
        <v>579</v>
      </c>
      <c r="N507" s="36" t="s">
        <v>624</v>
      </c>
      <c r="O507" s="928" t="s">
        <v>625</v>
      </c>
      <c r="P507" s="56" t="s">
        <v>38</v>
      </c>
      <c r="Q507" s="25">
        <v>0</v>
      </c>
      <c r="R507" s="25"/>
      <c r="S507" s="25"/>
      <c r="T507" s="25">
        <v>0</v>
      </c>
      <c r="U507" s="25"/>
      <c r="V507" s="25"/>
      <c r="W507" s="25">
        <v>0</v>
      </c>
      <c r="X507" s="25"/>
      <c r="Y507" s="25"/>
      <c r="Z507" s="25">
        <v>0</v>
      </c>
      <c r="AA507" s="25"/>
      <c r="AB507" s="25"/>
      <c r="AC507" s="25">
        <v>0</v>
      </c>
      <c r="AD507" s="25"/>
      <c r="AE507" s="25"/>
      <c r="AF507" s="25">
        <v>0</v>
      </c>
      <c r="AG507" s="25"/>
      <c r="AH507" s="25"/>
      <c r="AI507" s="25">
        <v>0</v>
      </c>
      <c r="AJ507" s="25"/>
      <c r="AK507" s="25"/>
      <c r="AL507" s="25"/>
      <c r="AM507" s="25"/>
      <c r="AN507" s="25"/>
      <c r="AO507" s="25"/>
      <c r="AP507" s="25"/>
      <c r="AQ507" s="25"/>
      <c r="AR507" s="25"/>
      <c r="AS507" s="25"/>
      <c r="AT507" s="25"/>
      <c r="AU507" s="25">
        <v>0</v>
      </c>
      <c r="AV507" s="25"/>
      <c r="AW507" s="25"/>
      <c r="AX507" s="25"/>
      <c r="AY507" s="25"/>
      <c r="AZ507" s="25"/>
      <c r="BA507" s="25">
        <v>0</v>
      </c>
      <c r="BB507" s="25"/>
      <c r="BC507" s="25"/>
      <c r="BD507" s="25">
        <v>0</v>
      </c>
      <c r="BE507" s="25"/>
      <c r="BF507" s="25"/>
      <c r="BG507" s="25"/>
      <c r="BH507" s="25"/>
      <c r="BI507" s="25"/>
      <c r="BJ507" s="25"/>
      <c r="BK507" s="25"/>
      <c r="BL507" s="25"/>
      <c r="BM507" s="25"/>
      <c r="BN507" s="25"/>
      <c r="BO507" s="25"/>
      <c r="BP507" s="25"/>
      <c r="BQ507" s="25"/>
      <c r="BR507" s="25"/>
      <c r="BS507" s="25"/>
      <c r="BT507" s="25"/>
      <c r="BU507" s="25"/>
      <c r="BV507" s="25"/>
      <c r="BW507" s="25"/>
      <c r="BX507" s="25"/>
      <c r="BY507" s="25">
        <v>0</v>
      </c>
      <c r="BZ507" s="25"/>
      <c r="CA507" s="25"/>
      <c r="CB507" s="25">
        <v>0</v>
      </c>
      <c r="CC507" s="25"/>
      <c r="CD507" s="25"/>
      <c r="CE507" s="110">
        <f>60000000+15000000+7000000</f>
        <v>82000000</v>
      </c>
      <c r="CF507" s="110">
        <v>77005999</v>
      </c>
      <c r="CG507" s="110">
        <v>77005999</v>
      </c>
      <c r="CH507" s="37"/>
      <c r="CI507" s="37"/>
      <c r="CJ507" s="37"/>
      <c r="CK507" s="25">
        <v>0</v>
      </c>
      <c r="CL507" s="26"/>
      <c r="CM507" s="26"/>
      <c r="CN507" s="26">
        <v>0</v>
      </c>
      <c r="CO507" s="26"/>
      <c r="CP507" s="26"/>
      <c r="CQ507" s="26"/>
      <c r="CR507" s="26"/>
      <c r="CS507" s="26"/>
      <c r="CT507" s="25">
        <f t="shared" si="271"/>
        <v>82000000</v>
      </c>
      <c r="CU507" s="25">
        <f t="shared" si="271"/>
        <v>77005999</v>
      </c>
      <c r="CV507" s="25">
        <f t="shared" si="271"/>
        <v>77005999</v>
      </c>
    </row>
    <row r="508" spans="1:100" ht="15" x14ac:dyDescent="0.25">
      <c r="A508" s="19"/>
      <c r="B508" s="468"/>
      <c r="C508" s="469"/>
      <c r="D508" s="153"/>
      <c r="E508" s="581"/>
      <c r="F508" s="581"/>
      <c r="G508" s="154"/>
      <c r="H508" s="155"/>
      <c r="I508" s="154"/>
      <c r="J508" s="155"/>
      <c r="K508" s="155"/>
      <c r="L508" s="155"/>
      <c r="M508" s="155"/>
      <c r="N508" s="157"/>
      <c r="O508" s="154"/>
      <c r="P508" s="155"/>
      <c r="Q508" s="158">
        <f>SUM(Q506:Q507)</f>
        <v>0</v>
      </c>
      <c r="R508" s="158">
        <f t="shared" ref="R508:CC508" si="272">SUM(R506:R507)</f>
        <v>0</v>
      </c>
      <c r="S508" s="158">
        <f t="shared" si="272"/>
        <v>0</v>
      </c>
      <c r="T508" s="158">
        <f t="shared" si="272"/>
        <v>0</v>
      </c>
      <c r="U508" s="158">
        <f t="shared" si="272"/>
        <v>0</v>
      </c>
      <c r="V508" s="158">
        <f t="shared" si="272"/>
        <v>0</v>
      </c>
      <c r="W508" s="158">
        <f t="shared" si="272"/>
        <v>0</v>
      </c>
      <c r="X508" s="158">
        <f t="shared" si="272"/>
        <v>0</v>
      </c>
      <c r="Y508" s="158">
        <f t="shared" si="272"/>
        <v>0</v>
      </c>
      <c r="Z508" s="158">
        <f t="shared" si="272"/>
        <v>0</v>
      </c>
      <c r="AA508" s="158">
        <f t="shared" si="272"/>
        <v>0</v>
      </c>
      <c r="AB508" s="158">
        <f t="shared" si="272"/>
        <v>0</v>
      </c>
      <c r="AC508" s="158">
        <f t="shared" si="272"/>
        <v>0</v>
      </c>
      <c r="AD508" s="158">
        <f t="shared" si="272"/>
        <v>0</v>
      </c>
      <c r="AE508" s="158">
        <f t="shared" si="272"/>
        <v>0</v>
      </c>
      <c r="AF508" s="158">
        <f t="shared" si="272"/>
        <v>0</v>
      </c>
      <c r="AG508" s="158">
        <f t="shared" si="272"/>
        <v>0</v>
      </c>
      <c r="AH508" s="158">
        <f t="shared" si="272"/>
        <v>0</v>
      </c>
      <c r="AI508" s="158">
        <f t="shared" si="272"/>
        <v>0</v>
      </c>
      <c r="AJ508" s="158">
        <f t="shared" si="272"/>
        <v>0</v>
      </c>
      <c r="AK508" s="158">
        <f t="shared" si="272"/>
        <v>0</v>
      </c>
      <c r="AL508" s="158">
        <f t="shared" si="272"/>
        <v>0</v>
      </c>
      <c r="AM508" s="158">
        <f t="shared" si="272"/>
        <v>0</v>
      </c>
      <c r="AN508" s="158">
        <f t="shared" si="272"/>
        <v>0</v>
      </c>
      <c r="AO508" s="158">
        <f t="shared" si="272"/>
        <v>0</v>
      </c>
      <c r="AP508" s="158">
        <f t="shared" si="272"/>
        <v>0</v>
      </c>
      <c r="AQ508" s="158">
        <f t="shared" si="272"/>
        <v>0</v>
      </c>
      <c r="AR508" s="158">
        <f t="shared" si="272"/>
        <v>0</v>
      </c>
      <c r="AS508" s="158">
        <f t="shared" si="272"/>
        <v>0</v>
      </c>
      <c r="AT508" s="158">
        <f t="shared" si="272"/>
        <v>0</v>
      </c>
      <c r="AU508" s="158">
        <f t="shared" si="272"/>
        <v>0</v>
      </c>
      <c r="AV508" s="158">
        <f t="shared" si="272"/>
        <v>0</v>
      </c>
      <c r="AW508" s="158">
        <f t="shared" si="272"/>
        <v>0</v>
      </c>
      <c r="AX508" s="158">
        <f t="shared" si="272"/>
        <v>0</v>
      </c>
      <c r="AY508" s="158">
        <f t="shared" si="272"/>
        <v>0</v>
      </c>
      <c r="AZ508" s="158">
        <f t="shared" si="272"/>
        <v>0</v>
      </c>
      <c r="BA508" s="158">
        <f t="shared" si="272"/>
        <v>0</v>
      </c>
      <c r="BB508" s="158">
        <f t="shared" si="272"/>
        <v>0</v>
      </c>
      <c r="BC508" s="158">
        <f t="shared" si="272"/>
        <v>0</v>
      </c>
      <c r="BD508" s="158">
        <f t="shared" si="272"/>
        <v>0</v>
      </c>
      <c r="BE508" s="158">
        <f t="shared" si="272"/>
        <v>0</v>
      </c>
      <c r="BF508" s="158">
        <f t="shared" si="272"/>
        <v>0</v>
      </c>
      <c r="BG508" s="158">
        <f t="shared" si="272"/>
        <v>0</v>
      </c>
      <c r="BH508" s="158">
        <f t="shared" si="272"/>
        <v>0</v>
      </c>
      <c r="BI508" s="158">
        <f t="shared" si="272"/>
        <v>0</v>
      </c>
      <c r="BJ508" s="158">
        <f t="shared" si="272"/>
        <v>0</v>
      </c>
      <c r="BK508" s="158">
        <f t="shared" si="272"/>
        <v>0</v>
      </c>
      <c r="BL508" s="158">
        <f t="shared" si="272"/>
        <v>0</v>
      </c>
      <c r="BM508" s="158">
        <f t="shared" si="272"/>
        <v>0</v>
      </c>
      <c r="BN508" s="158">
        <f t="shared" si="272"/>
        <v>0</v>
      </c>
      <c r="BO508" s="158">
        <f t="shared" si="272"/>
        <v>0</v>
      </c>
      <c r="BP508" s="158">
        <f t="shared" si="272"/>
        <v>0</v>
      </c>
      <c r="BQ508" s="158">
        <f t="shared" si="272"/>
        <v>0</v>
      </c>
      <c r="BR508" s="158">
        <f t="shared" si="272"/>
        <v>0</v>
      </c>
      <c r="BS508" s="158">
        <f t="shared" si="272"/>
        <v>0</v>
      </c>
      <c r="BT508" s="158">
        <f t="shared" si="272"/>
        <v>0</v>
      </c>
      <c r="BU508" s="158">
        <f t="shared" si="272"/>
        <v>0</v>
      </c>
      <c r="BV508" s="158">
        <f t="shared" si="272"/>
        <v>0</v>
      </c>
      <c r="BW508" s="158">
        <f t="shared" si="272"/>
        <v>0</v>
      </c>
      <c r="BX508" s="158">
        <f t="shared" si="272"/>
        <v>0</v>
      </c>
      <c r="BY508" s="158">
        <f t="shared" si="272"/>
        <v>0</v>
      </c>
      <c r="BZ508" s="158">
        <f t="shared" si="272"/>
        <v>0</v>
      </c>
      <c r="CA508" s="158">
        <f t="shared" si="272"/>
        <v>0</v>
      </c>
      <c r="CB508" s="158">
        <f t="shared" si="272"/>
        <v>0</v>
      </c>
      <c r="CC508" s="158">
        <f t="shared" si="272"/>
        <v>0</v>
      </c>
      <c r="CD508" s="158">
        <f>SUM(CD506:CD507)</f>
        <v>0</v>
      </c>
      <c r="CE508" s="243">
        <f>SUM(CE506:CE507)</f>
        <v>1182000000</v>
      </c>
      <c r="CF508" s="243">
        <f>SUM(CF506:CF507)</f>
        <v>1033445612</v>
      </c>
      <c r="CG508" s="243">
        <f>SUM(CG506:CG507)</f>
        <v>734443664</v>
      </c>
      <c r="CH508" s="243">
        <f>SUM(CH506:CH507)</f>
        <v>0</v>
      </c>
      <c r="CI508" s="243"/>
      <c r="CJ508" s="243"/>
      <c r="CK508" s="243">
        <f>SUM(CK506:CK507)</f>
        <v>0</v>
      </c>
      <c r="CL508" s="243"/>
      <c r="CM508" s="243"/>
      <c r="CN508" s="243">
        <f>SUM(CN506:CN507)</f>
        <v>0</v>
      </c>
      <c r="CO508" s="243"/>
      <c r="CP508" s="243"/>
      <c r="CQ508" s="243">
        <f>SUM(CQ506:CQ507)</f>
        <v>0</v>
      </c>
      <c r="CR508" s="243"/>
      <c r="CS508" s="243"/>
      <c r="CT508" s="158">
        <f>SUM(CT506:CT507)</f>
        <v>1182000000</v>
      </c>
      <c r="CU508" s="158">
        <f>SUM(CU506:CU507)</f>
        <v>1033445612</v>
      </c>
      <c r="CV508" s="158">
        <f>SUM(CV506:CV507)</f>
        <v>734443664</v>
      </c>
    </row>
    <row r="509" spans="1:100" ht="15" x14ac:dyDescent="0.25">
      <c r="A509" s="19"/>
      <c r="B509" s="468"/>
      <c r="C509" s="471"/>
      <c r="D509" s="419"/>
      <c r="E509" s="471"/>
      <c r="F509" s="471"/>
      <c r="G509" s="419"/>
      <c r="H509" s="471"/>
      <c r="I509" s="419"/>
      <c r="J509" s="472"/>
      <c r="K509" s="472"/>
      <c r="L509" s="472"/>
      <c r="M509" s="472"/>
      <c r="N509" s="418"/>
      <c r="O509" s="419"/>
      <c r="P509" s="471"/>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286"/>
      <c r="CF509" s="286"/>
      <c r="CG509" s="286"/>
      <c r="CH509" s="287"/>
      <c r="CI509" s="287"/>
      <c r="CJ509" s="287"/>
      <c r="CK509" s="106"/>
      <c r="CL509" s="106"/>
      <c r="CM509" s="106"/>
      <c r="CN509" s="106"/>
      <c r="CO509" s="106"/>
      <c r="CP509" s="106"/>
      <c r="CQ509" s="106"/>
      <c r="CR509" s="106"/>
      <c r="CS509" s="106"/>
      <c r="CT509" s="25"/>
      <c r="CU509" s="516"/>
      <c r="CV509" s="516"/>
    </row>
    <row r="510" spans="1:100" ht="15" x14ac:dyDescent="0.25">
      <c r="A510" s="19"/>
      <c r="B510" s="468"/>
      <c r="C510" s="938"/>
      <c r="D510" s="953"/>
      <c r="E510" s="944"/>
      <c r="F510" s="473"/>
      <c r="G510" s="188">
        <v>63</v>
      </c>
      <c r="H510" s="189" t="s">
        <v>626</v>
      </c>
      <c r="I510" s="189"/>
      <c r="J510" s="189"/>
      <c r="K510" s="189"/>
      <c r="L510" s="189"/>
      <c r="M510" s="189"/>
      <c r="N510" s="684"/>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c r="BD510" s="189"/>
      <c r="BE510" s="189"/>
      <c r="BF510" s="189"/>
      <c r="BG510" s="189"/>
      <c r="BH510" s="189"/>
      <c r="BI510" s="189"/>
      <c r="BJ510" s="189"/>
      <c r="BK510" s="189"/>
      <c r="BL510" s="189"/>
      <c r="BM510" s="189"/>
      <c r="BN510" s="189"/>
      <c r="BO510" s="189"/>
      <c r="BP510" s="189"/>
      <c r="BQ510" s="189"/>
      <c r="BR510" s="189"/>
      <c r="BS510" s="189"/>
      <c r="BT510" s="189"/>
      <c r="BU510" s="189"/>
      <c r="BV510" s="189"/>
      <c r="BW510" s="189"/>
      <c r="BX510" s="189"/>
      <c r="BY510" s="189"/>
      <c r="BZ510" s="189"/>
      <c r="CA510" s="189"/>
      <c r="CB510" s="189"/>
      <c r="CC510" s="189"/>
      <c r="CD510" s="189"/>
      <c r="CE510" s="190"/>
      <c r="CF510" s="190"/>
      <c r="CG510" s="190"/>
      <c r="CH510" s="189"/>
      <c r="CI510" s="189"/>
      <c r="CJ510" s="189"/>
      <c r="CK510" s="189"/>
      <c r="CL510" s="189"/>
      <c r="CM510" s="189"/>
      <c r="CN510" s="189"/>
      <c r="CO510" s="189"/>
      <c r="CP510" s="189"/>
      <c r="CQ510" s="189"/>
      <c r="CR510" s="189"/>
      <c r="CS510" s="189"/>
      <c r="CT510" s="522"/>
      <c r="CU510" s="522"/>
      <c r="CV510" s="522"/>
    </row>
    <row r="511" spans="1:100" ht="60" customHeight="1" x14ac:dyDescent="0.25">
      <c r="A511" s="19"/>
      <c r="B511" s="468"/>
      <c r="C511" s="469">
        <v>38</v>
      </c>
      <c r="D511" s="5" t="s">
        <v>39</v>
      </c>
      <c r="E511" s="4">
        <v>0</v>
      </c>
      <c r="F511" s="4">
        <v>2</v>
      </c>
      <c r="G511" s="22"/>
      <c r="H511" s="929">
        <v>193</v>
      </c>
      <c r="I511" s="928" t="s">
        <v>627</v>
      </c>
      <c r="J511" s="929">
        <v>1</v>
      </c>
      <c r="K511" s="929">
        <v>1</v>
      </c>
      <c r="L511" s="929">
        <v>1</v>
      </c>
      <c r="M511" s="928" t="s">
        <v>579</v>
      </c>
      <c r="N511" s="36" t="s">
        <v>628</v>
      </c>
      <c r="O511" s="928" t="s">
        <v>629</v>
      </c>
      <c r="P511" s="929" t="s">
        <v>38</v>
      </c>
      <c r="Q511" s="25">
        <v>0</v>
      </c>
      <c r="R511" s="25"/>
      <c r="S511" s="25"/>
      <c r="T511" s="25">
        <v>0</v>
      </c>
      <c r="U511" s="25"/>
      <c r="V511" s="25"/>
      <c r="W511" s="25">
        <v>0</v>
      </c>
      <c r="X511" s="25"/>
      <c r="Y511" s="25"/>
      <c r="Z511" s="25">
        <v>0</v>
      </c>
      <c r="AA511" s="25"/>
      <c r="AB511" s="25"/>
      <c r="AC511" s="25">
        <v>0</v>
      </c>
      <c r="AD511" s="25"/>
      <c r="AE511" s="25"/>
      <c r="AF511" s="25">
        <v>0</v>
      </c>
      <c r="AG511" s="25"/>
      <c r="AH511" s="25"/>
      <c r="AI511" s="25">
        <v>0</v>
      </c>
      <c r="AJ511" s="25"/>
      <c r="AK511" s="25"/>
      <c r="AL511" s="25"/>
      <c r="AM511" s="25"/>
      <c r="AN511" s="25"/>
      <c r="AO511" s="25"/>
      <c r="AP511" s="25"/>
      <c r="AQ511" s="25"/>
      <c r="AR511" s="25"/>
      <c r="AS511" s="25"/>
      <c r="AT511" s="25"/>
      <c r="AU511" s="25">
        <v>0</v>
      </c>
      <c r="AV511" s="25"/>
      <c r="AW511" s="25"/>
      <c r="AX511" s="25"/>
      <c r="AY511" s="25"/>
      <c r="AZ511" s="25"/>
      <c r="BA511" s="25">
        <v>0</v>
      </c>
      <c r="BB511" s="25"/>
      <c r="BC511" s="25"/>
      <c r="BD511" s="25">
        <v>0</v>
      </c>
      <c r="BE511" s="25"/>
      <c r="BF511" s="25"/>
      <c r="BG511" s="250"/>
      <c r="BH511" s="250"/>
      <c r="BI511" s="250"/>
      <c r="BJ511" s="250"/>
      <c r="BK511" s="250"/>
      <c r="BL511" s="250"/>
      <c r="BM511" s="250"/>
      <c r="BN511" s="250"/>
      <c r="BO511" s="250"/>
      <c r="BP511" s="250"/>
      <c r="BQ511" s="250"/>
      <c r="BR511" s="250"/>
      <c r="BS511" s="250"/>
      <c r="BT511" s="250"/>
      <c r="BU511" s="250"/>
      <c r="BV511" s="250"/>
      <c r="BW511" s="250"/>
      <c r="BX511" s="250"/>
      <c r="BY511" s="25">
        <v>0</v>
      </c>
      <c r="BZ511" s="25"/>
      <c r="CA511" s="25"/>
      <c r="CB511" s="25">
        <v>0</v>
      </c>
      <c r="CC511" s="26"/>
      <c r="CD511" s="26"/>
      <c r="CE511" s="112">
        <f>15000000+60000000</f>
        <v>75000000</v>
      </c>
      <c r="CF511" s="112">
        <f>15000000+60000000</f>
        <v>75000000</v>
      </c>
      <c r="CG511" s="112">
        <f>15000000+60000000</f>
        <v>75000000</v>
      </c>
      <c r="CH511" s="9"/>
      <c r="CI511" s="9"/>
      <c r="CJ511" s="9"/>
      <c r="CK511" s="25">
        <v>0</v>
      </c>
      <c r="CL511" s="26"/>
      <c r="CM511" s="26"/>
      <c r="CN511" s="288">
        <v>0</v>
      </c>
      <c r="CO511" s="288"/>
      <c r="CP511" s="288"/>
      <c r="CQ511" s="288"/>
      <c r="CR511" s="288"/>
      <c r="CS511" s="288"/>
      <c r="CT511" s="25">
        <f t="shared" ref="CT511:CV512" si="273">Q511+T511+W511+Z511+AC511+AF511+AI511+AL511+AO511+AR511+AU511+AX511+BA511+BD511+BG511+BJ511+BM511+BP511+BS511+BV511+BY511+CB511+CE511+CH511+CK511+CQ511+CN511</f>
        <v>75000000</v>
      </c>
      <c r="CU511" s="25">
        <f t="shared" si="273"/>
        <v>75000000</v>
      </c>
      <c r="CV511" s="25">
        <f t="shared" si="273"/>
        <v>75000000</v>
      </c>
    </row>
    <row r="512" spans="1:100" s="27" customFormat="1" ht="78.75" customHeight="1" x14ac:dyDescent="0.25">
      <c r="A512" s="19"/>
      <c r="B512" s="474"/>
      <c r="C512" s="927">
        <v>38</v>
      </c>
      <c r="D512" s="928" t="s">
        <v>39</v>
      </c>
      <c r="E512" s="929">
        <v>0</v>
      </c>
      <c r="F512" s="929">
        <v>2</v>
      </c>
      <c r="G512" s="29"/>
      <c r="H512" s="929">
        <v>194</v>
      </c>
      <c r="I512" s="928" t="s">
        <v>630</v>
      </c>
      <c r="J512" s="929">
        <v>1</v>
      </c>
      <c r="K512" s="929">
        <v>1</v>
      </c>
      <c r="L512" s="661">
        <v>0.66</v>
      </c>
      <c r="M512" s="928" t="s">
        <v>579</v>
      </c>
      <c r="N512" s="36" t="s">
        <v>631</v>
      </c>
      <c r="O512" s="928" t="s">
        <v>632</v>
      </c>
      <c r="P512" s="929" t="s">
        <v>38</v>
      </c>
      <c r="Q512" s="25">
        <v>0</v>
      </c>
      <c r="R512" s="25"/>
      <c r="S512" s="25"/>
      <c r="T512" s="25">
        <v>0</v>
      </c>
      <c r="U512" s="25"/>
      <c r="V512" s="25"/>
      <c r="W512" s="25">
        <v>0</v>
      </c>
      <c r="X512" s="25"/>
      <c r="Y512" s="25"/>
      <c r="Z512" s="25">
        <v>0</v>
      </c>
      <c r="AA512" s="25"/>
      <c r="AB512" s="25"/>
      <c r="AC512" s="25">
        <v>0</v>
      </c>
      <c r="AD512" s="25"/>
      <c r="AE512" s="25"/>
      <c r="AF512" s="25">
        <v>0</v>
      </c>
      <c r="AG512" s="25"/>
      <c r="AH512" s="25"/>
      <c r="AI512" s="25">
        <v>0</v>
      </c>
      <c r="AJ512" s="25"/>
      <c r="AK512" s="25"/>
      <c r="AL512" s="25"/>
      <c r="AM512" s="25"/>
      <c r="AN512" s="25"/>
      <c r="AO512" s="25"/>
      <c r="AP512" s="25"/>
      <c r="AQ512" s="25"/>
      <c r="AR512" s="25"/>
      <c r="AS512" s="25"/>
      <c r="AT512" s="25"/>
      <c r="AU512" s="25">
        <v>0</v>
      </c>
      <c r="AV512" s="25"/>
      <c r="AW512" s="25"/>
      <c r="AX512" s="25"/>
      <c r="AY512" s="25"/>
      <c r="AZ512" s="25"/>
      <c r="BA512" s="25">
        <v>0</v>
      </c>
      <c r="BB512" s="25"/>
      <c r="BC512" s="25"/>
      <c r="BD512" s="25">
        <v>0</v>
      </c>
      <c r="BE512" s="25"/>
      <c r="BF512" s="25"/>
      <c r="BG512" s="25"/>
      <c r="BH512" s="25"/>
      <c r="BI512" s="25"/>
      <c r="BJ512" s="25"/>
      <c r="BK512" s="25"/>
      <c r="BL512" s="25"/>
      <c r="BM512" s="25"/>
      <c r="BN512" s="25"/>
      <c r="BO512" s="25"/>
      <c r="BP512" s="25"/>
      <c r="BQ512" s="25"/>
      <c r="BR512" s="25"/>
      <c r="BS512" s="25"/>
      <c r="BT512" s="25"/>
      <c r="BU512" s="25"/>
      <c r="BV512" s="25"/>
      <c r="BW512" s="25"/>
      <c r="BX512" s="25"/>
      <c r="BY512" s="25">
        <v>0</v>
      </c>
      <c r="BZ512" s="25"/>
      <c r="CA512" s="25"/>
      <c r="CB512" s="25">
        <v>0</v>
      </c>
      <c r="CC512" s="26"/>
      <c r="CD512" s="26"/>
      <c r="CE512" s="112">
        <f>35000000+55000000+10000000</f>
        <v>100000000</v>
      </c>
      <c r="CF512" s="112">
        <v>74348950</v>
      </c>
      <c r="CG512" s="112">
        <v>74348950</v>
      </c>
      <c r="CH512" s="9"/>
      <c r="CI512" s="9"/>
      <c r="CJ512" s="9"/>
      <c r="CK512" s="25">
        <v>0</v>
      </c>
      <c r="CL512" s="26"/>
      <c r="CM512" s="26"/>
      <c r="CN512" s="26">
        <v>0</v>
      </c>
      <c r="CO512" s="26"/>
      <c r="CP512" s="26"/>
      <c r="CQ512" s="26"/>
      <c r="CR512" s="26"/>
      <c r="CS512" s="26"/>
      <c r="CT512" s="25">
        <f t="shared" si="273"/>
        <v>100000000</v>
      </c>
      <c r="CU512" s="25">
        <f t="shared" si="273"/>
        <v>74348950</v>
      </c>
      <c r="CV512" s="25">
        <f t="shared" si="273"/>
        <v>74348950</v>
      </c>
    </row>
    <row r="513" spans="1:100" ht="15" x14ac:dyDescent="0.25">
      <c r="A513" s="19"/>
      <c r="B513" s="468"/>
      <c r="C513" s="469"/>
      <c r="D513" s="153"/>
      <c r="E513" s="581"/>
      <c r="F513" s="581"/>
      <c r="G513" s="154"/>
      <c r="H513" s="155"/>
      <c r="I513" s="154"/>
      <c r="J513" s="155"/>
      <c r="K513" s="155"/>
      <c r="L513" s="155"/>
      <c r="M513" s="155"/>
      <c r="N513" s="157"/>
      <c r="O513" s="154"/>
      <c r="P513" s="155"/>
      <c r="Q513" s="158">
        <f>SUM(Q511:Q512)</f>
        <v>0</v>
      </c>
      <c r="R513" s="158">
        <f t="shared" ref="R513:CC513" si="274">SUM(R511:R512)</f>
        <v>0</v>
      </c>
      <c r="S513" s="158">
        <f t="shared" si="274"/>
        <v>0</v>
      </c>
      <c r="T513" s="158">
        <f t="shared" si="274"/>
        <v>0</v>
      </c>
      <c r="U513" s="158">
        <f t="shared" si="274"/>
        <v>0</v>
      </c>
      <c r="V513" s="158">
        <f t="shared" si="274"/>
        <v>0</v>
      </c>
      <c r="W513" s="158">
        <f t="shared" si="274"/>
        <v>0</v>
      </c>
      <c r="X513" s="158">
        <f t="shared" si="274"/>
        <v>0</v>
      </c>
      <c r="Y513" s="158">
        <f t="shared" si="274"/>
        <v>0</v>
      </c>
      <c r="Z513" s="158">
        <f t="shared" si="274"/>
        <v>0</v>
      </c>
      <c r="AA513" s="158">
        <f t="shared" si="274"/>
        <v>0</v>
      </c>
      <c r="AB513" s="158">
        <f t="shared" si="274"/>
        <v>0</v>
      </c>
      <c r="AC513" s="158">
        <f t="shared" si="274"/>
        <v>0</v>
      </c>
      <c r="AD513" s="158">
        <f t="shared" si="274"/>
        <v>0</v>
      </c>
      <c r="AE513" s="158">
        <f t="shared" si="274"/>
        <v>0</v>
      </c>
      <c r="AF513" s="158">
        <f t="shared" si="274"/>
        <v>0</v>
      </c>
      <c r="AG513" s="158">
        <f t="shared" si="274"/>
        <v>0</v>
      </c>
      <c r="AH513" s="158">
        <f t="shared" si="274"/>
        <v>0</v>
      </c>
      <c r="AI513" s="158">
        <f t="shared" si="274"/>
        <v>0</v>
      </c>
      <c r="AJ513" s="158">
        <f t="shared" si="274"/>
        <v>0</v>
      </c>
      <c r="AK513" s="158">
        <f t="shared" si="274"/>
        <v>0</v>
      </c>
      <c r="AL513" s="158">
        <f t="shared" si="274"/>
        <v>0</v>
      </c>
      <c r="AM513" s="158">
        <f t="shared" si="274"/>
        <v>0</v>
      </c>
      <c r="AN513" s="158">
        <f t="shared" si="274"/>
        <v>0</v>
      </c>
      <c r="AO513" s="158">
        <f t="shared" si="274"/>
        <v>0</v>
      </c>
      <c r="AP513" s="158">
        <f t="shared" si="274"/>
        <v>0</v>
      </c>
      <c r="AQ513" s="158">
        <f t="shared" si="274"/>
        <v>0</v>
      </c>
      <c r="AR513" s="158">
        <f t="shared" si="274"/>
        <v>0</v>
      </c>
      <c r="AS513" s="158">
        <f t="shared" si="274"/>
        <v>0</v>
      </c>
      <c r="AT513" s="158">
        <f t="shared" si="274"/>
        <v>0</v>
      </c>
      <c r="AU513" s="158">
        <f t="shared" si="274"/>
        <v>0</v>
      </c>
      <c r="AV513" s="158">
        <f t="shared" si="274"/>
        <v>0</v>
      </c>
      <c r="AW513" s="158">
        <f t="shared" si="274"/>
        <v>0</v>
      </c>
      <c r="AX513" s="158">
        <f t="shared" si="274"/>
        <v>0</v>
      </c>
      <c r="AY513" s="158">
        <f t="shared" si="274"/>
        <v>0</v>
      </c>
      <c r="AZ513" s="158">
        <f t="shared" si="274"/>
        <v>0</v>
      </c>
      <c r="BA513" s="158">
        <f t="shared" si="274"/>
        <v>0</v>
      </c>
      <c r="BB513" s="158">
        <f t="shared" si="274"/>
        <v>0</v>
      </c>
      <c r="BC513" s="158">
        <f t="shared" si="274"/>
        <v>0</v>
      </c>
      <c r="BD513" s="158">
        <f t="shared" si="274"/>
        <v>0</v>
      </c>
      <c r="BE513" s="158">
        <f t="shared" si="274"/>
        <v>0</v>
      </c>
      <c r="BF513" s="158">
        <f t="shared" si="274"/>
        <v>0</v>
      </c>
      <c r="BG513" s="158">
        <f t="shared" si="274"/>
        <v>0</v>
      </c>
      <c r="BH513" s="158">
        <f t="shared" si="274"/>
        <v>0</v>
      </c>
      <c r="BI513" s="158">
        <f t="shared" si="274"/>
        <v>0</v>
      </c>
      <c r="BJ513" s="158">
        <f t="shared" si="274"/>
        <v>0</v>
      </c>
      <c r="BK513" s="158">
        <f t="shared" si="274"/>
        <v>0</v>
      </c>
      <c r="BL513" s="158">
        <f t="shared" si="274"/>
        <v>0</v>
      </c>
      <c r="BM513" s="158">
        <f t="shared" si="274"/>
        <v>0</v>
      </c>
      <c r="BN513" s="158">
        <f t="shared" si="274"/>
        <v>0</v>
      </c>
      <c r="BO513" s="158">
        <f t="shared" si="274"/>
        <v>0</v>
      </c>
      <c r="BP513" s="158">
        <f t="shared" si="274"/>
        <v>0</v>
      </c>
      <c r="BQ513" s="158">
        <f t="shared" si="274"/>
        <v>0</v>
      </c>
      <c r="BR513" s="158">
        <f t="shared" si="274"/>
        <v>0</v>
      </c>
      <c r="BS513" s="158">
        <f t="shared" si="274"/>
        <v>0</v>
      </c>
      <c r="BT513" s="158">
        <f t="shared" si="274"/>
        <v>0</v>
      </c>
      <c r="BU513" s="158">
        <f t="shared" si="274"/>
        <v>0</v>
      </c>
      <c r="BV513" s="158">
        <f t="shared" si="274"/>
        <v>0</v>
      </c>
      <c r="BW513" s="158">
        <f t="shared" si="274"/>
        <v>0</v>
      </c>
      <c r="BX513" s="158">
        <f t="shared" si="274"/>
        <v>0</v>
      </c>
      <c r="BY513" s="158">
        <f t="shared" si="274"/>
        <v>0</v>
      </c>
      <c r="BZ513" s="158">
        <f t="shared" si="274"/>
        <v>0</v>
      </c>
      <c r="CA513" s="158">
        <f t="shared" si="274"/>
        <v>0</v>
      </c>
      <c r="CB513" s="158">
        <f t="shared" si="274"/>
        <v>0</v>
      </c>
      <c r="CC513" s="158">
        <f t="shared" si="274"/>
        <v>0</v>
      </c>
      <c r="CD513" s="158">
        <f t="shared" ref="CD513:CS513" si="275">SUM(CD511:CD512)</f>
        <v>0</v>
      </c>
      <c r="CE513" s="158">
        <f t="shared" si="275"/>
        <v>175000000</v>
      </c>
      <c r="CF513" s="158">
        <f t="shared" si="275"/>
        <v>149348950</v>
      </c>
      <c r="CG513" s="158">
        <f t="shared" si="275"/>
        <v>149348950</v>
      </c>
      <c r="CH513" s="158">
        <f t="shared" si="275"/>
        <v>0</v>
      </c>
      <c r="CI513" s="158">
        <f t="shared" si="275"/>
        <v>0</v>
      </c>
      <c r="CJ513" s="158">
        <f t="shared" si="275"/>
        <v>0</v>
      </c>
      <c r="CK513" s="158">
        <f t="shared" si="275"/>
        <v>0</v>
      </c>
      <c r="CL513" s="158">
        <f t="shared" si="275"/>
        <v>0</v>
      </c>
      <c r="CM513" s="158">
        <f t="shared" si="275"/>
        <v>0</v>
      </c>
      <c r="CN513" s="158">
        <f t="shared" si="275"/>
        <v>0</v>
      </c>
      <c r="CO513" s="158">
        <f t="shared" si="275"/>
        <v>0</v>
      </c>
      <c r="CP513" s="158">
        <f t="shared" si="275"/>
        <v>0</v>
      </c>
      <c r="CQ513" s="158">
        <f t="shared" si="275"/>
        <v>0</v>
      </c>
      <c r="CR513" s="158">
        <f t="shared" si="275"/>
        <v>0</v>
      </c>
      <c r="CS513" s="158">
        <f t="shared" si="275"/>
        <v>0</v>
      </c>
      <c r="CT513" s="158">
        <f>SUM(CT511:CT512)</f>
        <v>175000000</v>
      </c>
      <c r="CU513" s="158">
        <f>SUM(CU511:CU512)</f>
        <v>149348950</v>
      </c>
      <c r="CV513" s="158">
        <f>SUM(CV511:CV512)</f>
        <v>149348950</v>
      </c>
    </row>
    <row r="514" spans="1:100" s="27" customFormat="1" ht="15" x14ac:dyDescent="0.25">
      <c r="A514" s="19"/>
      <c r="B514" s="468"/>
      <c r="C514" s="471"/>
      <c r="D514" s="419"/>
      <c r="E514" s="471"/>
      <c r="F514" s="471"/>
      <c r="G514" s="419"/>
      <c r="H514" s="471"/>
      <c r="I514" s="419"/>
      <c r="J514" s="472"/>
      <c r="K514" s="472"/>
      <c r="L514" s="472"/>
      <c r="M514" s="472"/>
      <c r="N514" s="418"/>
      <c r="O514" s="419"/>
      <c r="P514" s="471"/>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286"/>
      <c r="CF514" s="286"/>
      <c r="CG514" s="286"/>
      <c r="CH514" s="287"/>
      <c r="CI514" s="287"/>
      <c r="CJ514" s="287"/>
      <c r="CK514" s="106"/>
      <c r="CL514" s="106"/>
      <c r="CM514" s="106"/>
      <c r="CN514" s="106"/>
      <c r="CO514" s="106"/>
      <c r="CP514" s="106"/>
      <c r="CQ514" s="106"/>
      <c r="CR514" s="106"/>
      <c r="CS514" s="106"/>
      <c r="CT514" s="25"/>
      <c r="CU514" s="76"/>
      <c r="CV514" s="76"/>
    </row>
    <row r="515" spans="1:100" s="27" customFormat="1" ht="15" x14ac:dyDescent="0.25">
      <c r="A515" s="19"/>
      <c r="B515" s="468"/>
      <c r="C515" s="938"/>
      <c r="D515" s="953"/>
      <c r="E515" s="944"/>
      <c r="F515" s="473"/>
      <c r="G515" s="188">
        <v>64</v>
      </c>
      <c r="H515" s="189" t="s">
        <v>633</v>
      </c>
      <c r="I515" s="189"/>
      <c r="J515" s="189"/>
      <c r="K515" s="189"/>
      <c r="L515" s="189"/>
      <c r="M515" s="189"/>
      <c r="N515" s="684"/>
      <c r="O515" s="189"/>
      <c r="P515" s="189"/>
      <c r="Q515" s="189"/>
      <c r="R515" s="189"/>
      <c r="S515" s="189"/>
      <c r="T515" s="189"/>
      <c r="U515" s="189"/>
      <c r="V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c r="BG515" s="189"/>
      <c r="BH515" s="189"/>
      <c r="BI515" s="189"/>
      <c r="BJ515" s="189"/>
      <c r="BK515" s="189"/>
      <c r="BL515" s="189"/>
      <c r="BM515" s="189"/>
      <c r="BN515" s="189"/>
      <c r="BO515" s="189"/>
      <c r="BP515" s="189"/>
      <c r="BQ515" s="189"/>
      <c r="BR515" s="189"/>
      <c r="BS515" s="189"/>
      <c r="BT515" s="189"/>
      <c r="BU515" s="189"/>
      <c r="BV515" s="189"/>
      <c r="BW515" s="189"/>
      <c r="BX515" s="189"/>
      <c r="BY515" s="189"/>
      <c r="BZ515" s="189"/>
      <c r="CA515" s="189"/>
      <c r="CB515" s="189"/>
      <c r="CC515" s="189"/>
      <c r="CD515" s="189"/>
      <c r="CE515" s="190"/>
      <c r="CF515" s="190"/>
      <c r="CG515" s="190"/>
      <c r="CH515" s="189"/>
      <c r="CI515" s="189"/>
      <c r="CJ515" s="189"/>
      <c r="CK515" s="189"/>
      <c r="CL515" s="189"/>
      <c r="CM515" s="189"/>
      <c r="CN515" s="189"/>
      <c r="CO515" s="189"/>
      <c r="CP515" s="189"/>
      <c r="CQ515" s="189"/>
      <c r="CR515" s="189"/>
      <c r="CS515" s="189"/>
      <c r="CT515" s="522"/>
      <c r="CU515" s="522"/>
      <c r="CV515" s="522"/>
    </row>
    <row r="516" spans="1:100" s="27" customFormat="1" ht="95.25" customHeight="1" x14ac:dyDescent="0.25">
      <c r="A516" s="19"/>
      <c r="B516" s="474"/>
      <c r="C516" s="929">
        <v>37</v>
      </c>
      <c r="D516" s="928" t="s">
        <v>634</v>
      </c>
      <c r="E516" s="481" t="s">
        <v>635</v>
      </c>
      <c r="F516" s="482">
        <v>0.6</v>
      </c>
      <c r="G516" s="29"/>
      <c r="H516" s="929">
        <v>195</v>
      </c>
      <c r="I516" s="928" t="s">
        <v>636</v>
      </c>
      <c r="J516" s="929">
        <v>0</v>
      </c>
      <c r="K516" s="929">
        <v>1</v>
      </c>
      <c r="L516" s="662">
        <v>1</v>
      </c>
      <c r="M516" s="928" t="s">
        <v>579</v>
      </c>
      <c r="N516" s="36" t="s">
        <v>637</v>
      </c>
      <c r="O516" s="928" t="s">
        <v>638</v>
      </c>
      <c r="P516" s="929" t="s">
        <v>38</v>
      </c>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c r="CB516" s="25"/>
      <c r="CC516" s="26"/>
      <c r="CD516" s="26"/>
      <c r="CE516" s="112">
        <f>60000000+40000000</f>
        <v>100000000</v>
      </c>
      <c r="CF516" s="112">
        <v>88800000</v>
      </c>
      <c r="CG516" s="112">
        <v>88800000</v>
      </c>
      <c r="CH516" s="9"/>
      <c r="CI516" s="9"/>
      <c r="CJ516" s="9"/>
      <c r="CK516" s="25"/>
      <c r="CL516" s="26"/>
      <c r="CM516" s="26"/>
      <c r="CN516" s="26"/>
      <c r="CO516" s="26"/>
      <c r="CP516" s="26"/>
      <c r="CQ516" s="26"/>
      <c r="CR516" s="26"/>
      <c r="CS516" s="26"/>
      <c r="CT516" s="25">
        <f>Q516+T516+W516+Z516+AC516+AF516+AI516+AL516+AO516+AR516+AU516+AX516+BA516+BD516+BG516+BJ516+BM516+BP516+BS516+BV516+BY516+CB516+CE516+CH516+CK516+CQ516+CN516</f>
        <v>100000000</v>
      </c>
      <c r="CU516" s="25">
        <f>R516+U516+X516+AA516+AD516+AG516+AJ516+AM516+AP516+AS516+AV516+AY516+BB516+BE516+BH516+BK516+BN516+BQ516+BT516+BW516+BZ516+CC516+CF516+CI516+CL516+CR516+CO516</f>
        <v>88800000</v>
      </c>
      <c r="CV516" s="25">
        <f>S516+V516+Y516+AB516+AE516+AH516+AK516+AN516+AQ516+AT516+AW516+AZ516+BC516+BF516+BI516+BL516+BO516+BR516+BU516+BX516+CA516+CD516+CG516+CJ516+CM516+CS516+CP516</f>
        <v>88800000</v>
      </c>
    </row>
    <row r="517" spans="1:100" ht="15" x14ac:dyDescent="0.25">
      <c r="A517" s="19"/>
      <c r="B517" s="468"/>
      <c r="C517" s="469"/>
      <c r="D517" s="153"/>
      <c r="E517" s="581"/>
      <c r="F517" s="581"/>
      <c r="G517" s="154"/>
      <c r="H517" s="155"/>
      <c r="I517" s="154"/>
      <c r="J517" s="155"/>
      <c r="K517" s="155"/>
      <c r="L517" s="155"/>
      <c r="M517" s="155"/>
      <c r="N517" s="157"/>
      <c r="O517" s="154"/>
      <c r="P517" s="155"/>
      <c r="Q517" s="158">
        <f>SUM(Q516:Q516)</f>
        <v>0</v>
      </c>
      <c r="R517" s="158">
        <f t="shared" ref="R517:CC517" si="276">SUM(R516:R516)</f>
        <v>0</v>
      </c>
      <c r="S517" s="158">
        <f t="shared" si="276"/>
        <v>0</v>
      </c>
      <c r="T517" s="158">
        <f t="shared" si="276"/>
        <v>0</v>
      </c>
      <c r="U517" s="158">
        <f t="shared" si="276"/>
        <v>0</v>
      </c>
      <c r="V517" s="158">
        <f t="shared" si="276"/>
        <v>0</v>
      </c>
      <c r="W517" s="158">
        <f t="shared" si="276"/>
        <v>0</v>
      </c>
      <c r="X517" s="158">
        <f t="shared" si="276"/>
        <v>0</v>
      </c>
      <c r="Y517" s="158">
        <f t="shared" si="276"/>
        <v>0</v>
      </c>
      <c r="Z517" s="158">
        <f t="shared" si="276"/>
        <v>0</v>
      </c>
      <c r="AA517" s="158">
        <f t="shared" si="276"/>
        <v>0</v>
      </c>
      <c r="AB517" s="158">
        <f t="shared" si="276"/>
        <v>0</v>
      </c>
      <c r="AC517" s="158">
        <f t="shared" si="276"/>
        <v>0</v>
      </c>
      <c r="AD517" s="158">
        <f t="shared" si="276"/>
        <v>0</v>
      </c>
      <c r="AE517" s="158">
        <f t="shared" si="276"/>
        <v>0</v>
      </c>
      <c r="AF517" s="158">
        <f t="shared" si="276"/>
        <v>0</v>
      </c>
      <c r="AG517" s="158">
        <f t="shared" si="276"/>
        <v>0</v>
      </c>
      <c r="AH517" s="158">
        <f t="shared" si="276"/>
        <v>0</v>
      </c>
      <c r="AI517" s="158">
        <f t="shared" si="276"/>
        <v>0</v>
      </c>
      <c r="AJ517" s="158">
        <f t="shared" si="276"/>
        <v>0</v>
      </c>
      <c r="AK517" s="158">
        <f t="shared" si="276"/>
        <v>0</v>
      </c>
      <c r="AL517" s="158">
        <f t="shared" si="276"/>
        <v>0</v>
      </c>
      <c r="AM517" s="158">
        <f t="shared" si="276"/>
        <v>0</v>
      </c>
      <c r="AN517" s="158">
        <f t="shared" si="276"/>
        <v>0</v>
      </c>
      <c r="AO517" s="158">
        <f t="shared" si="276"/>
        <v>0</v>
      </c>
      <c r="AP517" s="158">
        <f t="shared" si="276"/>
        <v>0</v>
      </c>
      <c r="AQ517" s="158">
        <f t="shared" si="276"/>
        <v>0</v>
      </c>
      <c r="AR517" s="158">
        <f t="shared" si="276"/>
        <v>0</v>
      </c>
      <c r="AS517" s="158">
        <f t="shared" si="276"/>
        <v>0</v>
      </c>
      <c r="AT517" s="158">
        <f t="shared" si="276"/>
        <v>0</v>
      </c>
      <c r="AU517" s="158">
        <f t="shared" si="276"/>
        <v>0</v>
      </c>
      <c r="AV517" s="158">
        <f t="shared" si="276"/>
        <v>0</v>
      </c>
      <c r="AW517" s="158">
        <f t="shared" si="276"/>
        <v>0</v>
      </c>
      <c r="AX517" s="158">
        <f t="shared" si="276"/>
        <v>0</v>
      </c>
      <c r="AY517" s="158">
        <f t="shared" si="276"/>
        <v>0</v>
      </c>
      <c r="AZ517" s="158">
        <f t="shared" si="276"/>
        <v>0</v>
      </c>
      <c r="BA517" s="158">
        <f t="shared" si="276"/>
        <v>0</v>
      </c>
      <c r="BB517" s="158">
        <f t="shared" si="276"/>
        <v>0</v>
      </c>
      <c r="BC517" s="158">
        <f t="shared" si="276"/>
        <v>0</v>
      </c>
      <c r="BD517" s="158">
        <f t="shared" si="276"/>
        <v>0</v>
      </c>
      <c r="BE517" s="158">
        <f t="shared" si="276"/>
        <v>0</v>
      </c>
      <c r="BF517" s="158">
        <f t="shared" si="276"/>
        <v>0</v>
      </c>
      <c r="BG517" s="158">
        <f t="shared" si="276"/>
        <v>0</v>
      </c>
      <c r="BH517" s="158">
        <f t="shared" si="276"/>
        <v>0</v>
      </c>
      <c r="BI517" s="158">
        <f t="shared" si="276"/>
        <v>0</v>
      </c>
      <c r="BJ517" s="158">
        <f t="shared" si="276"/>
        <v>0</v>
      </c>
      <c r="BK517" s="158">
        <f t="shared" si="276"/>
        <v>0</v>
      </c>
      <c r="BL517" s="158">
        <f t="shared" si="276"/>
        <v>0</v>
      </c>
      <c r="BM517" s="158">
        <f t="shared" si="276"/>
        <v>0</v>
      </c>
      <c r="BN517" s="158">
        <f t="shared" si="276"/>
        <v>0</v>
      </c>
      <c r="BO517" s="158">
        <f t="shared" si="276"/>
        <v>0</v>
      </c>
      <c r="BP517" s="158">
        <f t="shared" si="276"/>
        <v>0</v>
      </c>
      <c r="BQ517" s="158">
        <f t="shared" si="276"/>
        <v>0</v>
      </c>
      <c r="BR517" s="158">
        <f t="shared" si="276"/>
        <v>0</v>
      </c>
      <c r="BS517" s="158">
        <f t="shared" si="276"/>
        <v>0</v>
      </c>
      <c r="BT517" s="158">
        <f t="shared" si="276"/>
        <v>0</v>
      </c>
      <c r="BU517" s="158">
        <f t="shared" si="276"/>
        <v>0</v>
      </c>
      <c r="BV517" s="158">
        <f t="shared" si="276"/>
        <v>0</v>
      </c>
      <c r="BW517" s="158">
        <f t="shared" si="276"/>
        <v>0</v>
      </c>
      <c r="BX517" s="158">
        <f t="shared" si="276"/>
        <v>0</v>
      </c>
      <c r="BY517" s="158">
        <f t="shared" si="276"/>
        <v>0</v>
      </c>
      <c r="BZ517" s="158">
        <f t="shared" si="276"/>
        <v>0</v>
      </c>
      <c r="CA517" s="158">
        <f t="shared" si="276"/>
        <v>0</v>
      </c>
      <c r="CB517" s="158">
        <f t="shared" si="276"/>
        <v>0</v>
      </c>
      <c r="CC517" s="158">
        <f t="shared" si="276"/>
        <v>0</v>
      </c>
      <c r="CD517" s="158">
        <f t="shared" ref="CD517:CS517" si="277">SUM(CD516:CD516)</f>
        <v>0</v>
      </c>
      <c r="CE517" s="158">
        <f t="shared" si="277"/>
        <v>100000000</v>
      </c>
      <c r="CF517" s="158">
        <f t="shared" si="277"/>
        <v>88800000</v>
      </c>
      <c r="CG517" s="158">
        <f t="shared" si="277"/>
        <v>88800000</v>
      </c>
      <c r="CH517" s="158">
        <f t="shared" si="277"/>
        <v>0</v>
      </c>
      <c r="CI517" s="158">
        <f t="shared" si="277"/>
        <v>0</v>
      </c>
      <c r="CJ517" s="158">
        <f t="shared" si="277"/>
        <v>0</v>
      </c>
      <c r="CK517" s="158">
        <f t="shared" si="277"/>
        <v>0</v>
      </c>
      <c r="CL517" s="158">
        <f t="shared" si="277"/>
        <v>0</v>
      </c>
      <c r="CM517" s="158">
        <f t="shared" si="277"/>
        <v>0</v>
      </c>
      <c r="CN517" s="158">
        <f t="shared" si="277"/>
        <v>0</v>
      </c>
      <c r="CO517" s="158">
        <f t="shared" si="277"/>
        <v>0</v>
      </c>
      <c r="CP517" s="158">
        <f t="shared" si="277"/>
        <v>0</v>
      </c>
      <c r="CQ517" s="158">
        <f t="shared" si="277"/>
        <v>0</v>
      </c>
      <c r="CR517" s="158">
        <f t="shared" si="277"/>
        <v>0</v>
      </c>
      <c r="CS517" s="158">
        <f t="shared" si="277"/>
        <v>0</v>
      </c>
      <c r="CT517" s="158">
        <f>SUM(CT516:CT516)</f>
        <v>100000000</v>
      </c>
      <c r="CU517" s="158">
        <f>SUM(CU516:CU516)</f>
        <v>88800000</v>
      </c>
      <c r="CV517" s="158">
        <f>SUM(CV516:CV516)</f>
        <v>88800000</v>
      </c>
    </row>
    <row r="518" spans="1:100" ht="15" x14ac:dyDescent="0.25">
      <c r="A518" s="19"/>
      <c r="B518" s="468"/>
      <c r="C518" s="471"/>
      <c r="D518" s="419"/>
      <c r="E518" s="471"/>
      <c r="F518" s="471"/>
      <c r="G518" s="419"/>
      <c r="H518" s="471"/>
      <c r="I518" s="419"/>
      <c r="J518" s="472"/>
      <c r="K518" s="472"/>
      <c r="L518" s="472"/>
      <c r="M518" s="472"/>
      <c r="N518" s="418"/>
      <c r="O518" s="419"/>
      <c r="P518" s="471"/>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286"/>
      <c r="CF518" s="286"/>
      <c r="CG518" s="286"/>
      <c r="CH518" s="287"/>
      <c r="CI518" s="287"/>
      <c r="CJ518" s="287"/>
      <c r="CK518" s="106"/>
      <c r="CL518" s="106"/>
      <c r="CM518" s="106"/>
      <c r="CN518" s="106"/>
      <c r="CO518" s="106"/>
      <c r="CP518" s="106"/>
      <c r="CQ518" s="106"/>
      <c r="CR518" s="106"/>
      <c r="CS518" s="106"/>
      <c r="CT518" s="25"/>
      <c r="CU518" s="516"/>
      <c r="CV518" s="516"/>
    </row>
    <row r="519" spans="1:100" ht="15" x14ac:dyDescent="0.25">
      <c r="A519" s="19"/>
      <c r="B519" s="468"/>
      <c r="C519" s="938"/>
      <c r="D519" s="953"/>
      <c r="E519" s="944"/>
      <c r="F519" s="944"/>
      <c r="G519" s="339">
        <v>65</v>
      </c>
      <c r="H519" s="189" t="s">
        <v>639</v>
      </c>
      <c r="I519" s="189"/>
      <c r="J519" s="189"/>
      <c r="K519" s="189"/>
      <c r="L519" s="189"/>
      <c r="M519" s="189"/>
      <c r="N519" s="684"/>
      <c r="O519" s="189"/>
      <c r="P519" s="189"/>
      <c r="Q519" s="189"/>
      <c r="R519" s="189"/>
      <c r="S519" s="189"/>
      <c r="T519" s="189"/>
      <c r="U519" s="189"/>
      <c r="V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189"/>
      <c r="BU519" s="189"/>
      <c r="BV519" s="189"/>
      <c r="BW519" s="189"/>
      <c r="BX519" s="189"/>
      <c r="BY519" s="189"/>
      <c r="BZ519" s="189"/>
      <c r="CA519" s="189"/>
      <c r="CB519" s="189"/>
      <c r="CC519" s="189"/>
      <c r="CD519" s="189"/>
      <c r="CE519" s="190"/>
      <c r="CF519" s="190"/>
      <c r="CG519" s="190"/>
      <c r="CH519" s="189"/>
      <c r="CI519" s="189"/>
      <c r="CJ519" s="189"/>
      <c r="CK519" s="189"/>
      <c r="CL519" s="189"/>
      <c r="CM519" s="189"/>
      <c r="CN519" s="189"/>
      <c r="CO519" s="189"/>
      <c r="CP519" s="189"/>
      <c r="CQ519" s="189"/>
      <c r="CR519" s="189"/>
      <c r="CS519" s="189"/>
      <c r="CT519" s="522"/>
      <c r="CU519" s="522"/>
      <c r="CV519" s="522"/>
    </row>
    <row r="520" spans="1:100" s="27" customFormat="1" ht="95.25" customHeight="1" x14ac:dyDescent="0.25">
      <c r="A520" s="19"/>
      <c r="B520" s="474"/>
      <c r="C520" s="927" t="s">
        <v>640</v>
      </c>
      <c r="D520" s="53" t="s">
        <v>903</v>
      </c>
      <c r="E520" s="478" t="s">
        <v>641</v>
      </c>
      <c r="F520" s="483" t="s">
        <v>642</v>
      </c>
      <c r="G520" s="34"/>
      <c r="H520" s="929">
        <v>196</v>
      </c>
      <c r="I520" s="928" t="s">
        <v>643</v>
      </c>
      <c r="J520" s="929">
        <v>0</v>
      </c>
      <c r="K520" s="929">
        <v>1</v>
      </c>
      <c r="L520" s="663">
        <v>0.95</v>
      </c>
      <c r="M520" s="928" t="s">
        <v>579</v>
      </c>
      <c r="N520" s="36" t="s">
        <v>644</v>
      </c>
      <c r="O520" s="928" t="s">
        <v>645</v>
      </c>
      <c r="P520" s="929" t="s">
        <v>38</v>
      </c>
      <c r="Q520" s="25">
        <v>0</v>
      </c>
      <c r="R520" s="25"/>
      <c r="S520" s="25"/>
      <c r="T520" s="25">
        <v>0</v>
      </c>
      <c r="U520" s="25"/>
      <c r="V520" s="25"/>
      <c r="W520" s="25">
        <v>0</v>
      </c>
      <c r="X520" s="25"/>
      <c r="Y520" s="25"/>
      <c r="Z520" s="25">
        <v>0</v>
      </c>
      <c r="AA520" s="25"/>
      <c r="AB520" s="25"/>
      <c r="AC520" s="25">
        <v>0</v>
      </c>
      <c r="AD520" s="25"/>
      <c r="AE520" s="25"/>
      <c r="AF520" s="25">
        <v>0</v>
      </c>
      <c r="AG520" s="25"/>
      <c r="AH520" s="25"/>
      <c r="AI520" s="25">
        <v>0</v>
      </c>
      <c r="AJ520" s="25"/>
      <c r="AK520" s="25"/>
      <c r="AL520" s="25"/>
      <c r="AM520" s="25"/>
      <c r="AN520" s="25"/>
      <c r="AO520" s="25"/>
      <c r="AP520" s="25"/>
      <c r="AQ520" s="25"/>
      <c r="AR520" s="25"/>
      <c r="AS520" s="25"/>
      <c r="AT520" s="25"/>
      <c r="AU520" s="25">
        <v>0</v>
      </c>
      <c r="AV520" s="25"/>
      <c r="AW520" s="25"/>
      <c r="AX520" s="25"/>
      <c r="AY520" s="25"/>
      <c r="AZ520" s="25"/>
      <c r="BA520" s="25">
        <v>0</v>
      </c>
      <c r="BB520" s="25"/>
      <c r="BC520" s="25"/>
      <c r="BD520" s="25">
        <v>0</v>
      </c>
      <c r="BE520" s="25"/>
      <c r="BF520" s="25"/>
      <c r="BG520" s="25"/>
      <c r="BH520" s="25"/>
      <c r="BI520" s="25"/>
      <c r="BJ520" s="25"/>
      <c r="BK520" s="25"/>
      <c r="BL520" s="25"/>
      <c r="BM520" s="25"/>
      <c r="BN520" s="25"/>
      <c r="BO520" s="25"/>
      <c r="BP520" s="25"/>
      <c r="BQ520" s="25"/>
      <c r="BR520" s="25"/>
      <c r="BS520" s="25"/>
      <c r="BT520" s="25"/>
      <c r="BU520" s="25"/>
      <c r="BV520" s="25"/>
      <c r="BW520" s="25"/>
      <c r="BX520" s="25"/>
      <c r="BY520" s="25">
        <v>0</v>
      </c>
      <c r="BZ520" s="25"/>
      <c r="CA520" s="25"/>
      <c r="CB520" s="25">
        <v>0</v>
      </c>
      <c r="CC520" s="25"/>
      <c r="CD520" s="25"/>
      <c r="CE520" s="110">
        <f>21000000+49000000+20000000</f>
        <v>90000000</v>
      </c>
      <c r="CF520" s="110">
        <v>77284666</v>
      </c>
      <c r="CG520" s="110">
        <v>77284666</v>
      </c>
      <c r="CH520" s="13"/>
      <c r="CI520" s="13"/>
      <c r="CJ520" s="13"/>
      <c r="CK520" s="25">
        <v>0</v>
      </c>
      <c r="CL520" s="26"/>
      <c r="CM520" s="26"/>
      <c r="CN520" s="26">
        <v>0</v>
      </c>
      <c r="CO520" s="26"/>
      <c r="CP520" s="26"/>
      <c r="CQ520" s="26"/>
      <c r="CR520" s="26"/>
      <c r="CS520" s="26"/>
      <c r="CT520" s="25">
        <f>Q520+T520+W520+Z520+AC520+AF520+AI520+AL520+AO520+AR520+AU520+AX520+BA520+BD520+BG520+BJ520+BM520+BP520+BS520+BV520+BY520+CB520+CE520+CH520+CK520+CQ520+CN520</f>
        <v>90000000</v>
      </c>
      <c r="CU520" s="25">
        <f>R520+U520+X520+AA520+AD520+AG520+AJ520+AM520+AP520+AS520+AV520+AY520+BB520+BE520+BH520+BK520+BN520+BQ520+BT520+BW520+BZ520+CC520+CF520+CI520+CL520+CR520+CO520</f>
        <v>77284666</v>
      </c>
      <c r="CV520" s="25">
        <f>S520+V520+Y520+AB520+AE520+AH520+AK520+AN520+AQ520+AT520+AW520+AZ520+BC520+BF520+BI520+BL520+BO520+BR520+BU520+BX520+CA520+CD520+CG520+CJ520+CM520+CS520+CP520</f>
        <v>77284666</v>
      </c>
    </row>
    <row r="521" spans="1:100" ht="15" x14ac:dyDescent="0.25">
      <c r="A521" s="19"/>
      <c r="B521" s="468"/>
      <c r="C521" s="939"/>
      <c r="D521" s="954"/>
      <c r="E521" s="945"/>
      <c r="F521" s="945"/>
      <c r="G521" s="409"/>
      <c r="H521" s="155"/>
      <c r="I521" s="154"/>
      <c r="J521" s="155"/>
      <c r="K521" s="155"/>
      <c r="L521" s="155"/>
      <c r="M521" s="155"/>
      <c r="N521" s="157"/>
      <c r="O521" s="154"/>
      <c r="P521" s="155"/>
      <c r="Q521" s="158">
        <f>SUM(Q520)</f>
        <v>0</v>
      </c>
      <c r="R521" s="158">
        <f t="shared" ref="R521:CC521" si="278">SUM(R520)</f>
        <v>0</v>
      </c>
      <c r="S521" s="158">
        <f t="shared" si="278"/>
        <v>0</v>
      </c>
      <c r="T521" s="158">
        <f t="shared" si="278"/>
        <v>0</v>
      </c>
      <c r="U521" s="158">
        <f t="shared" si="278"/>
        <v>0</v>
      </c>
      <c r="V521" s="158">
        <f t="shared" si="278"/>
        <v>0</v>
      </c>
      <c r="W521" s="158">
        <f t="shared" si="278"/>
        <v>0</v>
      </c>
      <c r="X521" s="158">
        <f t="shared" si="278"/>
        <v>0</v>
      </c>
      <c r="Y521" s="158">
        <f t="shared" si="278"/>
        <v>0</v>
      </c>
      <c r="Z521" s="158">
        <f t="shared" si="278"/>
        <v>0</v>
      </c>
      <c r="AA521" s="158">
        <f t="shared" si="278"/>
        <v>0</v>
      </c>
      <c r="AB521" s="158">
        <f t="shared" si="278"/>
        <v>0</v>
      </c>
      <c r="AC521" s="158">
        <f t="shared" si="278"/>
        <v>0</v>
      </c>
      <c r="AD521" s="158">
        <f t="shared" si="278"/>
        <v>0</v>
      </c>
      <c r="AE521" s="158">
        <f t="shared" si="278"/>
        <v>0</v>
      </c>
      <c r="AF521" s="158">
        <f t="shared" si="278"/>
        <v>0</v>
      </c>
      <c r="AG521" s="158">
        <f t="shared" si="278"/>
        <v>0</v>
      </c>
      <c r="AH521" s="158">
        <f t="shared" si="278"/>
        <v>0</v>
      </c>
      <c r="AI521" s="158">
        <f t="shared" si="278"/>
        <v>0</v>
      </c>
      <c r="AJ521" s="158">
        <f t="shared" si="278"/>
        <v>0</v>
      </c>
      <c r="AK521" s="158">
        <f t="shared" si="278"/>
        <v>0</v>
      </c>
      <c r="AL521" s="158">
        <f t="shared" si="278"/>
        <v>0</v>
      </c>
      <c r="AM521" s="158">
        <f t="shared" si="278"/>
        <v>0</v>
      </c>
      <c r="AN521" s="158">
        <f t="shared" si="278"/>
        <v>0</v>
      </c>
      <c r="AO521" s="158">
        <f t="shared" si="278"/>
        <v>0</v>
      </c>
      <c r="AP521" s="158">
        <f t="shared" si="278"/>
        <v>0</v>
      </c>
      <c r="AQ521" s="158">
        <f t="shared" si="278"/>
        <v>0</v>
      </c>
      <c r="AR521" s="158">
        <f t="shared" si="278"/>
        <v>0</v>
      </c>
      <c r="AS521" s="158">
        <f t="shared" si="278"/>
        <v>0</v>
      </c>
      <c r="AT521" s="158">
        <f t="shared" si="278"/>
        <v>0</v>
      </c>
      <c r="AU521" s="158">
        <f t="shared" si="278"/>
        <v>0</v>
      </c>
      <c r="AV521" s="158">
        <f t="shared" si="278"/>
        <v>0</v>
      </c>
      <c r="AW521" s="158">
        <f t="shared" si="278"/>
        <v>0</v>
      </c>
      <c r="AX521" s="158">
        <f t="shared" si="278"/>
        <v>0</v>
      </c>
      <c r="AY521" s="158">
        <f t="shared" si="278"/>
        <v>0</v>
      </c>
      <c r="AZ521" s="158">
        <f t="shared" si="278"/>
        <v>0</v>
      </c>
      <c r="BA521" s="158">
        <f t="shared" si="278"/>
        <v>0</v>
      </c>
      <c r="BB521" s="158">
        <f t="shared" si="278"/>
        <v>0</v>
      </c>
      <c r="BC521" s="158">
        <f t="shared" si="278"/>
        <v>0</v>
      </c>
      <c r="BD521" s="158">
        <f t="shared" si="278"/>
        <v>0</v>
      </c>
      <c r="BE521" s="158">
        <f t="shared" si="278"/>
        <v>0</v>
      </c>
      <c r="BF521" s="158">
        <f t="shared" si="278"/>
        <v>0</v>
      </c>
      <c r="BG521" s="158">
        <f t="shared" si="278"/>
        <v>0</v>
      </c>
      <c r="BH521" s="158">
        <f t="shared" si="278"/>
        <v>0</v>
      </c>
      <c r="BI521" s="158">
        <f t="shared" si="278"/>
        <v>0</v>
      </c>
      <c r="BJ521" s="158">
        <f t="shared" si="278"/>
        <v>0</v>
      </c>
      <c r="BK521" s="158">
        <f t="shared" si="278"/>
        <v>0</v>
      </c>
      <c r="BL521" s="158">
        <f t="shared" si="278"/>
        <v>0</v>
      </c>
      <c r="BM521" s="158">
        <f t="shared" si="278"/>
        <v>0</v>
      </c>
      <c r="BN521" s="158">
        <f t="shared" si="278"/>
        <v>0</v>
      </c>
      <c r="BO521" s="158">
        <f t="shared" si="278"/>
        <v>0</v>
      </c>
      <c r="BP521" s="158">
        <f t="shared" si="278"/>
        <v>0</v>
      </c>
      <c r="BQ521" s="158">
        <f t="shared" si="278"/>
        <v>0</v>
      </c>
      <c r="BR521" s="158">
        <f t="shared" si="278"/>
        <v>0</v>
      </c>
      <c r="BS521" s="158">
        <f t="shared" si="278"/>
        <v>0</v>
      </c>
      <c r="BT521" s="158">
        <f t="shared" si="278"/>
        <v>0</v>
      </c>
      <c r="BU521" s="158">
        <f t="shared" si="278"/>
        <v>0</v>
      </c>
      <c r="BV521" s="158">
        <f t="shared" si="278"/>
        <v>0</v>
      </c>
      <c r="BW521" s="158">
        <f t="shared" si="278"/>
        <v>0</v>
      </c>
      <c r="BX521" s="158">
        <f t="shared" si="278"/>
        <v>0</v>
      </c>
      <c r="BY521" s="158">
        <f t="shared" si="278"/>
        <v>0</v>
      </c>
      <c r="BZ521" s="158">
        <f t="shared" si="278"/>
        <v>0</v>
      </c>
      <c r="CA521" s="158">
        <f t="shared" si="278"/>
        <v>0</v>
      </c>
      <c r="CB521" s="158">
        <f t="shared" si="278"/>
        <v>0</v>
      </c>
      <c r="CC521" s="158">
        <f t="shared" si="278"/>
        <v>0</v>
      </c>
      <c r="CD521" s="158">
        <f t="shared" ref="CD521:CS521" si="279">SUM(CD520)</f>
        <v>0</v>
      </c>
      <c r="CE521" s="158">
        <f t="shared" si="279"/>
        <v>90000000</v>
      </c>
      <c r="CF521" s="158">
        <f t="shared" si="279"/>
        <v>77284666</v>
      </c>
      <c r="CG521" s="158">
        <f t="shared" si="279"/>
        <v>77284666</v>
      </c>
      <c r="CH521" s="158">
        <f t="shared" si="279"/>
        <v>0</v>
      </c>
      <c r="CI521" s="158">
        <f t="shared" si="279"/>
        <v>0</v>
      </c>
      <c r="CJ521" s="158">
        <f t="shared" si="279"/>
        <v>0</v>
      </c>
      <c r="CK521" s="158">
        <f t="shared" si="279"/>
        <v>0</v>
      </c>
      <c r="CL521" s="158">
        <f t="shared" si="279"/>
        <v>0</v>
      </c>
      <c r="CM521" s="158">
        <f t="shared" si="279"/>
        <v>0</v>
      </c>
      <c r="CN521" s="158">
        <f t="shared" si="279"/>
        <v>0</v>
      </c>
      <c r="CO521" s="158">
        <f t="shared" si="279"/>
        <v>0</v>
      </c>
      <c r="CP521" s="158">
        <f t="shared" si="279"/>
        <v>0</v>
      </c>
      <c r="CQ521" s="158">
        <f t="shared" si="279"/>
        <v>0</v>
      </c>
      <c r="CR521" s="158">
        <f t="shared" si="279"/>
        <v>0</v>
      </c>
      <c r="CS521" s="158">
        <f t="shared" si="279"/>
        <v>0</v>
      </c>
      <c r="CT521" s="158">
        <f>SUM(CT520)</f>
        <v>90000000</v>
      </c>
      <c r="CU521" s="158">
        <f>SUM(CU520)</f>
        <v>77284666</v>
      </c>
      <c r="CV521" s="158">
        <f>SUM(CV520)</f>
        <v>77284666</v>
      </c>
    </row>
    <row r="522" spans="1:100" ht="21" customHeight="1" x14ac:dyDescent="0.25">
      <c r="A522" s="19"/>
      <c r="B522" s="468"/>
      <c r="C522" s="471"/>
      <c r="D522" s="419"/>
      <c r="E522" s="471"/>
      <c r="F522" s="471"/>
      <c r="G522" s="419"/>
      <c r="H522" s="471"/>
      <c r="I522" s="419"/>
      <c r="J522" s="472"/>
      <c r="K522" s="472"/>
      <c r="L522" s="472"/>
      <c r="M522" s="472"/>
      <c r="N522" s="418"/>
      <c r="O522" s="419"/>
      <c r="P522" s="471"/>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286"/>
      <c r="CF522" s="286"/>
      <c r="CG522" s="286"/>
      <c r="CH522" s="287"/>
      <c r="CI522" s="287"/>
      <c r="CJ522" s="287"/>
      <c r="CK522" s="106"/>
      <c r="CL522" s="106"/>
      <c r="CM522" s="106"/>
      <c r="CN522" s="106"/>
      <c r="CO522" s="106"/>
      <c r="CP522" s="106"/>
      <c r="CQ522" s="106"/>
      <c r="CR522" s="106"/>
      <c r="CS522" s="106"/>
      <c r="CT522" s="25"/>
      <c r="CU522" s="516"/>
      <c r="CV522" s="516"/>
    </row>
    <row r="523" spans="1:100" ht="15" x14ac:dyDescent="0.25">
      <c r="A523" s="19"/>
      <c r="B523" s="468"/>
      <c r="C523" s="938"/>
      <c r="D523" s="953"/>
      <c r="E523" s="944"/>
      <c r="F523" s="473"/>
      <c r="G523" s="188">
        <v>66</v>
      </c>
      <c r="H523" s="189" t="s">
        <v>646</v>
      </c>
      <c r="I523" s="189"/>
      <c r="J523" s="189"/>
      <c r="K523" s="189"/>
      <c r="L523" s="189"/>
      <c r="M523" s="189"/>
      <c r="N523" s="684"/>
      <c r="O523" s="189"/>
      <c r="P523" s="189"/>
      <c r="Q523" s="189"/>
      <c r="R523" s="189"/>
      <c r="S523" s="189"/>
      <c r="T523" s="189"/>
      <c r="U523" s="189"/>
      <c r="V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189"/>
      <c r="BU523" s="189"/>
      <c r="BV523" s="189"/>
      <c r="BW523" s="189"/>
      <c r="BX523" s="189"/>
      <c r="BY523" s="189"/>
      <c r="BZ523" s="189"/>
      <c r="CA523" s="189"/>
      <c r="CB523" s="189"/>
      <c r="CC523" s="189"/>
      <c r="CD523" s="189"/>
      <c r="CE523" s="190"/>
      <c r="CF523" s="190"/>
      <c r="CG523" s="190"/>
      <c r="CH523" s="189"/>
      <c r="CI523" s="189"/>
      <c r="CJ523" s="189"/>
      <c r="CK523" s="189"/>
      <c r="CL523" s="189"/>
      <c r="CM523" s="189"/>
      <c r="CN523" s="189"/>
      <c r="CO523" s="189"/>
      <c r="CP523" s="189"/>
      <c r="CQ523" s="189"/>
      <c r="CR523" s="189"/>
      <c r="CS523" s="189"/>
      <c r="CT523" s="522"/>
      <c r="CU523" s="522"/>
      <c r="CV523" s="522"/>
    </row>
    <row r="524" spans="1:100" s="27" customFormat="1" ht="60" customHeight="1" x14ac:dyDescent="0.25">
      <c r="A524" s="19"/>
      <c r="B524" s="474"/>
      <c r="C524" s="927">
        <v>21</v>
      </c>
      <c r="D524" s="53" t="s">
        <v>904</v>
      </c>
      <c r="E524" s="478" t="s">
        <v>647</v>
      </c>
      <c r="F524" s="483">
        <v>0.27</v>
      </c>
      <c r="G524" s="29"/>
      <c r="H524" s="927">
        <v>197</v>
      </c>
      <c r="I524" s="928" t="s">
        <v>648</v>
      </c>
      <c r="J524" s="929">
        <v>1</v>
      </c>
      <c r="K524" s="929">
        <v>1</v>
      </c>
      <c r="L524" s="929">
        <v>1</v>
      </c>
      <c r="M524" s="928" t="s">
        <v>579</v>
      </c>
      <c r="N524" s="36" t="s">
        <v>649</v>
      </c>
      <c r="O524" s="928" t="s">
        <v>650</v>
      </c>
      <c r="P524" s="929" t="s">
        <v>38</v>
      </c>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c r="CB524" s="25"/>
      <c r="CC524" s="25"/>
      <c r="CD524" s="25"/>
      <c r="CE524" s="110">
        <f>42000000+40000000</f>
        <v>82000000</v>
      </c>
      <c r="CF524" s="110">
        <v>78500000</v>
      </c>
      <c r="CG524" s="110">
        <v>78394000</v>
      </c>
      <c r="CH524" s="37"/>
      <c r="CI524" s="37"/>
      <c r="CJ524" s="37"/>
      <c r="CK524" s="25"/>
      <c r="CL524" s="26"/>
      <c r="CM524" s="26"/>
      <c r="CN524" s="26"/>
      <c r="CO524" s="26"/>
      <c r="CP524" s="26"/>
      <c r="CQ524" s="26"/>
      <c r="CR524" s="26"/>
      <c r="CS524" s="26"/>
      <c r="CT524" s="25">
        <f>Q524+T524+W524+Z524+AC524+AF524+AI524+AL524+AO524+AR524+AU524+AX524+BA524+BD524+BG524+BJ524+BM524+BP524+BS524+BV524+BY524+CB524+CE524+CH524+CK524+CQ524+CN524</f>
        <v>82000000</v>
      </c>
      <c r="CU524" s="25">
        <f>R524+U524+X524+AA524+AD524+AG524+AJ524+AM524+AP524+AS524+AV524+AY524+BB524+BE524+BH524+BK524+BN524+BQ524+BT524+BW524+BZ524+CC524+CF524+CI524+CL524+CR524+CO524</f>
        <v>78500000</v>
      </c>
      <c r="CV524" s="25">
        <f>S524+V524+Y524+AB524+AE524+AH524+AK524+AN524+AQ524+AT524+AW524+AZ524+BC524+BF524+BI524+BL524+BO524+BR524+BU524+BX524+CA524+CD524+CG524+CJ524+CM524+CS524+CP524</f>
        <v>78394000</v>
      </c>
    </row>
    <row r="525" spans="1:100" ht="15" x14ac:dyDescent="0.25">
      <c r="A525" s="19"/>
      <c r="B525" s="479"/>
      <c r="C525" s="469"/>
      <c r="D525" s="153"/>
      <c r="E525" s="581"/>
      <c r="F525" s="581"/>
      <c r="G525" s="154"/>
      <c r="H525" s="155"/>
      <c r="I525" s="154"/>
      <c r="J525" s="155"/>
      <c r="K525" s="155"/>
      <c r="L525" s="155"/>
      <c r="M525" s="155"/>
      <c r="N525" s="157"/>
      <c r="O525" s="154"/>
      <c r="P525" s="155"/>
      <c r="Q525" s="158">
        <f>SUM(Q524:Q524)</f>
        <v>0</v>
      </c>
      <c r="R525" s="158">
        <f t="shared" ref="R525:CC525" si="280">SUM(R524:R524)</f>
        <v>0</v>
      </c>
      <c r="S525" s="158">
        <f t="shared" si="280"/>
        <v>0</v>
      </c>
      <c r="T525" s="158">
        <f t="shared" si="280"/>
        <v>0</v>
      </c>
      <c r="U525" s="158">
        <f t="shared" si="280"/>
        <v>0</v>
      </c>
      <c r="V525" s="158">
        <f t="shared" si="280"/>
        <v>0</v>
      </c>
      <c r="W525" s="158">
        <f t="shared" si="280"/>
        <v>0</v>
      </c>
      <c r="X525" s="158">
        <f t="shared" si="280"/>
        <v>0</v>
      </c>
      <c r="Y525" s="158">
        <f t="shared" si="280"/>
        <v>0</v>
      </c>
      <c r="Z525" s="158">
        <f t="shared" si="280"/>
        <v>0</v>
      </c>
      <c r="AA525" s="158">
        <f t="shared" si="280"/>
        <v>0</v>
      </c>
      <c r="AB525" s="158">
        <f t="shared" si="280"/>
        <v>0</v>
      </c>
      <c r="AC525" s="158">
        <f t="shared" si="280"/>
        <v>0</v>
      </c>
      <c r="AD525" s="158">
        <f t="shared" si="280"/>
        <v>0</v>
      </c>
      <c r="AE525" s="158">
        <f t="shared" si="280"/>
        <v>0</v>
      </c>
      <c r="AF525" s="158">
        <f t="shared" si="280"/>
        <v>0</v>
      </c>
      <c r="AG525" s="158">
        <f t="shared" si="280"/>
        <v>0</v>
      </c>
      <c r="AH525" s="158">
        <f t="shared" si="280"/>
        <v>0</v>
      </c>
      <c r="AI525" s="158">
        <f t="shared" si="280"/>
        <v>0</v>
      </c>
      <c r="AJ525" s="158">
        <f t="shared" si="280"/>
        <v>0</v>
      </c>
      <c r="AK525" s="158">
        <f t="shared" si="280"/>
        <v>0</v>
      </c>
      <c r="AL525" s="158">
        <f t="shared" si="280"/>
        <v>0</v>
      </c>
      <c r="AM525" s="158">
        <f t="shared" si="280"/>
        <v>0</v>
      </c>
      <c r="AN525" s="158">
        <f t="shared" si="280"/>
        <v>0</v>
      </c>
      <c r="AO525" s="158">
        <f t="shared" si="280"/>
        <v>0</v>
      </c>
      <c r="AP525" s="158">
        <f t="shared" si="280"/>
        <v>0</v>
      </c>
      <c r="AQ525" s="158">
        <f t="shared" si="280"/>
        <v>0</v>
      </c>
      <c r="AR525" s="158">
        <f t="shared" si="280"/>
        <v>0</v>
      </c>
      <c r="AS525" s="158">
        <f t="shared" si="280"/>
        <v>0</v>
      </c>
      <c r="AT525" s="158">
        <f t="shared" si="280"/>
        <v>0</v>
      </c>
      <c r="AU525" s="158">
        <f t="shared" si="280"/>
        <v>0</v>
      </c>
      <c r="AV525" s="158">
        <f t="shared" si="280"/>
        <v>0</v>
      </c>
      <c r="AW525" s="158">
        <f t="shared" si="280"/>
        <v>0</v>
      </c>
      <c r="AX525" s="158">
        <f t="shared" si="280"/>
        <v>0</v>
      </c>
      <c r="AY525" s="158">
        <f t="shared" si="280"/>
        <v>0</v>
      </c>
      <c r="AZ525" s="158">
        <f t="shared" si="280"/>
        <v>0</v>
      </c>
      <c r="BA525" s="158">
        <f t="shared" si="280"/>
        <v>0</v>
      </c>
      <c r="BB525" s="158">
        <f t="shared" si="280"/>
        <v>0</v>
      </c>
      <c r="BC525" s="158">
        <f t="shared" si="280"/>
        <v>0</v>
      </c>
      <c r="BD525" s="158">
        <f t="shared" si="280"/>
        <v>0</v>
      </c>
      <c r="BE525" s="158">
        <f t="shared" si="280"/>
        <v>0</v>
      </c>
      <c r="BF525" s="158">
        <f t="shared" si="280"/>
        <v>0</v>
      </c>
      <c r="BG525" s="158">
        <f t="shared" si="280"/>
        <v>0</v>
      </c>
      <c r="BH525" s="158">
        <f t="shared" si="280"/>
        <v>0</v>
      </c>
      <c r="BI525" s="158">
        <f t="shared" si="280"/>
        <v>0</v>
      </c>
      <c r="BJ525" s="158">
        <f t="shared" si="280"/>
        <v>0</v>
      </c>
      <c r="BK525" s="158">
        <f t="shared" si="280"/>
        <v>0</v>
      </c>
      <c r="BL525" s="158">
        <f t="shared" si="280"/>
        <v>0</v>
      </c>
      <c r="BM525" s="158">
        <f t="shared" si="280"/>
        <v>0</v>
      </c>
      <c r="BN525" s="158">
        <f t="shared" si="280"/>
        <v>0</v>
      </c>
      <c r="BO525" s="158">
        <f t="shared" si="280"/>
        <v>0</v>
      </c>
      <c r="BP525" s="158">
        <f t="shared" si="280"/>
        <v>0</v>
      </c>
      <c r="BQ525" s="158">
        <f t="shared" si="280"/>
        <v>0</v>
      </c>
      <c r="BR525" s="158">
        <f t="shared" si="280"/>
        <v>0</v>
      </c>
      <c r="BS525" s="158">
        <f t="shared" si="280"/>
        <v>0</v>
      </c>
      <c r="BT525" s="158">
        <f t="shared" si="280"/>
        <v>0</v>
      </c>
      <c r="BU525" s="158">
        <f t="shared" si="280"/>
        <v>0</v>
      </c>
      <c r="BV525" s="158">
        <f t="shared" si="280"/>
        <v>0</v>
      </c>
      <c r="BW525" s="158">
        <f t="shared" si="280"/>
        <v>0</v>
      </c>
      <c r="BX525" s="158">
        <f t="shared" si="280"/>
        <v>0</v>
      </c>
      <c r="BY525" s="158">
        <f t="shared" si="280"/>
        <v>0</v>
      </c>
      <c r="BZ525" s="158">
        <f t="shared" si="280"/>
        <v>0</v>
      </c>
      <c r="CA525" s="158">
        <f t="shared" si="280"/>
        <v>0</v>
      </c>
      <c r="CB525" s="158">
        <f t="shared" si="280"/>
        <v>0</v>
      </c>
      <c r="CC525" s="158">
        <f t="shared" si="280"/>
        <v>0</v>
      </c>
      <c r="CD525" s="158">
        <f t="shared" ref="CD525:CS525" si="281">SUM(CD524:CD524)</f>
        <v>0</v>
      </c>
      <c r="CE525" s="158">
        <f t="shared" si="281"/>
        <v>82000000</v>
      </c>
      <c r="CF525" s="158">
        <f t="shared" si="281"/>
        <v>78500000</v>
      </c>
      <c r="CG525" s="158">
        <f t="shared" si="281"/>
        <v>78394000</v>
      </c>
      <c r="CH525" s="158">
        <f t="shared" si="281"/>
        <v>0</v>
      </c>
      <c r="CI525" s="158">
        <f t="shared" si="281"/>
        <v>0</v>
      </c>
      <c r="CJ525" s="158">
        <f t="shared" si="281"/>
        <v>0</v>
      </c>
      <c r="CK525" s="158">
        <f t="shared" si="281"/>
        <v>0</v>
      </c>
      <c r="CL525" s="158">
        <f t="shared" si="281"/>
        <v>0</v>
      </c>
      <c r="CM525" s="158">
        <f t="shared" si="281"/>
        <v>0</v>
      </c>
      <c r="CN525" s="158">
        <f t="shared" si="281"/>
        <v>0</v>
      </c>
      <c r="CO525" s="158">
        <f t="shared" si="281"/>
        <v>0</v>
      </c>
      <c r="CP525" s="158">
        <f t="shared" si="281"/>
        <v>0</v>
      </c>
      <c r="CQ525" s="158">
        <f t="shared" si="281"/>
        <v>0</v>
      </c>
      <c r="CR525" s="158">
        <f t="shared" si="281"/>
        <v>0</v>
      </c>
      <c r="CS525" s="158">
        <f t="shared" si="281"/>
        <v>0</v>
      </c>
      <c r="CT525" s="158">
        <f>SUM(CT524:CT524)</f>
        <v>82000000</v>
      </c>
      <c r="CU525" s="158">
        <f>SUM(CU524:CU524)</f>
        <v>78500000</v>
      </c>
      <c r="CV525" s="158">
        <f>SUM(CV524:CV524)</f>
        <v>78394000</v>
      </c>
    </row>
    <row r="526" spans="1:100" ht="15" x14ac:dyDescent="0.25">
      <c r="A526" s="19"/>
      <c r="B526" s="216"/>
      <c r="C526" s="162"/>
      <c r="D526" s="161"/>
      <c r="E526" s="162"/>
      <c r="F526" s="162"/>
      <c r="G526" s="161"/>
      <c r="H526" s="162"/>
      <c r="I526" s="161"/>
      <c r="J526" s="162"/>
      <c r="K526" s="162"/>
      <c r="L526" s="162"/>
      <c r="M526" s="162"/>
      <c r="N526" s="164"/>
      <c r="O526" s="161"/>
      <c r="P526" s="162"/>
      <c r="Q526" s="165">
        <f>Q525+Q521+Q517+Q513+Q508</f>
        <v>0</v>
      </c>
      <c r="R526" s="165">
        <f t="shared" ref="R526:CC526" si="282">R525+R521+R517+R513+R508</f>
        <v>0</v>
      </c>
      <c r="S526" s="165">
        <f t="shared" si="282"/>
        <v>0</v>
      </c>
      <c r="T526" s="165">
        <f t="shared" si="282"/>
        <v>0</v>
      </c>
      <c r="U526" s="165">
        <f t="shared" si="282"/>
        <v>0</v>
      </c>
      <c r="V526" s="165">
        <f t="shared" si="282"/>
        <v>0</v>
      </c>
      <c r="W526" s="165">
        <f t="shared" si="282"/>
        <v>0</v>
      </c>
      <c r="X526" s="165">
        <f t="shared" si="282"/>
        <v>0</v>
      </c>
      <c r="Y526" s="165">
        <f t="shared" si="282"/>
        <v>0</v>
      </c>
      <c r="Z526" s="165">
        <f t="shared" si="282"/>
        <v>0</v>
      </c>
      <c r="AA526" s="165">
        <f t="shared" si="282"/>
        <v>0</v>
      </c>
      <c r="AB526" s="165">
        <f t="shared" si="282"/>
        <v>0</v>
      </c>
      <c r="AC526" s="165">
        <f t="shared" si="282"/>
        <v>0</v>
      </c>
      <c r="AD526" s="165">
        <f t="shared" si="282"/>
        <v>0</v>
      </c>
      <c r="AE526" s="165">
        <f t="shared" si="282"/>
        <v>0</v>
      </c>
      <c r="AF526" s="165">
        <f t="shared" si="282"/>
        <v>0</v>
      </c>
      <c r="AG526" s="165">
        <f t="shared" si="282"/>
        <v>0</v>
      </c>
      <c r="AH526" s="165">
        <f t="shared" si="282"/>
        <v>0</v>
      </c>
      <c r="AI526" s="165">
        <f t="shared" si="282"/>
        <v>0</v>
      </c>
      <c r="AJ526" s="165">
        <f t="shared" si="282"/>
        <v>0</v>
      </c>
      <c r="AK526" s="165">
        <f t="shared" si="282"/>
        <v>0</v>
      </c>
      <c r="AL526" s="165">
        <f t="shared" si="282"/>
        <v>0</v>
      </c>
      <c r="AM526" s="165">
        <f t="shared" si="282"/>
        <v>0</v>
      </c>
      <c r="AN526" s="165">
        <f t="shared" si="282"/>
        <v>0</v>
      </c>
      <c r="AO526" s="165">
        <f t="shared" si="282"/>
        <v>0</v>
      </c>
      <c r="AP526" s="165">
        <f t="shared" si="282"/>
        <v>0</v>
      </c>
      <c r="AQ526" s="165">
        <f t="shared" si="282"/>
        <v>0</v>
      </c>
      <c r="AR526" s="165">
        <f t="shared" si="282"/>
        <v>0</v>
      </c>
      <c r="AS526" s="165">
        <f t="shared" si="282"/>
        <v>0</v>
      </c>
      <c r="AT526" s="165">
        <f t="shared" si="282"/>
        <v>0</v>
      </c>
      <c r="AU526" s="165">
        <f t="shared" si="282"/>
        <v>0</v>
      </c>
      <c r="AV526" s="165">
        <f t="shared" si="282"/>
        <v>0</v>
      </c>
      <c r="AW526" s="165">
        <f t="shared" si="282"/>
        <v>0</v>
      </c>
      <c r="AX526" s="165">
        <f t="shared" si="282"/>
        <v>0</v>
      </c>
      <c r="AY526" s="165">
        <f t="shared" si="282"/>
        <v>0</v>
      </c>
      <c r="AZ526" s="165">
        <f t="shared" si="282"/>
        <v>0</v>
      </c>
      <c r="BA526" s="165">
        <f t="shared" si="282"/>
        <v>0</v>
      </c>
      <c r="BB526" s="165">
        <f t="shared" si="282"/>
        <v>0</v>
      </c>
      <c r="BC526" s="165">
        <f t="shared" si="282"/>
        <v>0</v>
      </c>
      <c r="BD526" s="165">
        <f t="shared" si="282"/>
        <v>0</v>
      </c>
      <c r="BE526" s="165">
        <f t="shared" si="282"/>
        <v>0</v>
      </c>
      <c r="BF526" s="165">
        <f t="shared" si="282"/>
        <v>0</v>
      </c>
      <c r="BG526" s="165">
        <f t="shared" si="282"/>
        <v>0</v>
      </c>
      <c r="BH526" s="165">
        <f t="shared" si="282"/>
        <v>0</v>
      </c>
      <c r="BI526" s="165">
        <f t="shared" si="282"/>
        <v>0</v>
      </c>
      <c r="BJ526" s="165">
        <f t="shared" si="282"/>
        <v>0</v>
      </c>
      <c r="BK526" s="165">
        <f t="shared" si="282"/>
        <v>0</v>
      </c>
      <c r="BL526" s="165">
        <f t="shared" si="282"/>
        <v>0</v>
      </c>
      <c r="BM526" s="165">
        <f t="shared" si="282"/>
        <v>0</v>
      </c>
      <c r="BN526" s="165">
        <f t="shared" si="282"/>
        <v>0</v>
      </c>
      <c r="BO526" s="165">
        <f t="shared" si="282"/>
        <v>0</v>
      </c>
      <c r="BP526" s="165">
        <f t="shared" si="282"/>
        <v>0</v>
      </c>
      <c r="BQ526" s="165">
        <f t="shared" si="282"/>
        <v>0</v>
      </c>
      <c r="BR526" s="165">
        <f t="shared" si="282"/>
        <v>0</v>
      </c>
      <c r="BS526" s="165">
        <f t="shared" si="282"/>
        <v>0</v>
      </c>
      <c r="BT526" s="165">
        <f t="shared" si="282"/>
        <v>0</v>
      </c>
      <c r="BU526" s="165">
        <f t="shared" si="282"/>
        <v>0</v>
      </c>
      <c r="BV526" s="165">
        <f t="shared" si="282"/>
        <v>0</v>
      </c>
      <c r="BW526" s="165">
        <f t="shared" si="282"/>
        <v>0</v>
      </c>
      <c r="BX526" s="165">
        <f t="shared" si="282"/>
        <v>0</v>
      </c>
      <c r="BY526" s="165">
        <f t="shared" si="282"/>
        <v>0</v>
      </c>
      <c r="BZ526" s="165">
        <f t="shared" si="282"/>
        <v>0</v>
      </c>
      <c r="CA526" s="165">
        <f t="shared" si="282"/>
        <v>0</v>
      </c>
      <c r="CB526" s="165">
        <f t="shared" si="282"/>
        <v>0</v>
      </c>
      <c r="CC526" s="165">
        <f t="shared" si="282"/>
        <v>0</v>
      </c>
      <c r="CD526" s="165">
        <f t="shared" ref="CD526:CS526" si="283">CD525+CD521+CD517+CD513+CD508</f>
        <v>0</v>
      </c>
      <c r="CE526" s="165">
        <f t="shared" si="283"/>
        <v>1629000000</v>
      </c>
      <c r="CF526" s="165">
        <f t="shared" si="283"/>
        <v>1427379228</v>
      </c>
      <c r="CG526" s="165">
        <f t="shared" si="283"/>
        <v>1128271280</v>
      </c>
      <c r="CH526" s="165">
        <f t="shared" si="283"/>
        <v>0</v>
      </c>
      <c r="CI526" s="165">
        <f t="shared" si="283"/>
        <v>0</v>
      </c>
      <c r="CJ526" s="165">
        <f t="shared" si="283"/>
        <v>0</v>
      </c>
      <c r="CK526" s="165">
        <f t="shared" si="283"/>
        <v>0</v>
      </c>
      <c r="CL526" s="165">
        <f t="shared" si="283"/>
        <v>0</v>
      </c>
      <c r="CM526" s="165">
        <f t="shared" si="283"/>
        <v>0</v>
      </c>
      <c r="CN526" s="165">
        <f t="shared" si="283"/>
        <v>0</v>
      </c>
      <c r="CO526" s="165">
        <f t="shared" si="283"/>
        <v>0</v>
      </c>
      <c r="CP526" s="165">
        <f t="shared" si="283"/>
        <v>0</v>
      </c>
      <c r="CQ526" s="165">
        <f t="shared" si="283"/>
        <v>0</v>
      </c>
      <c r="CR526" s="165">
        <f t="shared" si="283"/>
        <v>0</v>
      </c>
      <c r="CS526" s="165">
        <f t="shared" si="283"/>
        <v>0</v>
      </c>
      <c r="CT526" s="165">
        <f>CT525+CT521+CT517+CT513+CT508</f>
        <v>1629000000</v>
      </c>
      <c r="CU526" s="165">
        <f>CU525+CU521+CU517+CU513+CU508</f>
        <v>1427379228</v>
      </c>
      <c r="CV526" s="165">
        <f>CV525+CV521+CV517+CV513+CV508</f>
        <v>1128271280</v>
      </c>
    </row>
    <row r="527" spans="1:100" ht="15" x14ac:dyDescent="0.25">
      <c r="A527" s="19"/>
      <c r="B527" s="465"/>
      <c r="C527" s="466"/>
      <c r="D527" s="177"/>
      <c r="E527" s="949"/>
      <c r="F527" s="949"/>
      <c r="G527" s="177"/>
      <c r="H527" s="949"/>
      <c r="I527" s="177"/>
      <c r="J527" s="949"/>
      <c r="K527" s="949"/>
      <c r="L527" s="949"/>
      <c r="M527" s="949"/>
      <c r="N527" s="179"/>
      <c r="O527" s="177"/>
      <c r="P527" s="949"/>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0"/>
      <c r="BS527" s="180"/>
      <c r="BT527" s="180"/>
      <c r="BU527" s="180"/>
      <c r="BV527" s="180"/>
      <c r="BW527" s="180"/>
      <c r="BX527" s="180"/>
      <c r="BY527" s="180"/>
      <c r="BZ527" s="180"/>
      <c r="CA527" s="180"/>
      <c r="CB527" s="180"/>
      <c r="CC527" s="180"/>
      <c r="CD527" s="180"/>
      <c r="CE527" s="182"/>
      <c r="CF527" s="182"/>
      <c r="CG527" s="182"/>
      <c r="CH527" s="183"/>
      <c r="CI527" s="183"/>
      <c r="CJ527" s="183"/>
      <c r="CK527" s="180"/>
      <c r="CL527" s="180"/>
      <c r="CM527" s="180"/>
      <c r="CN527" s="180"/>
      <c r="CO527" s="180"/>
      <c r="CP527" s="180"/>
      <c r="CQ527" s="180"/>
      <c r="CR527" s="180"/>
      <c r="CS527" s="180"/>
      <c r="CT527" s="25"/>
      <c r="CU527" s="516"/>
      <c r="CV527" s="516"/>
    </row>
    <row r="528" spans="1:100" ht="15" x14ac:dyDescent="0.25">
      <c r="A528" s="19"/>
      <c r="B528" s="239">
        <v>19</v>
      </c>
      <c r="C528" s="146" t="s">
        <v>651</v>
      </c>
      <c r="D528" s="146"/>
      <c r="E528" s="146"/>
      <c r="F528" s="146"/>
      <c r="G528" s="146"/>
      <c r="H528" s="147"/>
      <c r="I528" s="146"/>
      <c r="J528" s="146"/>
      <c r="K528" s="146"/>
      <c r="L528" s="146"/>
      <c r="M528" s="146"/>
      <c r="N528" s="677"/>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c r="BI528" s="146"/>
      <c r="BJ528" s="146"/>
      <c r="BK528" s="146"/>
      <c r="BL528" s="146"/>
      <c r="BM528" s="146"/>
      <c r="BN528" s="146"/>
      <c r="BO528" s="146"/>
      <c r="BP528" s="146"/>
      <c r="BQ528" s="146"/>
      <c r="BR528" s="146"/>
      <c r="BS528" s="146"/>
      <c r="BT528" s="146"/>
      <c r="BU528" s="146"/>
      <c r="BV528" s="146"/>
      <c r="BW528" s="146"/>
      <c r="BX528" s="146"/>
      <c r="BY528" s="146"/>
      <c r="BZ528" s="146"/>
      <c r="CA528" s="146"/>
      <c r="CB528" s="146"/>
      <c r="CC528" s="146"/>
      <c r="CD528" s="146"/>
      <c r="CE528" s="148"/>
      <c r="CF528" s="148"/>
      <c r="CG528" s="148"/>
      <c r="CH528" s="146"/>
      <c r="CI528" s="146"/>
      <c r="CJ528" s="146"/>
      <c r="CK528" s="146"/>
      <c r="CL528" s="146"/>
      <c r="CM528" s="146"/>
      <c r="CN528" s="146"/>
      <c r="CO528" s="146"/>
      <c r="CP528" s="146"/>
      <c r="CQ528" s="146"/>
      <c r="CR528" s="146"/>
      <c r="CS528" s="146"/>
      <c r="CT528" s="526"/>
      <c r="CU528" s="526"/>
      <c r="CV528" s="526"/>
    </row>
    <row r="529" spans="1:100" ht="15" x14ac:dyDescent="0.25">
      <c r="A529" s="19"/>
      <c r="B529" s="467"/>
      <c r="C529" s="484"/>
      <c r="D529" s="153"/>
      <c r="E529" s="581"/>
      <c r="F529" s="581"/>
      <c r="G529" s="339">
        <v>67</v>
      </c>
      <c r="H529" s="189" t="s">
        <v>652</v>
      </c>
      <c r="I529" s="189"/>
      <c r="J529" s="189"/>
      <c r="K529" s="189"/>
      <c r="L529" s="189"/>
      <c r="M529" s="189"/>
      <c r="N529" s="684"/>
      <c r="O529" s="189"/>
      <c r="P529" s="189"/>
      <c r="Q529" s="189"/>
      <c r="R529" s="189"/>
      <c r="S529" s="189"/>
      <c r="T529" s="189"/>
      <c r="U529" s="189"/>
      <c r="V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189"/>
      <c r="BU529" s="189"/>
      <c r="BV529" s="189"/>
      <c r="BW529" s="189"/>
      <c r="BX529" s="189"/>
      <c r="BY529" s="189"/>
      <c r="BZ529" s="189"/>
      <c r="CA529" s="189"/>
      <c r="CB529" s="189"/>
      <c r="CC529" s="189"/>
      <c r="CD529" s="189"/>
      <c r="CE529" s="190"/>
      <c r="CF529" s="190"/>
      <c r="CG529" s="190"/>
      <c r="CH529" s="189"/>
      <c r="CI529" s="189"/>
      <c r="CJ529" s="189"/>
      <c r="CK529" s="189"/>
      <c r="CL529" s="189"/>
      <c r="CM529" s="189"/>
      <c r="CN529" s="189"/>
      <c r="CO529" s="189"/>
      <c r="CP529" s="189"/>
      <c r="CQ529" s="189"/>
      <c r="CR529" s="189"/>
      <c r="CS529" s="189"/>
      <c r="CT529" s="522"/>
      <c r="CU529" s="522"/>
      <c r="CV529" s="522"/>
    </row>
    <row r="530" spans="1:100" s="46" customFormat="1" ht="63.75" customHeight="1" x14ac:dyDescent="0.25">
      <c r="A530" s="19"/>
      <c r="B530" s="474"/>
      <c r="C530" s="1094">
        <v>35</v>
      </c>
      <c r="D530" s="1027" t="s">
        <v>653</v>
      </c>
      <c r="E530" s="1027" t="s">
        <v>654</v>
      </c>
      <c r="F530" s="1027" t="s">
        <v>655</v>
      </c>
      <c r="G530" s="22"/>
      <c r="H530" s="949">
        <v>198</v>
      </c>
      <c r="I530" s="928" t="s">
        <v>656</v>
      </c>
      <c r="J530" s="929">
        <v>1</v>
      </c>
      <c r="K530" s="929">
        <v>1</v>
      </c>
      <c r="L530" s="664">
        <v>1</v>
      </c>
      <c r="M530" s="1012" t="s">
        <v>579</v>
      </c>
      <c r="N530" s="1017" t="s">
        <v>657</v>
      </c>
      <c r="O530" s="1012" t="s">
        <v>658</v>
      </c>
      <c r="P530" s="929" t="s">
        <v>38</v>
      </c>
      <c r="Q530" s="25">
        <v>0</v>
      </c>
      <c r="R530" s="25"/>
      <c r="S530" s="25"/>
      <c r="T530" s="25">
        <v>0</v>
      </c>
      <c r="U530" s="25"/>
      <c r="V530" s="25"/>
      <c r="W530" s="25">
        <v>0</v>
      </c>
      <c r="X530" s="25"/>
      <c r="Y530" s="25"/>
      <c r="Z530" s="25">
        <v>0</v>
      </c>
      <c r="AA530" s="25"/>
      <c r="AB530" s="25"/>
      <c r="AC530" s="25">
        <v>0</v>
      </c>
      <c r="AD530" s="25"/>
      <c r="AE530" s="25"/>
      <c r="AF530" s="25">
        <v>0</v>
      </c>
      <c r="AG530" s="25"/>
      <c r="AH530" s="25"/>
      <c r="AI530" s="25">
        <v>0</v>
      </c>
      <c r="AJ530" s="25"/>
      <c r="AK530" s="25"/>
      <c r="AL530" s="25"/>
      <c r="AM530" s="25"/>
      <c r="AN530" s="25"/>
      <c r="AO530" s="25"/>
      <c r="AP530" s="25"/>
      <c r="AQ530" s="25"/>
      <c r="AR530" s="25"/>
      <c r="AS530" s="25"/>
      <c r="AT530" s="25"/>
      <c r="AU530" s="25">
        <v>0</v>
      </c>
      <c r="AV530" s="25"/>
      <c r="AW530" s="25"/>
      <c r="AX530" s="25"/>
      <c r="AY530" s="25"/>
      <c r="AZ530" s="25"/>
      <c r="BA530" s="25">
        <v>0</v>
      </c>
      <c r="BB530" s="25"/>
      <c r="BC530" s="25"/>
      <c r="BD530" s="25">
        <v>0</v>
      </c>
      <c r="BE530" s="25"/>
      <c r="BF530" s="25"/>
      <c r="BG530" s="25"/>
      <c r="BH530" s="25"/>
      <c r="BI530" s="25"/>
      <c r="BJ530" s="25"/>
      <c r="BK530" s="25"/>
      <c r="BL530" s="25"/>
      <c r="BM530" s="25"/>
      <c r="BN530" s="25"/>
      <c r="BO530" s="25"/>
      <c r="BP530" s="25"/>
      <c r="BQ530" s="25"/>
      <c r="BR530" s="25"/>
      <c r="BS530" s="25"/>
      <c r="BT530" s="25"/>
      <c r="BU530" s="25"/>
      <c r="BV530" s="25"/>
      <c r="BW530" s="25"/>
      <c r="BX530" s="25"/>
      <c r="BY530" s="25">
        <v>0</v>
      </c>
      <c r="BZ530" s="25"/>
      <c r="CA530" s="25"/>
      <c r="CB530" s="25">
        <v>0</v>
      </c>
      <c r="CC530" s="26"/>
      <c r="CD530" s="26"/>
      <c r="CE530" s="112">
        <f>70000000+40000000</f>
        <v>110000000</v>
      </c>
      <c r="CF530" s="112">
        <v>94268000</v>
      </c>
      <c r="CG530" s="112">
        <v>94265650</v>
      </c>
      <c r="CH530" s="9"/>
      <c r="CI530" s="9"/>
      <c r="CJ530" s="9"/>
      <c r="CK530" s="25">
        <v>0</v>
      </c>
      <c r="CL530" s="26"/>
      <c r="CM530" s="26"/>
      <c r="CN530" s="58">
        <v>0</v>
      </c>
      <c r="CO530" s="58"/>
      <c r="CP530" s="58"/>
      <c r="CQ530" s="58"/>
      <c r="CR530" s="58"/>
      <c r="CS530" s="58"/>
      <c r="CT530" s="25">
        <f t="shared" ref="CT530:CV533" si="284">Q530+T530+W530+Z530+AC530+AF530+AI530+AL530+AO530+AR530+AU530+AX530+BA530+BD530+BG530+BJ530+BM530+BP530+BS530+BV530+BY530+CB530+CE530+CH530+CK530+CQ530+CN530</f>
        <v>110000000</v>
      </c>
      <c r="CU530" s="25">
        <f t="shared" si="284"/>
        <v>94268000</v>
      </c>
      <c r="CV530" s="25">
        <f t="shared" si="284"/>
        <v>94265650</v>
      </c>
    </row>
    <row r="531" spans="1:100" s="46" customFormat="1" ht="59.25" customHeight="1" x14ac:dyDescent="0.25">
      <c r="A531" s="19"/>
      <c r="B531" s="468"/>
      <c r="C531" s="1102"/>
      <c r="D531" s="1028"/>
      <c r="E531" s="1028"/>
      <c r="F531" s="1028"/>
      <c r="G531" s="28"/>
      <c r="H531" s="4">
        <v>199</v>
      </c>
      <c r="I531" s="5" t="s">
        <v>659</v>
      </c>
      <c r="J531" s="4">
        <v>0</v>
      </c>
      <c r="K531" s="929">
        <v>4</v>
      </c>
      <c r="L531" s="664">
        <v>4</v>
      </c>
      <c r="M531" s="1020"/>
      <c r="N531" s="1018"/>
      <c r="O531" s="1020"/>
      <c r="P531" s="929" t="s">
        <v>34</v>
      </c>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0"/>
      <c r="BH531" s="250"/>
      <c r="BI531" s="250"/>
      <c r="BJ531" s="250"/>
      <c r="BK531" s="250"/>
      <c r="BL531" s="250"/>
      <c r="BM531" s="250"/>
      <c r="BN531" s="250"/>
      <c r="BO531" s="250"/>
      <c r="BP531" s="250"/>
      <c r="BQ531" s="250"/>
      <c r="BR531" s="250"/>
      <c r="BS531" s="250"/>
      <c r="BT531" s="250"/>
      <c r="BU531" s="250"/>
      <c r="BV531" s="250"/>
      <c r="BW531" s="250"/>
      <c r="BX531" s="250"/>
      <c r="BY531" s="25"/>
      <c r="BZ531" s="25"/>
      <c r="CA531" s="25"/>
      <c r="CB531" s="25"/>
      <c r="CC531" s="26"/>
      <c r="CD531" s="26"/>
      <c r="CE531" s="112">
        <v>10000000</v>
      </c>
      <c r="CF531" s="112">
        <v>10000000</v>
      </c>
      <c r="CG531" s="112">
        <v>10000000</v>
      </c>
      <c r="CH531" s="9"/>
      <c r="CI531" s="9"/>
      <c r="CJ531" s="9"/>
      <c r="CK531" s="25"/>
      <c r="CL531" s="26"/>
      <c r="CM531" s="26"/>
      <c r="CN531" s="58"/>
      <c r="CO531" s="58"/>
      <c r="CP531" s="58"/>
      <c r="CQ531" s="58"/>
      <c r="CR531" s="58"/>
      <c r="CS531" s="58"/>
      <c r="CT531" s="25">
        <f t="shared" si="284"/>
        <v>10000000</v>
      </c>
      <c r="CU531" s="25">
        <f t="shared" si="284"/>
        <v>10000000</v>
      </c>
      <c r="CV531" s="25">
        <f t="shared" si="284"/>
        <v>10000000</v>
      </c>
    </row>
    <row r="532" spans="1:100" ht="33" customHeight="1" x14ac:dyDescent="0.25">
      <c r="A532" s="19"/>
      <c r="B532" s="468"/>
      <c r="C532" s="1102"/>
      <c r="D532" s="1028"/>
      <c r="E532" s="1028"/>
      <c r="F532" s="1028"/>
      <c r="G532" s="28"/>
      <c r="H532" s="949">
        <v>200</v>
      </c>
      <c r="I532" s="928" t="s">
        <v>660</v>
      </c>
      <c r="J532" s="929">
        <v>12</v>
      </c>
      <c r="K532" s="929">
        <v>12</v>
      </c>
      <c r="L532" s="665">
        <v>12</v>
      </c>
      <c r="M532" s="1020"/>
      <c r="N532" s="1018"/>
      <c r="O532" s="1020"/>
      <c r="P532" s="929" t="s">
        <v>38</v>
      </c>
      <c r="Q532" s="25">
        <v>0</v>
      </c>
      <c r="R532" s="26"/>
      <c r="S532" s="26"/>
      <c r="T532" s="9">
        <f>2780000000*0.3+392182142+6517252-898859.11+0.4</f>
        <v>1231800535.2900002</v>
      </c>
      <c r="U532" s="9">
        <v>1186298846</v>
      </c>
      <c r="V532" s="9">
        <v>1186298846</v>
      </c>
      <c r="W532" s="25">
        <v>0</v>
      </c>
      <c r="X532" s="25"/>
      <c r="Y532" s="25"/>
      <c r="Z532" s="25">
        <v>0</v>
      </c>
      <c r="AA532" s="25"/>
      <c r="AB532" s="25"/>
      <c r="AC532" s="25">
        <v>0</v>
      </c>
      <c r="AD532" s="25"/>
      <c r="AE532" s="25"/>
      <c r="AF532" s="25">
        <v>0</v>
      </c>
      <c r="AG532" s="25"/>
      <c r="AH532" s="25"/>
      <c r="AI532" s="25">
        <v>0</v>
      </c>
      <c r="AJ532" s="25"/>
      <c r="AK532" s="25"/>
      <c r="AL532" s="25"/>
      <c r="AM532" s="25"/>
      <c r="AN532" s="25"/>
      <c r="AO532" s="25"/>
      <c r="AP532" s="25"/>
      <c r="AQ532" s="25"/>
      <c r="AR532" s="25"/>
      <c r="AS532" s="25"/>
      <c r="AT532" s="25"/>
      <c r="AU532" s="25">
        <v>0</v>
      </c>
      <c r="AV532" s="25"/>
      <c r="AW532" s="25"/>
      <c r="AX532" s="25"/>
      <c r="AY532" s="25"/>
      <c r="AZ532" s="25"/>
      <c r="BA532" s="25">
        <v>0</v>
      </c>
      <c r="BB532" s="25"/>
      <c r="BC532" s="25"/>
      <c r="BD532" s="25">
        <v>0</v>
      </c>
      <c r="BE532" s="25"/>
      <c r="BF532" s="25"/>
      <c r="BG532" s="250"/>
      <c r="BH532" s="250"/>
      <c r="BI532" s="250"/>
      <c r="BJ532" s="250"/>
      <c r="BK532" s="250"/>
      <c r="BL532" s="250"/>
      <c r="BM532" s="250"/>
      <c r="BN532" s="250"/>
      <c r="BO532" s="250"/>
      <c r="BP532" s="250"/>
      <c r="BQ532" s="250"/>
      <c r="BR532" s="250"/>
      <c r="BS532" s="250"/>
      <c r="BT532" s="250"/>
      <c r="BU532" s="250"/>
      <c r="BV532" s="250"/>
      <c r="BW532" s="250"/>
      <c r="BX532" s="250"/>
      <c r="BY532" s="25">
        <v>0</v>
      </c>
      <c r="BZ532" s="25"/>
      <c r="CA532" s="25"/>
      <c r="CB532" s="25">
        <v>0</v>
      </c>
      <c r="CC532" s="25"/>
      <c r="CD532" s="25"/>
      <c r="CE532" s="110">
        <v>0</v>
      </c>
      <c r="CF532" s="110"/>
      <c r="CG532" s="110"/>
      <c r="CH532" s="37"/>
      <c r="CI532" s="37"/>
      <c r="CJ532" s="37"/>
      <c r="CK532" s="25">
        <v>0</v>
      </c>
      <c r="CL532" s="26"/>
      <c r="CM532" s="26"/>
      <c r="CN532" s="288">
        <v>0</v>
      </c>
      <c r="CO532" s="288"/>
      <c r="CP532" s="288"/>
      <c r="CQ532" s="288"/>
      <c r="CR532" s="288"/>
      <c r="CS532" s="288"/>
      <c r="CT532" s="25">
        <f t="shared" si="284"/>
        <v>1231800535.2900002</v>
      </c>
      <c r="CU532" s="25">
        <f t="shared" si="284"/>
        <v>1186298846</v>
      </c>
      <c r="CV532" s="25">
        <f t="shared" si="284"/>
        <v>1186298846</v>
      </c>
    </row>
    <row r="533" spans="1:100" ht="36.75" customHeight="1" x14ac:dyDescent="0.25">
      <c r="A533" s="19"/>
      <c r="B533" s="468"/>
      <c r="C533" s="1095"/>
      <c r="D533" s="1101"/>
      <c r="E533" s="1101"/>
      <c r="F533" s="1101"/>
      <c r="G533" s="29"/>
      <c r="H533" s="949">
        <v>201</v>
      </c>
      <c r="I533" s="928" t="s">
        <v>661</v>
      </c>
      <c r="J533" s="10">
        <v>14</v>
      </c>
      <c r="K533" s="10">
        <v>14</v>
      </c>
      <c r="L533" s="666">
        <v>14</v>
      </c>
      <c r="M533" s="1013"/>
      <c r="N533" s="1019"/>
      <c r="O533" s="1013"/>
      <c r="P533" s="929" t="s">
        <v>38</v>
      </c>
      <c r="Q533" s="25">
        <v>0</v>
      </c>
      <c r="R533" s="26"/>
      <c r="S533" s="26"/>
      <c r="T533" s="9">
        <f xml:space="preserve"> 2780000000*0.7+915091664+15206923-2097340</f>
        <v>2874201247</v>
      </c>
      <c r="U533" s="9">
        <v>2768030639.9899998</v>
      </c>
      <c r="V533" s="9">
        <v>2768030639.9899998</v>
      </c>
      <c r="W533" s="25">
        <v>0</v>
      </c>
      <c r="X533" s="25"/>
      <c r="Y533" s="25"/>
      <c r="Z533" s="25">
        <v>0</v>
      </c>
      <c r="AA533" s="25"/>
      <c r="AB533" s="25"/>
      <c r="AC533" s="25">
        <v>0</v>
      </c>
      <c r="AD533" s="25"/>
      <c r="AE533" s="25"/>
      <c r="AF533" s="25">
        <v>0</v>
      </c>
      <c r="AG533" s="25"/>
      <c r="AH533" s="25"/>
      <c r="AI533" s="25">
        <v>0</v>
      </c>
      <c r="AJ533" s="25"/>
      <c r="AK533" s="25"/>
      <c r="AL533" s="25"/>
      <c r="AM533" s="25"/>
      <c r="AN533" s="25"/>
      <c r="AO533" s="25"/>
      <c r="AP533" s="25"/>
      <c r="AQ533" s="25"/>
      <c r="AR533" s="25"/>
      <c r="AS533" s="25"/>
      <c r="AT533" s="25"/>
      <c r="AU533" s="25">
        <v>0</v>
      </c>
      <c r="AV533" s="25"/>
      <c r="AW533" s="25"/>
      <c r="AX533" s="25"/>
      <c r="AY533" s="25"/>
      <c r="AZ533" s="25"/>
      <c r="BA533" s="25">
        <v>0</v>
      </c>
      <c r="BB533" s="25"/>
      <c r="BC533" s="25"/>
      <c r="BD533" s="25">
        <v>0</v>
      </c>
      <c r="BE533" s="25"/>
      <c r="BF533" s="25"/>
      <c r="BG533" s="250"/>
      <c r="BH533" s="250"/>
      <c r="BI533" s="250"/>
      <c r="BJ533" s="250"/>
      <c r="BK533" s="250"/>
      <c r="BL533" s="250"/>
      <c r="BM533" s="250"/>
      <c r="BN533" s="250"/>
      <c r="BO533" s="250"/>
      <c r="BP533" s="250"/>
      <c r="BQ533" s="250"/>
      <c r="BR533" s="250"/>
      <c r="BS533" s="250"/>
      <c r="BT533" s="250"/>
      <c r="BU533" s="250"/>
      <c r="BV533" s="250"/>
      <c r="BW533" s="250"/>
      <c r="BX533" s="250"/>
      <c r="BY533" s="25">
        <v>0</v>
      </c>
      <c r="BZ533" s="25"/>
      <c r="CA533" s="25"/>
      <c r="CB533" s="25">
        <v>0</v>
      </c>
      <c r="CC533" s="25"/>
      <c r="CD533" s="25"/>
      <c r="CE533" s="110">
        <v>0</v>
      </c>
      <c r="CF533" s="110"/>
      <c r="CG533" s="110"/>
      <c r="CH533" s="37"/>
      <c r="CI533" s="37"/>
      <c r="CJ533" s="37"/>
      <c r="CK533" s="25">
        <v>0</v>
      </c>
      <c r="CL533" s="26"/>
      <c r="CM533" s="26"/>
      <c r="CN533" s="288">
        <v>0</v>
      </c>
      <c r="CO533" s="288"/>
      <c r="CP533" s="288"/>
      <c r="CQ533" s="288"/>
      <c r="CR533" s="288"/>
      <c r="CS533" s="288"/>
      <c r="CT533" s="25">
        <f t="shared" si="284"/>
        <v>2874201247</v>
      </c>
      <c r="CU533" s="25">
        <f t="shared" si="284"/>
        <v>2768030639.9899998</v>
      </c>
      <c r="CV533" s="25">
        <f t="shared" si="284"/>
        <v>2768030639.9899998</v>
      </c>
    </row>
    <row r="534" spans="1:100" ht="15" x14ac:dyDescent="0.25">
      <c r="A534" s="19"/>
      <c r="B534" s="479"/>
      <c r="C534" s="4"/>
      <c r="D534" s="153"/>
      <c r="E534" s="581"/>
      <c r="F534" s="581"/>
      <c r="G534" s="154"/>
      <c r="H534" s="155"/>
      <c r="I534" s="154"/>
      <c r="J534" s="249"/>
      <c r="K534" s="249"/>
      <c r="L534" s="249"/>
      <c r="M534" s="249"/>
      <c r="N534" s="157"/>
      <c r="O534" s="485"/>
      <c r="P534" s="155"/>
      <c r="Q534" s="158">
        <f>SUM(Q530:Q533)</f>
        <v>0</v>
      </c>
      <c r="R534" s="158">
        <f t="shared" ref="R534:CC534" si="285">SUM(R530:R533)</f>
        <v>0</v>
      </c>
      <c r="S534" s="158">
        <f t="shared" si="285"/>
        <v>0</v>
      </c>
      <c r="T534" s="394">
        <f t="shared" si="285"/>
        <v>4106001782.29</v>
      </c>
      <c r="U534" s="158">
        <f t="shared" si="285"/>
        <v>3954329485.9899998</v>
      </c>
      <c r="V534" s="158">
        <f t="shared" si="285"/>
        <v>3954329485.9899998</v>
      </c>
      <c r="W534" s="158">
        <f t="shared" si="285"/>
        <v>0</v>
      </c>
      <c r="X534" s="158">
        <f t="shared" si="285"/>
        <v>0</v>
      </c>
      <c r="Y534" s="158">
        <f t="shared" si="285"/>
        <v>0</v>
      </c>
      <c r="Z534" s="158">
        <f t="shared" si="285"/>
        <v>0</v>
      </c>
      <c r="AA534" s="158">
        <f t="shared" si="285"/>
        <v>0</v>
      </c>
      <c r="AB534" s="158">
        <f t="shared" si="285"/>
        <v>0</v>
      </c>
      <c r="AC534" s="158">
        <f t="shared" si="285"/>
        <v>0</v>
      </c>
      <c r="AD534" s="158">
        <f t="shared" si="285"/>
        <v>0</v>
      </c>
      <c r="AE534" s="158">
        <f t="shared" si="285"/>
        <v>0</v>
      </c>
      <c r="AF534" s="158">
        <f t="shared" si="285"/>
        <v>0</v>
      </c>
      <c r="AG534" s="158">
        <f t="shared" si="285"/>
        <v>0</v>
      </c>
      <c r="AH534" s="158">
        <f t="shared" si="285"/>
        <v>0</v>
      </c>
      <c r="AI534" s="158">
        <f t="shared" si="285"/>
        <v>0</v>
      </c>
      <c r="AJ534" s="158">
        <f t="shared" si="285"/>
        <v>0</v>
      </c>
      <c r="AK534" s="158">
        <f t="shared" si="285"/>
        <v>0</v>
      </c>
      <c r="AL534" s="158">
        <f t="shared" si="285"/>
        <v>0</v>
      </c>
      <c r="AM534" s="158">
        <f t="shared" si="285"/>
        <v>0</v>
      </c>
      <c r="AN534" s="158">
        <f t="shared" si="285"/>
        <v>0</v>
      </c>
      <c r="AO534" s="158">
        <f t="shared" si="285"/>
        <v>0</v>
      </c>
      <c r="AP534" s="158">
        <f t="shared" si="285"/>
        <v>0</v>
      </c>
      <c r="AQ534" s="158">
        <f t="shared" si="285"/>
        <v>0</v>
      </c>
      <c r="AR534" s="158">
        <f t="shared" si="285"/>
        <v>0</v>
      </c>
      <c r="AS534" s="158">
        <f t="shared" si="285"/>
        <v>0</v>
      </c>
      <c r="AT534" s="158">
        <f t="shared" si="285"/>
        <v>0</v>
      </c>
      <c r="AU534" s="158">
        <f t="shared" si="285"/>
        <v>0</v>
      </c>
      <c r="AV534" s="158">
        <f t="shared" si="285"/>
        <v>0</v>
      </c>
      <c r="AW534" s="158">
        <f t="shared" si="285"/>
        <v>0</v>
      </c>
      <c r="AX534" s="158">
        <f t="shared" si="285"/>
        <v>0</v>
      </c>
      <c r="AY534" s="158">
        <f t="shared" si="285"/>
        <v>0</v>
      </c>
      <c r="AZ534" s="158">
        <f t="shared" si="285"/>
        <v>0</v>
      </c>
      <c r="BA534" s="158">
        <f t="shared" si="285"/>
        <v>0</v>
      </c>
      <c r="BB534" s="158">
        <f t="shared" si="285"/>
        <v>0</v>
      </c>
      <c r="BC534" s="158">
        <f t="shared" si="285"/>
        <v>0</v>
      </c>
      <c r="BD534" s="158">
        <f t="shared" si="285"/>
        <v>0</v>
      </c>
      <c r="BE534" s="158">
        <f t="shared" si="285"/>
        <v>0</v>
      </c>
      <c r="BF534" s="158">
        <f t="shared" si="285"/>
        <v>0</v>
      </c>
      <c r="BG534" s="158">
        <f t="shared" si="285"/>
        <v>0</v>
      </c>
      <c r="BH534" s="158">
        <f t="shared" si="285"/>
        <v>0</v>
      </c>
      <c r="BI534" s="158">
        <f t="shared" si="285"/>
        <v>0</v>
      </c>
      <c r="BJ534" s="158">
        <f t="shared" si="285"/>
        <v>0</v>
      </c>
      <c r="BK534" s="158">
        <f t="shared" si="285"/>
        <v>0</v>
      </c>
      <c r="BL534" s="158">
        <f t="shared" si="285"/>
        <v>0</v>
      </c>
      <c r="BM534" s="158">
        <f t="shared" si="285"/>
        <v>0</v>
      </c>
      <c r="BN534" s="158">
        <f t="shared" si="285"/>
        <v>0</v>
      </c>
      <c r="BO534" s="158">
        <f t="shared" si="285"/>
        <v>0</v>
      </c>
      <c r="BP534" s="158">
        <f t="shared" si="285"/>
        <v>0</v>
      </c>
      <c r="BQ534" s="158">
        <f t="shared" si="285"/>
        <v>0</v>
      </c>
      <c r="BR534" s="158">
        <f t="shared" si="285"/>
        <v>0</v>
      </c>
      <c r="BS534" s="158">
        <f t="shared" si="285"/>
        <v>0</v>
      </c>
      <c r="BT534" s="158">
        <f t="shared" si="285"/>
        <v>0</v>
      </c>
      <c r="BU534" s="158">
        <f t="shared" si="285"/>
        <v>0</v>
      </c>
      <c r="BV534" s="158">
        <f t="shared" si="285"/>
        <v>0</v>
      </c>
      <c r="BW534" s="158">
        <f t="shared" si="285"/>
        <v>0</v>
      </c>
      <c r="BX534" s="158">
        <f t="shared" si="285"/>
        <v>0</v>
      </c>
      <c r="BY534" s="158">
        <f t="shared" si="285"/>
        <v>0</v>
      </c>
      <c r="BZ534" s="158">
        <f t="shared" si="285"/>
        <v>0</v>
      </c>
      <c r="CA534" s="158">
        <f t="shared" si="285"/>
        <v>0</v>
      </c>
      <c r="CB534" s="158">
        <f t="shared" si="285"/>
        <v>0</v>
      </c>
      <c r="CC534" s="158">
        <f t="shared" si="285"/>
        <v>0</v>
      </c>
      <c r="CD534" s="158">
        <f t="shared" ref="CD534:CS534" si="286">SUM(CD530:CD533)</f>
        <v>0</v>
      </c>
      <c r="CE534" s="158">
        <f t="shared" si="286"/>
        <v>120000000</v>
      </c>
      <c r="CF534" s="158">
        <f t="shared" si="286"/>
        <v>104268000</v>
      </c>
      <c r="CG534" s="158">
        <f t="shared" si="286"/>
        <v>104265650</v>
      </c>
      <c r="CH534" s="158">
        <f t="shared" si="286"/>
        <v>0</v>
      </c>
      <c r="CI534" s="158">
        <f t="shared" si="286"/>
        <v>0</v>
      </c>
      <c r="CJ534" s="158">
        <f t="shared" si="286"/>
        <v>0</v>
      </c>
      <c r="CK534" s="158">
        <f t="shared" si="286"/>
        <v>0</v>
      </c>
      <c r="CL534" s="158">
        <f t="shared" si="286"/>
        <v>0</v>
      </c>
      <c r="CM534" s="158">
        <f t="shared" si="286"/>
        <v>0</v>
      </c>
      <c r="CN534" s="158">
        <f t="shared" si="286"/>
        <v>0</v>
      </c>
      <c r="CO534" s="158">
        <f t="shared" si="286"/>
        <v>0</v>
      </c>
      <c r="CP534" s="158">
        <f t="shared" si="286"/>
        <v>0</v>
      </c>
      <c r="CQ534" s="158">
        <f t="shared" si="286"/>
        <v>0</v>
      </c>
      <c r="CR534" s="158">
        <f t="shared" si="286"/>
        <v>0</v>
      </c>
      <c r="CS534" s="158">
        <f t="shared" si="286"/>
        <v>0</v>
      </c>
      <c r="CT534" s="158">
        <f>SUM(CT530:CT533)</f>
        <v>4226001782.29</v>
      </c>
      <c r="CU534" s="158">
        <f>SUM(CU530:CU533)</f>
        <v>4058597485.9899998</v>
      </c>
      <c r="CV534" s="158">
        <f>SUM(CV530:CV533)</f>
        <v>4058595135.9899998</v>
      </c>
    </row>
    <row r="535" spans="1:100" ht="15" x14ac:dyDescent="0.25">
      <c r="A535" s="152"/>
      <c r="B535" s="216"/>
      <c r="C535" s="162"/>
      <c r="D535" s="161"/>
      <c r="E535" s="162"/>
      <c r="F535" s="162"/>
      <c r="G535" s="161"/>
      <c r="H535" s="162"/>
      <c r="I535" s="161"/>
      <c r="J535" s="257"/>
      <c r="K535" s="257"/>
      <c r="L535" s="257"/>
      <c r="M535" s="257"/>
      <c r="N535" s="164"/>
      <c r="O535" s="486"/>
      <c r="P535" s="162"/>
      <c r="Q535" s="165">
        <f>Q534</f>
        <v>0</v>
      </c>
      <c r="R535" s="165">
        <f t="shared" ref="R535:CC535" si="287">R534</f>
        <v>0</v>
      </c>
      <c r="S535" s="165">
        <f t="shared" si="287"/>
        <v>0</v>
      </c>
      <c r="T535" s="165">
        <f t="shared" si="287"/>
        <v>4106001782.29</v>
      </c>
      <c r="U535" s="165">
        <f t="shared" si="287"/>
        <v>3954329485.9899998</v>
      </c>
      <c r="V535" s="165">
        <f t="shared" si="287"/>
        <v>3954329485.9899998</v>
      </c>
      <c r="W535" s="165">
        <f t="shared" si="287"/>
        <v>0</v>
      </c>
      <c r="X535" s="165">
        <f t="shared" si="287"/>
        <v>0</v>
      </c>
      <c r="Y535" s="165">
        <f t="shared" si="287"/>
        <v>0</v>
      </c>
      <c r="Z535" s="165">
        <f t="shared" si="287"/>
        <v>0</v>
      </c>
      <c r="AA535" s="165">
        <f t="shared" si="287"/>
        <v>0</v>
      </c>
      <c r="AB535" s="165">
        <f t="shared" si="287"/>
        <v>0</v>
      </c>
      <c r="AC535" s="165">
        <f t="shared" si="287"/>
        <v>0</v>
      </c>
      <c r="AD535" s="165">
        <f t="shared" si="287"/>
        <v>0</v>
      </c>
      <c r="AE535" s="165">
        <f t="shared" si="287"/>
        <v>0</v>
      </c>
      <c r="AF535" s="165">
        <f t="shared" si="287"/>
        <v>0</v>
      </c>
      <c r="AG535" s="165">
        <f t="shared" si="287"/>
        <v>0</v>
      </c>
      <c r="AH535" s="165">
        <f t="shared" si="287"/>
        <v>0</v>
      </c>
      <c r="AI535" s="165">
        <f t="shared" si="287"/>
        <v>0</v>
      </c>
      <c r="AJ535" s="165">
        <f t="shared" si="287"/>
        <v>0</v>
      </c>
      <c r="AK535" s="165">
        <f t="shared" si="287"/>
        <v>0</v>
      </c>
      <c r="AL535" s="165">
        <f t="shared" si="287"/>
        <v>0</v>
      </c>
      <c r="AM535" s="165">
        <f t="shared" si="287"/>
        <v>0</v>
      </c>
      <c r="AN535" s="165">
        <f t="shared" si="287"/>
        <v>0</v>
      </c>
      <c r="AO535" s="165">
        <f t="shared" si="287"/>
        <v>0</v>
      </c>
      <c r="AP535" s="165">
        <f t="shared" si="287"/>
        <v>0</v>
      </c>
      <c r="AQ535" s="165">
        <f t="shared" si="287"/>
        <v>0</v>
      </c>
      <c r="AR535" s="165">
        <f t="shared" si="287"/>
        <v>0</v>
      </c>
      <c r="AS535" s="165">
        <f t="shared" si="287"/>
        <v>0</v>
      </c>
      <c r="AT535" s="165">
        <f t="shared" si="287"/>
        <v>0</v>
      </c>
      <c r="AU535" s="165">
        <f t="shared" si="287"/>
        <v>0</v>
      </c>
      <c r="AV535" s="165">
        <f t="shared" si="287"/>
        <v>0</v>
      </c>
      <c r="AW535" s="165">
        <f t="shared" si="287"/>
        <v>0</v>
      </c>
      <c r="AX535" s="165">
        <f t="shared" si="287"/>
        <v>0</v>
      </c>
      <c r="AY535" s="165">
        <f t="shared" si="287"/>
        <v>0</v>
      </c>
      <c r="AZ535" s="165">
        <f t="shared" si="287"/>
        <v>0</v>
      </c>
      <c r="BA535" s="165">
        <f t="shared" si="287"/>
        <v>0</v>
      </c>
      <c r="BB535" s="165">
        <f t="shared" si="287"/>
        <v>0</v>
      </c>
      <c r="BC535" s="165">
        <f t="shared" si="287"/>
        <v>0</v>
      </c>
      <c r="BD535" s="165">
        <f t="shared" si="287"/>
        <v>0</v>
      </c>
      <c r="BE535" s="165">
        <f t="shared" si="287"/>
        <v>0</v>
      </c>
      <c r="BF535" s="165">
        <f t="shared" si="287"/>
        <v>0</v>
      </c>
      <c r="BG535" s="165">
        <f t="shared" si="287"/>
        <v>0</v>
      </c>
      <c r="BH535" s="165">
        <f t="shared" si="287"/>
        <v>0</v>
      </c>
      <c r="BI535" s="165">
        <f t="shared" si="287"/>
        <v>0</v>
      </c>
      <c r="BJ535" s="165">
        <f t="shared" si="287"/>
        <v>0</v>
      </c>
      <c r="BK535" s="165">
        <f t="shared" si="287"/>
        <v>0</v>
      </c>
      <c r="BL535" s="165">
        <f t="shared" si="287"/>
        <v>0</v>
      </c>
      <c r="BM535" s="165">
        <f t="shared" si="287"/>
        <v>0</v>
      </c>
      <c r="BN535" s="165">
        <f t="shared" si="287"/>
        <v>0</v>
      </c>
      <c r="BO535" s="165">
        <f t="shared" si="287"/>
        <v>0</v>
      </c>
      <c r="BP535" s="165">
        <f t="shared" si="287"/>
        <v>0</v>
      </c>
      <c r="BQ535" s="165">
        <f t="shared" si="287"/>
        <v>0</v>
      </c>
      <c r="BR535" s="165">
        <f t="shared" si="287"/>
        <v>0</v>
      </c>
      <c r="BS535" s="165">
        <f t="shared" si="287"/>
        <v>0</v>
      </c>
      <c r="BT535" s="165">
        <f t="shared" si="287"/>
        <v>0</v>
      </c>
      <c r="BU535" s="165">
        <f t="shared" si="287"/>
        <v>0</v>
      </c>
      <c r="BV535" s="165">
        <f t="shared" si="287"/>
        <v>0</v>
      </c>
      <c r="BW535" s="165">
        <f t="shared" si="287"/>
        <v>0</v>
      </c>
      <c r="BX535" s="165">
        <f t="shared" si="287"/>
        <v>0</v>
      </c>
      <c r="BY535" s="165">
        <f t="shared" si="287"/>
        <v>0</v>
      </c>
      <c r="BZ535" s="165">
        <f t="shared" si="287"/>
        <v>0</v>
      </c>
      <c r="CA535" s="165">
        <f t="shared" si="287"/>
        <v>0</v>
      </c>
      <c r="CB535" s="165">
        <f t="shared" si="287"/>
        <v>0</v>
      </c>
      <c r="CC535" s="165">
        <f t="shared" si="287"/>
        <v>0</v>
      </c>
      <c r="CD535" s="165">
        <f t="shared" ref="CD535:CS535" si="288">CD534</f>
        <v>0</v>
      </c>
      <c r="CE535" s="165">
        <f t="shared" si="288"/>
        <v>120000000</v>
      </c>
      <c r="CF535" s="165">
        <f t="shared" si="288"/>
        <v>104268000</v>
      </c>
      <c r="CG535" s="165">
        <f t="shared" si="288"/>
        <v>104265650</v>
      </c>
      <c r="CH535" s="165">
        <f t="shared" si="288"/>
        <v>0</v>
      </c>
      <c r="CI535" s="165">
        <f t="shared" si="288"/>
        <v>0</v>
      </c>
      <c r="CJ535" s="165">
        <f t="shared" si="288"/>
        <v>0</v>
      </c>
      <c r="CK535" s="165">
        <f t="shared" si="288"/>
        <v>0</v>
      </c>
      <c r="CL535" s="165">
        <f t="shared" si="288"/>
        <v>0</v>
      </c>
      <c r="CM535" s="165">
        <f t="shared" si="288"/>
        <v>0</v>
      </c>
      <c r="CN535" s="165">
        <f t="shared" si="288"/>
        <v>0</v>
      </c>
      <c r="CO535" s="165">
        <f t="shared" si="288"/>
        <v>0</v>
      </c>
      <c r="CP535" s="165">
        <f t="shared" si="288"/>
        <v>0</v>
      </c>
      <c r="CQ535" s="165">
        <f t="shared" si="288"/>
        <v>0</v>
      </c>
      <c r="CR535" s="165">
        <f t="shared" si="288"/>
        <v>0</v>
      </c>
      <c r="CS535" s="165">
        <f t="shared" si="288"/>
        <v>0</v>
      </c>
      <c r="CT535" s="165">
        <f>CT534</f>
        <v>4226001782.29</v>
      </c>
      <c r="CU535" s="165">
        <f>CU534</f>
        <v>4058597485.9899998</v>
      </c>
      <c r="CV535" s="165">
        <f>CV534</f>
        <v>4058595135.9899998</v>
      </c>
    </row>
    <row r="536" spans="1:100" ht="15" x14ac:dyDescent="0.25">
      <c r="A536" s="258"/>
      <c r="B536" s="166"/>
      <c r="C536" s="167"/>
      <c r="D536" s="166"/>
      <c r="E536" s="167"/>
      <c r="F536" s="167"/>
      <c r="G536" s="166"/>
      <c r="H536" s="167"/>
      <c r="I536" s="166"/>
      <c r="J536" s="259"/>
      <c r="K536" s="259"/>
      <c r="L536" s="259"/>
      <c r="M536" s="259"/>
      <c r="N536" s="169"/>
      <c r="O536" s="487"/>
      <c r="P536" s="167"/>
      <c r="Q536" s="170">
        <f>Q535+Q526+Q502+Q480</f>
        <v>0</v>
      </c>
      <c r="R536" s="170">
        <f t="shared" ref="R536:CC536" si="289">R535+R526+R502+R480</f>
        <v>0</v>
      </c>
      <c r="S536" s="170">
        <f t="shared" si="289"/>
        <v>0</v>
      </c>
      <c r="T536" s="170">
        <f t="shared" si="289"/>
        <v>4106001782.29</v>
      </c>
      <c r="U536" s="170">
        <f t="shared" si="289"/>
        <v>3954329485.9899998</v>
      </c>
      <c r="V536" s="170">
        <f t="shared" si="289"/>
        <v>3954329485.9899998</v>
      </c>
      <c r="W536" s="170">
        <f t="shared" si="289"/>
        <v>0</v>
      </c>
      <c r="X536" s="170">
        <f t="shared" si="289"/>
        <v>0</v>
      </c>
      <c r="Y536" s="170">
        <f t="shared" si="289"/>
        <v>0</v>
      </c>
      <c r="Z536" s="170">
        <f t="shared" si="289"/>
        <v>0</v>
      </c>
      <c r="AA536" s="170">
        <f t="shared" si="289"/>
        <v>0</v>
      </c>
      <c r="AB536" s="170">
        <f t="shared" si="289"/>
        <v>0</v>
      </c>
      <c r="AC536" s="170">
        <f t="shared" si="289"/>
        <v>0</v>
      </c>
      <c r="AD536" s="170">
        <f t="shared" si="289"/>
        <v>0</v>
      </c>
      <c r="AE536" s="170">
        <f t="shared" si="289"/>
        <v>0</v>
      </c>
      <c r="AF536" s="170">
        <f t="shared" si="289"/>
        <v>0</v>
      </c>
      <c r="AG536" s="170">
        <f t="shared" si="289"/>
        <v>0</v>
      </c>
      <c r="AH536" s="170">
        <f t="shared" si="289"/>
        <v>0</v>
      </c>
      <c r="AI536" s="170">
        <f t="shared" si="289"/>
        <v>0</v>
      </c>
      <c r="AJ536" s="170">
        <f t="shared" si="289"/>
        <v>0</v>
      </c>
      <c r="AK536" s="170">
        <f t="shared" si="289"/>
        <v>0</v>
      </c>
      <c r="AL536" s="170">
        <f t="shared" si="289"/>
        <v>0</v>
      </c>
      <c r="AM536" s="170">
        <f t="shared" si="289"/>
        <v>0</v>
      </c>
      <c r="AN536" s="170">
        <f t="shared" si="289"/>
        <v>0</v>
      </c>
      <c r="AO536" s="170">
        <f t="shared" si="289"/>
        <v>0</v>
      </c>
      <c r="AP536" s="170">
        <f t="shared" si="289"/>
        <v>0</v>
      </c>
      <c r="AQ536" s="170">
        <f t="shared" si="289"/>
        <v>0</v>
      </c>
      <c r="AR536" s="170">
        <f t="shared" si="289"/>
        <v>0</v>
      </c>
      <c r="AS536" s="170">
        <f t="shared" si="289"/>
        <v>0</v>
      </c>
      <c r="AT536" s="170">
        <f t="shared" si="289"/>
        <v>0</v>
      </c>
      <c r="AU536" s="170">
        <f t="shared" si="289"/>
        <v>0</v>
      </c>
      <c r="AV536" s="170">
        <f t="shared" si="289"/>
        <v>0</v>
      </c>
      <c r="AW536" s="170">
        <f t="shared" si="289"/>
        <v>0</v>
      </c>
      <c r="AX536" s="170">
        <f t="shared" si="289"/>
        <v>0</v>
      </c>
      <c r="AY536" s="170">
        <f t="shared" si="289"/>
        <v>0</v>
      </c>
      <c r="AZ536" s="170">
        <f t="shared" si="289"/>
        <v>0</v>
      </c>
      <c r="BA536" s="170">
        <f t="shared" si="289"/>
        <v>0</v>
      </c>
      <c r="BB536" s="170">
        <f t="shared" si="289"/>
        <v>0</v>
      </c>
      <c r="BC536" s="170">
        <f t="shared" si="289"/>
        <v>0</v>
      </c>
      <c r="BD536" s="170">
        <f t="shared" si="289"/>
        <v>0</v>
      </c>
      <c r="BE536" s="170">
        <f t="shared" si="289"/>
        <v>0</v>
      </c>
      <c r="BF536" s="170">
        <f t="shared" si="289"/>
        <v>0</v>
      </c>
      <c r="BG536" s="170">
        <f t="shared" si="289"/>
        <v>0</v>
      </c>
      <c r="BH536" s="170">
        <f t="shared" si="289"/>
        <v>0</v>
      </c>
      <c r="BI536" s="170">
        <f t="shared" si="289"/>
        <v>0</v>
      </c>
      <c r="BJ536" s="170">
        <f t="shared" si="289"/>
        <v>0</v>
      </c>
      <c r="BK536" s="170">
        <f t="shared" si="289"/>
        <v>0</v>
      </c>
      <c r="BL536" s="170">
        <f t="shared" si="289"/>
        <v>0</v>
      </c>
      <c r="BM536" s="170">
        <f t="shared" si="289"/>
        <v>0</v>
      </c>
      <c r="BN536" s="170">
        <f t="shared" si="289"/>
        <v>0</v>
      </c>
      <c r="BO536" s="170">
        <f t="shared" si="289"/>
        <v>0</v>
      </c>
      <c r="BP536" s="170">
        <f t="shared" si="289"/>
        <v>0</v>
      </c>
      <c r="BQ536" s="170">
        <f t="shared" si="289"/>
        <v>0</v>
      </c>
      <c r="BR536" s="170">
        <f t="shared" si="289"/>
        <v>0</v>
      </c>
      <c r="BS536" s="170">
        <f t="shared" si="289"/>
        <v>0</v>
      </c>
      <c r="BT536" s="170">
        <f t="shared" si="289"/>
        <v>0</v>
      </c>
      <c r="BU536" s="170">
        <f t="shared" si="289"/>
        <v>0</v>
      </c>
      <c r="BV536" s="170">
        <f t="shared" si="289"/>
        <v>0</v>
      </c>
      <c r="BW536" s="170">
        <f t="shared" si="289"/>
        <v>0</v>
      </c>
      <c r="BX536" s="170">
        <f t="shared" si="289"/>
        <v>0</v>
      </c>
      <c r="BY536" s="170">
        <f t="shared" si="289"/>
        <v>0</v>
      </c>
      <c r="BZ536" s="170">
        <f t="shared" si="289"/>
        <v>0</v>
      </c>
      <c r="CA536" s="170">
        <f t="shared" si="289"/>
        <v>0</v>
      </c>
      <c r="CB536" s="170">
        <f t="shared" si="289"/>
        <v>0</v>
      </c>
      <c r="CC536" s="170">
        <f t="shared" si="289"/>
        <v>0</v>
      </c>
      <c r="CD536" s="170">
        <f t="shared" ref="CD536:CS536" si="290">CD535+CD526+CD502+CD480</f>
        <v>0</v>
      </c>
      <c r="CE536" s="170">
        <f t="shared" si="290"/>
        <v>3009000000</v>
      </c>
      <c r="CF536" s="170">
        <f t="shared" si="290"/>
        <v>2760699314.8800001</v>
      </c>
      <c r="CG536" s="170">
        <f t="shared" si="290"/>
        <v>2351668339.8800001</v>
      </c>
      <c r="CH536" s="170">
        <f t="shared" si="290"/>
        <v>0</v>
      </c>
      <c r="CI536" s="170">
        <f t="shared" si="290"/>
        <v>0</v>
      </c>
      <c r="CJ536" s="170">
        <f t="shared" si="290"/>
        <v>0</v>
      </c>
      <c r="CK536" s="170">
        <f t="shared" si="290"/>
        <v>0</v>
      </c>
      <c r="CL536" s="170">
        <f t="shared" si="290"/>
        <v>0</v>
      </c>
      <c r="CM536" s="170">
        <f t="shared" si="290"/>
        <v>0</v>
      </c>
      <c r="CN536" s="170">
        <f t="shared" si="290"/>
        <v>0</v>
      </c>
      <c r="CO536" s="170">
        <f t="shared" si="290"/>
        <v>0</v>
      </c>
      <c r="CP536" s="170">
        <f t="shared" si="290"/>
        <v>0</v>
      </c>
      <c r="CQ536" s="170">
        <f t="shared" si="290"/>
        <v>0</v>
      </c>
      <c r="CR536" s="170">
        <f t="shared" si="290"/>
        <v>0</v>
      </c>
      <c r="CS536" s="170">
        <f t="shared" si="290"/>
        <v>0</v>
      </c>
      <c r="CT536" s="170">
        <f>CT535+CT526+CT502+CT480</f>
        <v>7115001782.29</v>
      </c>
      <c r="CU536" s="170">
        <f>CU535+CU526+CU502+CU480</f>
        <v>6715028800.8699999</v>
      </c>
      <c r="CV536" s="170">
        <f>CV535+CV526+CV502+CV480</f>
        <v>6305997825.8699999</v>
      </c>
    </row>
    <row r="537" spans="1:100" ht="15" x14ac:dyDescent="0.25">
      <c r="A537" s="879"/>
      <c r="B537" s="879"/>
      <c r="C537" s="880"/>
      <c r="D537" s="879"/>
      <c r="E537" s="880"/>
      <c r="F537" s="880"/>
      <c r="G537" s="879"/>
      <c r="H537" s="880"/>
      <c r="I537" s="881"/>
      <c r="J537" s="882"/>
      <c r="K537" s="882"/>
      <c r="L537" s="882"/>
      <c r="M537" s="882"/>
      <c r="N537" s="883"/>
      <c r="O537" s="879"/>
      <c r="P537" s="880"/>
      <c r="Q537" s="856">
        <f>+Q536</f>
        <v>0</v>
      </c>
      <c r="R537" s="856">
        <f t="shared" ref="R537:CC537" si="291">+R536</f>
        <v>0</v>
      </c>
      <c r="S537" s="856">
        <f t="shared" si="291"/>
        <v>0</v>
      </c>
      <c r="T537" s="856">
        <f t="shared" si="291"/>
        <v>4106001782.29</v>
      </c>
      <c r="U537" s="856">
        <f t="shared" si="291"/>
        <v>3954329485.9899998</v>
      </c>
      <c r="V537" s="856">
        <f t="shared" si="291"/>
        <v>3954329485.9899998</v>
      </c>
      <c r="W537" s="856">
        <f t="shared" si="291"/>
        <v>0</v>
      </c>
      <c r="X537" s="856">
        <f t="shared" si="291"/>
        <v>0</v>
      </c>
      <c r="Y537" s="856">
        <f t="shared" si="291"/>
        <v>0</v>
      </c>
      <c r="Z537" s="856">
        <f t="shared" si="291"/>
        <v>0</v>
      </c>
      <c r="AA537" s="856">
        <f t="shared" si="291"/>
        <v>0</v>
      </c>
      <c r="AB537" s="856">
        <f t="shared" si="291"/>
        <v>0</v>
      </c>
      <c r="AC537" s="856">
        <f t="shared" si="291"/>
        <v>0</v>
      </c>
      <c r="AD537" s="856">
        <f t="shared" si="291"/>
        <v>0</v>
      </c>
      <c r="AE537" s="856">
        <f t="shared" si="291"/>
        <v>0</v>
      </c>
      <c r="AF537" s="856">
        <f t="shared" si="291"/>
        <v>0</v>
      </c>
      <c r="AG537" s="856">
        <f t="shared" si="291"/>
        <v>0</v>
      </c>
      <c r="AH537" s="856">
        <f t="shared" si="291"/>
        <v>0</v>
      </c>
      <c r="AI537" s="856">
        <f t="shared" si="291"/>
        <v>0</v>
      </c>
      <c r="AJ537" s="856">
        <f t="shared" si="291"/>
        <v>0</v>
      </c>
      <c r="AK537" s="856">
        <f t="shared" si="291"/>
        <v>0</v>
      </c>
      <c r="AL537" s="856">
        <f t="shared" si="291"/>
        <v>0</v>
      </c>
      <c r="AM537" s="856">
        <f t="shared" si="291"/>
        <v>0</v>
      </c>
      <c r="AN537" s="856">
        <f t="shared" si="291"/>
        <v>0</v>
      </c>
      <c r="AO537" s="856">
        <f t="shared" si="291"/>
        <v>0</v>
      </c>
      <c r="AP537" s="856">
        <f t="shared" si="291"/>
        <v>0</v>
      </c>
      <c r="AQ537" s="856">
        <f t="shared" si="291"/>
        <v>0</v>
      </c>
      <c r="AR537" s="856">
        <f t="shared" si="291"/>
        <v>0</v>
      </c>
      <c r="AS537" s="856">
        <f t="shared" si="291"/>
        <v>0</v>
      </c>
      <c r="AT537" s="856">
        <f t="shared" si="291"/>
        <v>0</v>
      </c>
      <c r="AU537" s="856">
        <f t="shared" si="291"/>
        <v>0</v>
      </c>
      <c r="AV537" s="856">
        <f t="shared" si="291"/>
        <v>0</v>
      </c>
      <c r="AW537" s="856">
        <f t="shared" si="291"/>
        <v>0</v>
      </c>
      <c r="AX537" s="856">
        <f t="shared" si="291"/>
        <v>0</v>
      </c>
      <c r="AY537" s="856">
        <f t="shared" si="291"/>
        <v>0</v>
      </c>
      <c r="AZ537" s="856">
        <f t="shared" si="291"/>
        <v>0</v>
      </c>
      <c r="BA537" s="856">
        <f t="shared" si="291"/>
        <v>0</v>
      </c>
      <c r="BB537" s="856">
        <f t="shared" si="291"/>
        <v>0</v>
      </c>
      <c r="BC537" s="856">
        <f t="shared" si="291"/>
        <v>0</v>
      </c>
      <c r="BD537" s="856">
        <f t="shared" si="291"/>
        <v>0</v>
      </c>
      <c r="BE537" s="856">
        <f t="shared" si="291"/>
        <v>0</v>
      </c>
      <c r="BF537" s="856">
        <f t="shared" si="291"/>
        <v>0</v>
      </c>
      <c r="BG537" s="856">
        <f t="shared" si="291"/>
        <v>0</v>
      </c>
      <c r="BH537" s="856">
        <f t="shared" si="291"/>
        <v>0</v>
      </c>
      <c r="BI537" s="856">
        <f t="shared" si="291"/>
        <v>0</v>
      </c>
      <c r="BJ537" s="856">
        <f t="shared" si="291"/>
        <v>0</v>
      </c>
      <c r="BK537" s="856">
        <f t="shared" si="291"/>
        <v>0</v>
      </c>
      <c r="BL537" s="856">
        <f t="shared" si="291"/>
        <v>0</v>
      </c>
      <c r="BM537" s="856">
        <f t="shared" si="291"/>
        <v>0</v>
      </c>
      <c r="BN537" s="856">
        <f t="shared" si="291"/>
        <v>0</v>
      </c>
      <c r="BO537" s="856">
        <f t="shared" si="291"/>
        <v>0</v>
      </c>
      <c r="BP537" s="856">
        <f t="shared" si="291"/>
        <v>0</v>
      </c>
      <c r="BQ537" s="856">
        <f t="shared" si="291"/>
        <v>0</v>
      </c>
      <c r="BR537" s="856">
        <f t="shared" si="291"/>
        <v>0</v>
      </c>
      <c r="BS537" s="856">
        <f t="shared" si="291"/>
        <v>0</v>
      </c>
      <c r="BT537" s="856">
        <f t="shared" si="291"/>
        <v>0</v>
      </c>
      <c r="BU537" s="856">
        <f t="shared" si="291"/>
        <v>0</v>
      </c>
      <c r="BV537" s="856">
        <f t="shared" si="291"/>
        <v>0</v>
      </c>
      <c r="BW537" s="856">
        <f t="shared" si="291"/>
        <v>0</v>
      </c>
      <c r="BX537" s="856">
        <f t="shared" si="291"/>
        <v>0</v>
      </c>
      <c r="BY537" s="856">
        <f t="shared" si="291"/>
        <v>0</v>
      </c>
      <c r="BZ537" s="856">
        <f t="shared" si="291"/>
        <v>0</v>
      </c>
      <c r="CA537" s="856">
        <f t="shared" si="291"/>
        <v>0</v>
      </c>
      <c r="CB537" s="856">
        <f t="shared" si="291"/>
        <v>0</v>
      </c>
      <c r="CC537" s="856">
        <f t="shared" si="291"/>
        <v>0</v>
      </c>
      <c r="CD537" s="856">
        <f t="shared" ref="CD537:CS537" si="292">+CD536</f>
        <v>0</v>
      </c>
      <c r="CE537" s="856">
        <f t="shared" si="292"/>
        <v>3009000000</v>
      </c>
      <c r="CF537" s="856">
        <f t="shared" si="292"/>
        <v>2760699314.8800001</v>
      </c>
      <c r="CG537" s="856">
        <f t="shared" si="292"/>
        <v>2351668339.8800001</v>
      </c>
      <c r="CH537" s="856">
        <f t="shared" si="292"/>
        <v>0</v>
      </c>
      <c r="CI537" s="856">
        <f t="shared" si="292"/>
        <v>0</v>
      </c>
      <c r="CJ537" s="856">
        <f t="shared" si="292"/>
        <v>0</v>
      </c>
      <c r="CK537" s="856">
        <f t="shared" si="292"/>
        <v>0</v>
      </c>
      <c r="CL537" s="856">
        <f t="shared" si="292"/>
        <v>0</v>
      </c>
      <c r="CM537" s="856">
        <f t="shared" si="292"/>
        <v>0</v>
      </c>
      <c r="CN537" s="856">
        <f t="shared" si="292"/>
        <v>0</v>
      </c>
      <c r="CO537" s="856">
        <f t="shared" si="292"/>
        <v>0</v>
      </c>
      <c r="CP537" s="856">
        <f t="shared" si="292"/>
        <v>0</v>
      </c>
      <c r="CQ537" s="856">
        <f t="shared" si="292"/>
        <v>0</v>
      </c>
      <c r="CR537" s="856">
        <f t="shared" si="292"/>
        <v>0</v>
      </c>
      <c r="CS537" s="856">
        <f t="shared" si="292"/>
        <v>0</v>
      </c>
      <c r="CT537" s="885">
        <f>+CT536</f>
        <v>7115001782.29</v>
      </c>
      <c r="CU537" s="885">
        <f>+CU536</f>
        <v>6715028800.8699999</v>
      </c>
      <c r="CV537" s="885">
        <f>+CV536</f>
        <v>6305997825.8699999</v>
      </c>
    </row>
    <row r="538" spans="1:100" s="27" customFormat="1" ht="15" x14ac:dyDescent="0.25">
      <c r="A538" s="176"/>
      <c r="B538" s="177"/>
      <c r="C538" s="949"/>
      <c r="D538" s="177"/>
      <c r="E538" s="949"/>
      <c r="F538" s="949"/>
      <c r="G538" s="177"/>
      <c r="H538" s="949"/>
      <c r="I538" s="299"/>
      <c r="J538" s="178"/>
      <c r="K538" s="178"/>
      <c r="L538" s="178"/>
      <c r="M538" s="178"/>
      <c r="N538" s="179"/>
      <c r="O538" s="177"/>
      <c r="P538" s="949"/>
      <c r="Q538" s="180"/>
      <c r="R538" s="180"/>
      <c r="S538" s="180"/>
      <c r="T538" s="884"/>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c r="AU538" s="180"/>
      <c r="AV538" s="180"/>
      <c r="AW538" s="180"/>
      <c r="AX538" s="180"/>
      <c r="AY538" s="180"/>
      <c r="AZ538" s="180"/>
      <c r="BA538" s="180"/>
      <c r="BB538" s="180"/>
      <c r="BC538" s="180"/>
      <c r="BD538" s="180"/>
      <c r="BE538" s="180"/>
      <c r="BF538" s="180"/>
      <c r="BG538" s="181"/>
      <c r="BH538" s="181"/>
      <c r="BI538" s="181"/>
      <c r="BJ538" s="181"/>
      <c r="BK538" s="181"/>
      <c r="BL538" s="181"/>
      <c r="BM538" s="181"/>
      <c r="BN538" s="181"/>
      <c r="BO538" s="181"/>
      <c r="BP538" s="181"/>
      <c r="BQ538" s="181"/>
      <c r="BR538" s="181"/>
      <c r="BS538" s="181"/>
      <c r="BT538" s="181"/>
      <c r="BU538" s="181"/>
      <c r="BV538" s="181"/>
      <c r="BW538" s="181"/>
      <c r="BX538" s="181"/>
      <c r="BY538" s="180"/>
      <c r="BZ538" s="180"/>
      <c r="CA538" s="180"/>
      <c r="CB538" s="180"/>
      <c r="CC538" s="180"/>
      <c r="CD538" s="180"/>
      <c r="CE538" s="182"/>
      <c r="CF538" s="182"/>
      <c r="CG538" s="182"/>
      <c r="CH538" s="183"/>
      <c r="CI538" s="183"/>
      <c r="CJ538" s="183"/>
      <c r="CK538" s="180"/>
      <c r="CL538" s="180"/>
      <c r="CM538" s="180"/>
      <c r="CN538" s="180"/>
      <c r="CO538" s="180"/>
      <c r="CP538" s="180"/>
      <c r="CQ538" s="180"/>
      <c r="CR538" s="180"/>
      <c r="CS538" s="180"/>
      <c r="CT538" s="970"/>
      <c r="CU538" s="970"/>
      <c r="CV538" s="970"/>
    </row>
    <row r="539" spans="1:100" s="46" customFormat="1" ht="20.25" x14ac:dyDescent="0.25">
      <c r="A539" s="134" t="s">
        <v>662</v>
      </c>
      <c r="B539" s="135"/>
      <c r="C539" s="136"/>
      <c r="D539" s="135"/>
      <c r="E539" s="135"/>
      <c r="F539" s="135"/>
      <c r="G539" s="135"/>
      <c r="H539" s="136"/>
      <c r="I539" s="135"/>
      <c r="J539" s="135"/>
      <c r="K539" s="135"/>
      <c r="L539" s="135"/>
      <c r="M539" s="135"/>
      <c r="N539" s="675"/>
      <c r="O539" s="135"/>
      <c r="P539" s="136"/>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c r="BG539" s="135"/>
      <c r="BH539" s="135"/>
      <c r="BI539" s="135"/>
      <c r="BJ539" s="135"/>
      <c r="BK539" s="135"/>
      <c r="BL539" s="135"/>
      <c r="BM539" s="135"/>
      <c r="BN539" s="135"/>
      <c r="BO539" s="135"/>
      <c r="BP539" s="135"/>
      <c r="BQ539" s="135"/>
      <c r="BR539" s="135"/>
      <c r="BS539" s="135"/>
      <c r="BT539" s="135"/>
      <c r="BU539" s="135"/>
      <c r="BV539" s="135"/>
      <c r="BW539" s="135"/>
      <c r="BX539" s="135"/>
      <c r="BY539" s="135"/>
      <c r="BZ539" s="135"/>
      <c r="CA539" s="135"/>
      <c r="CB539" s="135"/>
      <c r="CC539" s="135"/>
      <c r="CD539" s="135"/>
      <c r="CE539" s="137"/>
      <c r="CF539" s="137"/>
      <c r="CG539" s="137"/>
      <c r="CH539" s="138"/>
      <c r="CI539" s="138"/>
      <c r="CJ539" s="138"/>
      <c r="CK539" s="135"/>
      <c r="CL539" s="135"/>
      <c r="CM539" s="135"/>
      <c r="CN539" s="135"/>
      <c r="CO539" s="135"/>
      <c r="CP539" s="135"/>
      <c r="CQ539" s="135"/>
      <c r="CR539" s="135"/>
      <c r="CS539" s="135"/>
      <c r="CT539" s="566"/>
      <c r="CU539" s="566"/>
      <c r="CV539" s="566"/>
    </row>
    <row r="540" spans="1:100" s="46" customFormat="1" ht="20.25" x14ac:dyDescent="0.25">
      <c r="A540" s="139">
        <v>5</v>
      </c>
      <c r="B540" s="140" t="s">
        <v>26</v>
      </c>
      <c r="C540" s="141"/>
      <c r="D540" s="140"/>
      <c r="E540" s="140"/>
      <c r="F540" s="140"/>
      <c r="G540" s="140"/>
      <c r="H540" s="141"/>
      <c r="I540" s="140"/>
      <c r="J540" s="140"/>
      <c r="K540" s="140"/>
      <c r="L540" s="140"/>
      <c r="M540" s="140"/>
      <c r="N540" s="676"/>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2"/>
      <c r="CF540" s="142"/>
      <c r="CG540" s="142"/>
      <c r="CH540" s="140"/>
      <c r="CI540" s="140"/>
      <c r="CJ540" s="140"/>
      <c r="CK540" s="140"/>
      <c r="CL540" s="140"/>
      <c r="CM540" s="140"/>
      <c r="CN540" s="140"/>
      <c r="CO540" s="140"/>
      <c r="CP540" s="140"/>
      <c r="CQ540" s="140"/>
      <c r="CR540" s="140"/>
      <c r="CS540" s="140"/>
      <c r="CT540" s="540"/>
      <c r="CU540" s="540"/>
      <c r="CV540" s="540"/>
    </row>
    <row r="541" spans="1:100" s="46" customFormat="1" ht="20.25" x14ac:dyDescent="0.25">
      <c r="A541" s="185"/>
      <c r="B541" s="239">
        <v>26</v>
      </c>
      <c r="C541" s="146" t="s">
        <v>52</v>
      </c>
      <c r="D541" s="146"/>
      <c r="E541" s="146"/>
      <c r="F541" s="146"/>
      <c r="G541" s="146"/>
      <c r="H541" s="146"/>
      <c r="I541" s="146"/>
      <c r="J541" s="146"/>
      <c r="K541" s="146"/>
      <c r="L541" s="146"/>
      <c r="M541" s="146"/>
      <c r="N541" s="677"/>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c r="BI541" s="146"/>
      <c r="BJ541" s="146"/>
      <c r="BK541" s="146"/>
      <c r="BL541" s="146"/>
      <c r="BM541" s="146"/>
      <c r="BN541" s="146"/>
      <c r="BO541" s="146"/>
      <c r="BP541" s="146"/>
      <c r="BQ541" s="146"/>
      <c r="BR541" s="146"/>
      <c r="BS541" s="146"/>
      <c r="BT541" s="146"/>
      <c r="BU541" s="146"/>
      <c r="BV541" s="146"/>
      <c r="BW541" s="146"/>
      <c r="BX541" s="146"/>
      <c r="BY541" s="146"/>
      <c r="BZ541" s="146"/>
      <c r="CA541" s="146"/>
      <c r="CB541" s="146"/>
      <c r="CC541" s="146"/>
      <c r="CD541" s="146"/>
      <c r="CE541" s="148"/>
      <c r="CF541" s="148"/>
      <c r="CG541" s="148"/>
      <c r="CH541" s="146"/>
      <c r="CI541" s="146"/>
      <c r="CJ541" s="146"/>
      <c r="CK541" s="146"/>
      <c r="CL541" s="146"/>
      <c r="CM541" s="146"/>
      <c r="CN541" s="146"/>
      <c r="CO541" s="146"/>
      <c r="CP541" s="146"/>
      <c r="CQ541" s="146"/>
      <c r="CR541" s="146"/>
      <c r="CS541" s="146"/>
      <c r="CT541" s="526"/>
      <c r="CU541" s="526"/>
      <c r="CV541" s="526"/>
    </row>
    <row r="542" spans="1:100" s="46" customFormat="1" ht="20.25" x14ac:dyDescent="0.25">
      <c r="A542" s="19"/>
      <c r="B542" s="185"/>
      <c r="C542" s="949"/>
      <c r="D542" s="177"/>
      <c r="E542" s="949"/>
      <c r="F542" s="927"/>
      <c r="G542" s="339">
        <v>83</v>
      </c>
      <c r="H542" s="189" t="s">
        <v>53</v>
      </c>
      <c r="I542" s="189"/>
      <c r="J542" s="339"/>
      <c r="K542" s="189"/>
      <c r="L542" s="189"/>
      <c r="M542" s="339"/>
      <c r="N542" s="684"/>
      <c r="O542" s="189"/>
      <c r="P542" s="339"/>
      <c r="Q542" s="189"/>
      <c r="R542" s="189"/>
      <c r="S542" s="189"/>
      <c r="T542" s="189"/>
      <c r="U542" s="189"/>
      <c r="V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189"/>
      <c r="BU542" s="189"/>
      <c r="BV542" s="189"/>
      <c r="BW542" s="189"/>
      <c r="BX542" s="189"/>
      <c r="BY542" s="189"/>
      <c r="BZ542" s="189"/>
      <c r="CA542" s="189"/>
      <c r="CB542" s="189"/>
      <c r="CC542" s="189"/>
      <c r="CD542" s="189"/>
      <c r="CE542" s="190"/>
      <c r="CF542" s="190"/>
      <c r="CG542" s="190"/>
      <c r="CH542" s="189"/>
      <c r="CI542" s="189"/>
      <c r="CJ542" s="189"/>
      <c r="CK542" s="189"/>
      <c r="CL542" s="189"/>
      <c r="CM542" s="189"/>
      <c r="CN542" s="189"/>
      <c r="CO542" s="189"/>
      <c r="CP542" s="189"/>
      <c r="CQ542" s="189"/>
      <c r="CR542" s="189"/>
      <c r="CS542" s="189"/>
      <c r="CT542" s="522"/>
      <c r="CU542" s="522"/>
      <c r="CV542" s="522"/>
    </row>
    <row r="543" spans="1:100" s="491" customFormat="1" ht="76.5" customHeight="1" x14ac:dyDescent="0.25">
      <c r="A543" s="19"/>
      <c r="B543" s="19"/>
      <c r="C543" s="927">
        <v>37</v>
      </c>
      <c r="D543" s="475" t="s">
        <v>663</v>
      </c>
      <c r="E543" s="476">
        <v>0.54610000000000003</v>
      </c>
      <c r="F543" s="489">
        <v>0.6</v>
      </c>
      <c r="G543" s="29"/>
      <c r="H543" s="929">
        <v>243</v>
      </c>
      <c r="I543" s="5" t="s">
        <v>664</v>
      </c>
      <c r="J543" s="490" t="s">
        <v>30</v>
      </c>
      <c r="K543" s="23">
        <v>6</v>
      </c>
      <c r="L543" s="23">
        <v>6</v>
      </c>
      <c r="M543" s="928" t="s">
        <v>437</v>
      </c>
      <c r="N543" s="36" t="s">
        <v>665</v>
      </c>
      <c r="O543" s="928" t="s">
        <v>666</v>
      </c>
      <c r="P543" s="4" t="s">
        <v>34</v>
      </c>
      <c r="Q543" s="319"/>
      <c r="R543" s="319"/>
      <c r="S543" s="319"/>
      <c r="T543" s="319"/>
      <c r="U543" s="319"/>
      <c r="V543" s="319"/>
      <c r="W543" s="319"/>
      <c r="X543" s="319"/>
      <c r="Y543" s="319"/>
      <c r="Z543" s="319"/>
      <c r="AA543" s="319"/>
      <c r="AB543" s="319"/>
      <c r="AC543" s="319"/>
      <c r="AD543" s="319"/>
      <c r="AE543" s="319"/>
      <c r="AF543" s="319"/>
      <c r="AG543" s="319"/>
      <c r="AH543" s="319"/>
      <c r="AI543" s="319"/>
      <c r="AJ543" s="319"/>
      <c r="AK543" s="319"/>
      <c r="AL543" s="319"/>
      <c r="AM543" s="319"/>
      <c r="AN543" s="319"/>
      <c r="AO543" s="319"/>
      <c r="AP543" s="319"/>
      <c r="AQ543" s="319"/>
      <c r="AR543" s="319"/>
      <c r="AS543" s="319"/>
      <c r="AT543" s="319"/>
      <c r="AU543" s="319"/>
      <c r="AV543" s="319"/>
      <c r="AW543" s="319"/>
      <c r="AX543" s="319"/>
      <c r="AY543" s="319"/>
      <c r="AZ543" s="319"/>
      <c r="BA543" s="319"/>
      <c r="BB543" s="319"/>
      <c r="BC543" s="319"/>
      <c r="BD543" s="319"/>
      <c r="BE543" s="319"/>
      <c r="BF543" s="319"/>
      <c r="BG543" s="250"/>
      <c r="BH543" s="250"/>
      <c r="BI543" s="250"/>
      <c r="BJ543" s="250"/>
      <c r="BK543" s="250"/>
      <c r="BL543" s="250"/>
      <c r="BM543" s="250"/>
      <c r="BN543" s="250"/>
      <c r="BO543" s="250"/>
      <c r="BP543" s="250"/>
      <c r="BQ543" s="250"/>
      <c r="BR543" s="250"/>
      <c r="BS543" s="250"/>
      <c r="BT543" s="250"/>
      <c r="BU543" s="250"/>
      <c r="BV543" s="250"/>
      <c r="BW543" s="250"/>
      <c r="BX543" s="250"/>
      <c r="BY543" s="319"/>
      <c r="BZ543" s="319"/>
      <c r="CA543" s="319"/>
      <c r="CB543" s="319"/>
      <c r="CC543" s="288"/>
      <c r="CD543" s="288"/>
      <c r="CE543" s="112">
        <v>100000000</v>
      </c>
      <c r="CF543" s="112">
        <v>90287997</v>
      </c>
      <c r="CG543" s="112">
        <v>90287997</v>
      </c>
      <c r="CH543" s="9"/>
      <c r="CI543" s="9"/>
      <c r="CJ543" s="9"/>
      <c r="CK543" s="319"/>
      <c r="CL543" s="288"/>
      <c r="CM543" s="288"/>
      <c r="CN543" s="288"/>
      <c r="CO543" s="288"/>
      <c r="CP543" s="288"/>
      <c r="CQ543" s="288"/>
      <c r="CR543" s="288"/>
      <c r="CS543" s="288"/>
      <c r="CT543" s="25">
        <f>Q543+T543+W543+Z543+AC543+AF543+AI543+AL543+AO543+AR543+AU543+AX543+BA543+BD543+BG543+BJ543+BM543+BP543+BS543+BV543+BY543+CB543+CE543+CH543+CK543+CQ543+CN543</f>
        <v>100000000</v>
      </c>
      <c r="CU543" s="25">
        <f>R543+U543+X543+AA543+AD543+AG543+AJ543+AM543+AP543+AS543+AV543+AY543+BB543+BE543+BH543+BK543+BN543+BQ543+BT543+BW543+BZ543+CC543+CF543+CI543+CL543+CR543+CO543</f>
        <v>90287997</v>
      </c>
      <c r="CV543" s="25">
        <f>S543+V543+Y543+AB543+AE543+AH543+AK543+AN543+AQ543+AT543+AW543+AZ543+BC543+BF543+BI543+BL543+BO543+BR543+BU543+BX543+CA543+CD543+CG543+CJ543+CM543+CS543+CP543</f>
        <v>90287997</v>
      </c>
    </row>
    <row r="544" spans="1:100" ht="15" x14ac:dyDescent="0.25">
      <c r="A544" s="19"/>
      <c r="B544" s="152"/>
      <c r="C544" s="921"/>
      <c r="D544" s="954"/>
      <c r="E544" s="945"/>
      <c r="F544" s="945"/>
      <c r="G544" s="492"/>
      <c r="H544" s="493"/>
      <c r="I544" s="154"/>
      <c r="J544" s="156"/>
      <c r="K544" s="156"/>
      <c r="L544" s="156"/>
      <c r="M544" s="156"/>
      <c r="N544" s="157"/>
      <c r="O544" s="154"/>
      <c r="P544" s="155"/>
      <c r="Q544" s="158">
        <f t="shared" ref="Q544:CB544" si="293">SUM(Q543:Q543)</f>
        <v>0</v>
      </c>
      <c r="R544" s="158">
        <f t="shared" si="293"/>
        <v>0</v>
      </c>
      <c r="S544" s="158">
        <f t="shared" si="293"/>
        <v>0</v>
      </c>
      <c r="T544" s="158">
        <f t="shared" si="293"/>
        <v>0</v>
      </c>
      <c r="U544" s="158">
        <f t="shared" si="293"/>
        <v>0</v>
      </c>
      <c r="V544" s="158">
        <f t="shared" si="293"/>
        <v>0</v>
      </c>
      <c r="W544" s="158">
        <f t="shared" si="293"/>
        <v>0</v>
      </c>
      <c r="X544" s="158">
        <f t="shared" si="293"/>
        <v>0</v>
      </c>
      <c r="Y544" s="158">
        <f t="shared" si="293"/>
        <v>0</v>
      </c>
      <c r="Z544" s="158">
        <f t="shared" si="293"/>
        <v>0</v>
      </c>
      <c r="AA544" s="158">
        <f t="shared" si="293"/>
        <v>0</v>
      </c>
      <c r="AB544" s="158">
        <f t="shared" si="293"/>
        <v>0</v>
      </c>
      <c r="AC544" s="158">
        <f t="shared" si="293"/>
        <v>0</v>
      </c>
      <c r="AD544" s="158">
        <f t="shared" si="293"/>
        <v>0</v>
      </c>
      <c r="AE544" s="158">
        <f t="shared" si="293"/>
        <v>0</v>
      </c>
      <c r="AF544" s="158">
        <f t="shared" si="293"/>
        <v>0</v>
      </c>
      <c r="AG544" s="158">
        <f t="shared" si="293"/>
        <v>0</v>
      </c>
      <c r="AH544" s="158">
        <f t="shared" si="293"/>
        <v>0</v>
      </c>
      <c r="AI544" s="158">
        <f t="shared" si="293"/>
        <v>0</v>
      </c>
      <c r="AJ544" s="158">
        <f t="shared" si="293"/>
        <v>0</v>
      </c>
      <c r="AK544" s="158">
        <f t="shared" si="293"/>
        <v>0</v>
      </c>
      <c r="AL544" s="158">
        <f t="shared" si="293"/>
        <v>0</v>
      </c>
      <c r="AM544" s="158">
        <f t="shared" si="293"/>
        <v>0</v>
      </c>
      <c r="AN544" s="158">
        <f t="shared" si="293"/>
        <v>0</v>
      </c>
      <c r="AO544" s="158">
        <f t="shared" si="293"/>
        <v>0</v>
      </c>
      <c r="AP544" s="158">
        <f t="shared" si="293"/>
        <v>0</v>
      </c>
      <c r="AQ544" s="158">
        <f t="shared" si="293"/>
        <v>0</v>
      </c>
      <c r="AR544" s="158">
        <f t="shared" si="293"/>
        <v>0</v>
      </c>
      <c r="AS544" s="158">
        <f t="shared" si="293"/>
        <v>0</v>
      </c>
      <c r="AT544" s="158">
        <f t="shared" si="293"/>
        <v>0</v>
      </c>
      <c r="AU544" s="158">
        <f t="shared" si="293"/>
        <v>0</v>
      </c>
      <c r="AV544" s="158">
        <f t="shared" si="293"/>
        <v>0</v>
      </c>
      <c r="AW544" s="158">
        <f t="shared" si="293"/>
        <v>0</v>
      </c>
      <c r="AX544" s="158">
        <f t="shared" si="293"/>
        <v>0</v>
      </c>
      <c r="AY544" s="158">
        <f t="shared" si="293"/>
        <v>0</v>
      </c>
      <c r="AZ544" s="158">
        <f t="shared" si="293"/>
        <v>0</v>
      </c>
      <c r="BA544" s="158">
        <f t="shared" si="293"/>
        <v>0</v>
      </c>
      <c r="BB544" s="158">
        <f t="shared" si="293"/>
        <v>0</v>
      </c>
      <c r="BC544" s="158">
        <f t="shared" si="293"/>
        <v>0</v>
      </c>
      <c r="BD544" s="158">
        <f t="shared" si="293"/>
        <v>0</v>
      </c>
      <c r="BE544" s="158">
        <f t="shared" si="293"/>
        <v>0</v>
      </c>
      <c r="BF544" s="158">
        <f t="shared" si="293"/>
        <v>0</v>
      </c>
      <c r="BG544" s="158">
        <f t="shared" si="293"/>
        <v>0</v>
      </c>
      <c r="BH544" s="158">
        <f t="shared" si="293"/>
        <v>0</v>
      </c>
      <c r="BI544" s="158">
        <f t="shared" si="293"/>
        <v>0</v>
      </c>
      <c r="BJ544" s="158">
        <f t="shared" si="293"/>
        <v>0</v>
      </c>
      <c r="BK544" s="158">
        <f t="shared" si="293"/>
        <v>0</v>
      </c>
      <c r="BL544" s="158">
        <f t="shared" si="293"/>
        <v>0</v>
      </c>
      <c r="BM544" s="158">
        <f t="shared" si="293"/>
        <v>0</v>
      </c>
      <c r="BN544" s="158">
        <f t="shared" si="293"/>
        <v>0</v>
      </c>
      <c r="BO544" s="158">
        <f t="shared" si="293"/>
        <v>0</v>
      </c>
      <c r="BP544" s="158">
        <f t="shared" si="293"/>
        <v>0</v>
      </c>
      <c r="BQ544" s="158">
        <f t="shared" si="293"/>
        <v>0</v>
      </c>
      <c r="BR544" s="158">
        <f t="shared" si="293"/>
        <v>0</v>
      </c>
      <c r="BS544" s="158">
        <f t="shared" si="293"/>
        <v>0</v>
      </c>
      <c r="BT544" s="158">
        <f t="shared" si="293"/>
        <v>0</v>
      </c>
      <c r="BU544" s="158">
        <f t="shared" si="293"/>
        <v>0</v>
      </c>
      <c r="BV544" s="158">
        <f t="shared" si="293"/>
        <v>0</v>
      </c>
      <c r="BW544" s="158">
        <f t="shared" si="293"/>
        <v>0</v>
      </c>
      <c r="BX544" s="158">
        <f t="shared" si="293"/>
        <v>0</v>
      </c>
      <c r="BY544" s="158">
        <f t="shared" si="293"/>
        <v>0</v>
      </c>
      <c r="BZ544" s="158">
        <f t="shared" si="293"/>
        <v>0</v>
      </c>
      <c r="CA544" s="158">
        <f t="shared" si="293"/>
        <v>0</v>
      </c>
      <c r="CB544" s="158">
        <f t="shared" si="293"/>
        <v>0</v>
      </c>
      <c r="CC544" s="158">
        <f t="shared" ref="CC544:CS544" si="294">SUM(CC543:CC543)</f>
        <v>0</v>
      </c>
      <c r="CD544" s="158">
        <f t="shared" si="294"/>
        <v>0</v>
      </c>
      <c r="CE544" s="158">
        <f t="shared" si="294"/>
        <v>100000000</v>
      </c>
      <c r="CF544" s="158">
        <f t="shared" si="294"/>
        <v>90287997</v>
      </c>
      <c r="CG544" s="158">
        <f t="shared" si="294"/>
        <v>90287997</v>
      </c>
      <c r="CH544" s="158">
        <f t="shared" si="294"/>
        <v>0</v>
      </c>
      <c r="CI544" s="158">
        <f t="shared" si="294"/>
        <v>0</v>
      </c>
      <c r="CJ544" s="158">
        <f t="shared" si="294"/>
        <v>0</v>
      </c>
      <c r="CK544" s="158">
        <f t="shared" si="294"/>
        <v>0</v>
      </c>
      <c r="CL544" s="158">
        <f t="shared" si="294"/>
        <v>0</v>
      </c>
      <c r="CM544" s="158">
        <f t="shared" si="294"/>
        <v>0</v>
      </c>
      <c r="CN544" s="158">
        <f t="shared" si="294"/>
        <v>0</v>
      </c>
      <c r="CO544" s="158">
        <f t="shared" si="294"/>
        <v>0</v>
      </c>
      <c r="CP544" s="158">
        <f t="shared" si="294"/>
        <v>0</v>
      </c>
      <c r="CQ544" s="158">
        <f t="shared" si="294"/>
        <v>0</v>
      </c>
      <c r="CR544" s="158">
        <f t="shared" si="294"/>
        <v>0</v>
      </c>
      <c r="CS544" s="158">
        <f t="shared" si="294"/>
        <v>0</v>
      </c>
      <c r="CT544" s="158">
        <f>SUM(CT543:CT543)</f>
        <v>100000000</v>
      </c>
      <c r="CU544" s="158">
        <f>SUM(CU543:CU543)</f>
        <v>90287997</v>
      </c>
      <c r="CV544" s="158">
        <f>SUM(CV543:CV543)</f>
        <v>90287997</v>
      </c>
    </row>
    <row r="545" spans="1:100" ht="15" x14ac:dyDescent="0.25">
      <c r="A545" s="152"/>
      <c r="B545" s="216"/>
      <c r="C545" s="162"/>
      <c r="D545" s="161"/>
      <c r="E545" s="162"/>
      <c r="F545" s="162"/>
      <c r="G545" s="161"/>
      <c r="H545" s="162"/>
      <c r="I545" s="161"/>
      <c r="J545" s="163"/>
      <c r="K545" s="163"/>
      <c r="L545" s="163"/>
      <c r="M545" s="163"/>
      <c r="N545" s="164"/>
      <c r="O545" s="161"/>
      <c r="P545" s="162"/>
      <c r="Q545" s="165">
        <f t="shared" ref="Q545:CB547" si="295">Q544</f>
        <v>0</v>
      </c>
      <c r="R545" s="165">
        <f t="shared" si="295"/>
        <v>0</v>
      </c>
      <c r="S545" s="165">
        <f t="shared" si="295"/>
        <v>0</v>
      </c>
      <c r="T545" s="165">
        <f t="shared" si="295"/>
        <v>0</v>
      </c>
      <c r="U545" s="165">
        <f t="shared" si="295"/>
        <v>0</v>
      </c>
      <c r="V545" s="165">
        <f t="shared" si="295"/>
        <v>0</v>
      </c>
      <c r="W545" s="165">
        <f t="shared" si="295"/>
        <v>0</v>
      </c>
      <c r="X545" s="165">
        <f t="shared" si="295"/>
        <v>0</v>
      </c>
      <c r="Y545" s="165">
        <f t="shared" si="295"/>
        <v>0</v>
      </c>
      <c r="Z545" s="165">
        <f t="shared" si="295"/>
        <v>0</v>
      </c>
      <c r="AA545" s="165">
        <f t="shared" si="295"/>
        <v>0</v>
      </c>
      <c r="AB545" s="165">
        <f t="shared" si="295"/>
        <v>0</v>
      </c>
      <c r="AC545" s="165">
        <f t="shared" si="295"/>
        <v>0</v>
      </c>
      <c r="AD545" s="165">
        <f t="shared" si="295"/>
        <v>0</v>
      </c>
      <c r="AE545" s="165">
        <f t="shared" si="295"/>
        <v>0</v>
      </c>
      <c r="AF545" s="165">
        <f t="shared" si="295"/>
        <v>0</v>
      </c>
      <c r="AG545" s="165">
        <f t="shared" si="295"/>
        <v>0</v>
      </c>
      <c r="AH545" s="165">
        <f t="shared" si="295"/>
        <v>0</v>
      </c>
      <c r="AI545" s="165">
        <f t="shared" si="295"/>
        <v>0</v>
      </c>
      <c r="AJ545" s="165">
        <f t="shared" si="295"/>
        <v>0</v>
      </c>
      <c r="AK545" s="165">
        <f t="shared" si="295"/>
        <v>0</v>
      </c>
      <c r="AL545" s="165">
        <f t="shared" si="295"/>
        <v>0</v>
      </c>
      <c r="AM545" s="165">
        <f t="shared" si="295"/>
        <v>0</v>
      </c>
      <c r="AN545" s="165">
        <f t="shared" si="295"/>
        <v>0</v>
      </c>
      <c r="AO545" s="165">
        <f t="shared" si="295"/>
        <v>0</v>
      </c>
      <c r="AP545" s="165">
        <f t="shared" si="295"/>
        <v>0</v>
      </c>
      <c r="AQ545" s="165">
        <f t="shared" si="295"/>
        <v>0</v>
      </c>
      <c r="AR545" s="165">
        <f t="shared" si="295"/>
        <v>0</v>
      </c>
      <c r="AS545" s="165">
        <f t="shared" si="295"/>
        <v>0</v>
      </c>
      <c r="AT545" s="165">
        <f t="shared" si="295"/>
        <v>0</v>
      </c>
      <c r="AU545" s="165">
        <f t="shared" si="295"/>
        <v>0</v>
      </c>
      <c r="AV545" s="165">
        <f t="shared" si="295"/>
        <v>0</v>
      </c>
      <c r="AW545" s="165">
        <f t="shared" si="295"/>
        <v>0</v>
      </c>
      <c r="AX545" s="165">
        <f t="shared" si="295"/>
        <v>0</v>
      </c>
      <c r="AY545" s="165">
        <f t="shared" si="295"/>
        <v>0</v>
      </c>
      <c r="AZ545" s="165">
        <f t="shared" si="295"/>
        <v>0</v>
      </c>
      <c r="BA545" s="165">
        <f t="shared" si="295"/>
        <v>0</v>
      </c>
      <c r="BB545" s="165">
        <f t="shared" si="295"/>
        <v>0</v>
      </c>
      <c r="BC545" s="165">
        <f t="shared" si="295"/>
        <v>0</v>
      </c>
      <c r="BD545" s="165">
        <f t="shared" si="295"/>
        <v>0</v>
      </c>
      <c r="BE545" s="165">
        <f t="shared" si="295"/>
        <v>0</v>
      </c>
      <c r="BF545" s="165">
        <f t="shared" si="295"/>
        <v>0</v>
      </c>
      <c r="BG545" s="165">
        <f t="shared" si="295"/>
        <v>0</v>
      </c>
      <c r="BH545" s="165">
        <f t="shared" si="295"/>
        <v>0</v>
      </c>
      <c r="BI545" s="165">
        <f t="shared" si="295"/>
        <v>0</v>
      </c>
      <c r="BJ545" s="165">
        <f t="shared" si="295"/>
        <v>0</v>
      </c>
      <c r="BK545" s="165">
        <f t="shared" si="295"/>
        <v>0</v>
      </c>
      <c r="BL545" s="165">
        <f t="shared" si="295"/>
        <v>0</v>
      </c>
      <c r="BM545" s="165">
        <f t="shared" si="295"/>
        <v>0</v>
      </c>
      <c r="BN545" s="165">
        <f t="shared" si="295"/>
        <v>0</v>
      </c>
      <c r="BO545" s="165">
        <f t="shared" si="295"/>
        <v>0</v>
      </c>
      <c r="BP545" s="165">
        <f t="shared" si="295"/>
        <v>0</v>
      </c>
      <c r="BQ545" s="165">
        <f t="shared" si="295"/>
        <v>0</v>
      </c>
      <c r="BR545" s="165">
        <f t="shared" si="295"/>
        <v>0</v>
      </c>
      <c r="BS545" s="165">
        <f t="shared" si="295"/>
        <v>0</v>
      </c>
      <c r="BT545" s="165">
        <f t="shared" si="295"/>
        <v>0</v>
      </c>
      <c r="BU545" s="165">
        <f t="shared" si="295"/>
        <v>0</v>
      </c>
      <c r="BV545" s="165">
        <f t="shared" si="295"/>
        <v>0</v>
      </c>
      <c r="BW545" s="165">
        <f t="shared" si="295"/>
        <v>0</v>
      </c>
      <c r="BX545" s="165">
        <f t="shared" si="295"/>
        <v>0</v>
      </c>
      <c r="BY545" s="165">
        <f t="shared" si="295"/>
        <v>0</v>
      </c>
      <c r="BZ545" s="165">
        <f t="shared" si="295"/>
        <v>0</v>
      </c>
      <c r="CA545" s="165">
        <f t="shared" si="295"/>
        <v>0</v>
      </c>
      <c r="CB545" s="165">
        <f t="shared" si="295"/>
        <v>0</v>
      </c>
      <c r="CC545" s="165">
        <f t="shared" ref="CC545:CS547" si="296">CC544</f>
        <v>0</v>
      </c>
      <c r="CD545" s="165">
        <f t="shared" si="296"/>
        <v>0</v>
      </c>
      <c r="CE545" s="165">
        <f t="shared" si="296"/>
        <v>100000000</v>
      </c>
      <c r="CF545" s="165">
        <f t="shared" si="296"/>
        <v>90287997</v>
      </c>
      <c r="CG545" s="165">
        <f t="shared" si="296"/>
        <v>90287997</v>
      </c>
      <c r="CH545" s="165">
        <f t="shared" si="296"/>
        <v>0</v>
      </c>
      <c r="CI545" s="165">
        <f t="shared" si="296"/>
        <v>0</v>
      </c>
      <c r="CJ545" s="165">
        <f t="shared" si="296"/>
        <v>0</v>
      </c>
      <c r="CK545" s="165">
        <f t="shared" si="296"/>
        <v>0</v>
      </c>
      <c r="CL545" s="165">
        <f t="shared" si="296"/>
        <v>0</v>
      </c>
      <c r="CM545" s="165">
        <f t="shared" si="296"/>
        <v>0</v>
      </c>
      <c r="CN545" s="165">
        <f t="shared" si="296"/>
        <v>0</v>
      </c>
      <c r="CO545" s="165">
        <f t="shared" si="296"/>
        <v>0</v>
      </c>
      <c r="CP545" s="165">
        <f t="shared" si="296"/>
        <v>0</v>
      </c>
      <c r="CQ545" s="165">
        <f t="shared" si="296"/>
        <v>0</v>
      </c>
      <c r="CR545" s="165">
        <f t="shared" si="296"/>
        <v>0</v>
      </c>
      <c r="CS545" s="165">
        <f t="shared" si="296"/>
        <v>0</v>
      </c>
      <c r="CT545" s="165">
        <f>CT544</f>
        <v>100000000</v>
      </c>
      <c r="CU545" s="165">
        <f t="shared" ref="CU545:CV547" si="297">CU544</f>
        <v>90287997</v>
      </c>
      <c r="CV545" s="165">
        <f t="shared" si="297"/>
        <v>90287997</v>
      </c>
    </row>
    <row r="546" spans="1:100" ht="15" x14ac:dyDescent="0.25">
      <c r="A546" s="166"/>
      <c r="B546" s="166"/>
      <c r="C546" s="167"/>
      <c r="D546" s="166"/>
      <c r="E546" s="167"/>
      <c r="F546" s="167"/>
      <c r="G546" s="166"/>
      <c r="H546" s="167"/>
      <c r="I546" s="166"/>
      <c r="J546" s="168"/>
      <c r="K546" s="168"/>
      <c r="L546" s="168"/>
      <c r="M546" s="168"/>
      <c r="N546" s="169"/>
      <c r="O546" s="166"/>
      <c r="P546" s="167"/>
      <c r="Q546" s="170">
        <f t="shared" si="295"/>
        <v>0</v>
      </c>
      <c r="R546" s="170">
        <f t="shared" si="295"/>
        <v>0</v>
      </c>
      <c r="S546" s="170">
        <f t="shared" si="295"/>
        <v>0</v>
      </c>
      <c r="T546" s="170">
        <f t="shared" si="295"/>
        <v>0</v>
      </c>
      <c r="U546" s="170">
        <f t="shared" si="295"/>
        <v>0</v>
      </c>
      <c r="V546" s="170">
        <f t="shared" si="295"/>
        <v>0</v>
      </c>
      <c r="W546" s="170">
        <f t="shared" si="295"/>
        <v>0</v>
      </c>
      <c r="X546" s="170">
        <f t="shared" si="295"/>
        <v>0</v>
      </c>
      <c r="Y546" s="170">
        <f t="shared" si="295"/>
        <v>0</v>
      </c>
      <c r="Z546" s="170">
        <f t="shared" si="295"/>
        <v>0</v>
      </c>
      <c r="AA546" s="170">
        <f t="shared" si="295"/>
        <v>0</v>
      </c>
      <c r="AB546" s="170">
        <f t="shared" si="295"/>
        <v>0</v>
      </c>
      <c r="AC546" s="170">
        <f t="shared" si="295"/>
        <v>0</v>
      </c>
      <c r="AD546" s="170">
        <f t="shared" si="295"/>
        <v>0</v>
      </c>
      <c r="AE546" s="170">
        <f t="shared" si="295"/>
        <v>0</v>
      </c>
      <c r="AF546" s="170">
        <f t="shared" si="295"/>
        <v>0</v>
      </c>
      <c r="AG546" s="170">
        <f t="shared" si="295"/>
        <v>0</v>
      </c>
      <c r="AH546" s="170">
        <f t="shared" si="295"/>
        <v>0</v>
      </c>
      <c r="AI546" s="170">
        <f t="shared" si="295"/>
        <v>0</v>
      </c>
      <c r="AJ546" s="170">
        <f t="shared" si="295"/>
        <v>0</v>
      </c>
      <c r="AK546" s="170">
        <f t="shared" si="295"/>
        <v>0</v>
      </c>
      <c r="AL546" s="170">
        <f t="shared" si="295"/>
        <v>0</v>
      </c>
      <c r="AM546" s="170">
        <f t="shared" si="295"/>
        <v>0</v>
      </c>
      <c r="AN546" s="170">
        <f t="shared" si="295"/>
        <v>0</v>
      </c>
      <c r="AO546" s="170">
        <f t="shared" si="295"/>
        <v>0</v>
      </c>
      <c r="AP546" s="170">
        <f t="shared" si="295"/>
        <v>0</v>
      </c>
      <c r="AQ546" s="170">
        <f t="shared" si="295"/>
        <v>0</v>
      </c>
      <c r="AR546" s="170">
        <f t="shared" si="295"/>
        <v>0</v>
      </c>
      <c r="AS546" s="170">
        <f t="shared" si="295"/>
        <v>0</v>
      </c>
      <c r="AT546" s="170">
        <f t="shared" si="295"/>
        <v>0</v>
      </c>
      <c r="AU546" s="170">
        <f t="shared" si="295"/>
        <v>0</v>
      </c>
      <c r="AV546" s="170">
        <f t="shared" si="295"/>
        <v>0</v>
      </c>
      <c r="AW546" s="170">
        <f t="shared" si="295"/>
        <v>0</v>
      </c>
      <c r="AX546" s="170">
        <f t="shared" si="295"/>
        <v>0</v>
      </c>
      <c r="AY546" s="170">
        <f t="shared" si="295"/>
        <v>0</v>
      </c>
      <c r="AZ546" s="170">
        <f t="shared" si="295"/>
        <v>0</v>
      </c>
      <c r="BA546" s="170">
        <f t="shared" si="295"/>
        <v>0</v>
      </c>
      <c r="BB546" s="170">
        <f t="shared" si="295"/>
        <v>0</v>
      </c>
      <c r="BC546" s="170">
        <f t="shared" si="295"/>
        <v>0</v>
      </c>
      <c r="BD546" s="170">
        <f t="shared" si="295"/>
        <v>0</v>
      </c>
      <c r="BE546" s="170">
        <f t="shared" si="295"/>
        <v>0</v>
      </c>
      <c r="BF546" s="170">
        <f t="shared" si="295"/>
        <v>0</v>
      </c>
      <c r="BG546" s="170">
        <f t="shared" si="295"/>
        <v>0</v>
      </c>
      <c r="BH546" s="170">
        <f t="shared" si="295"/>
        <v>0</v>
      </c>
      <c r="BI546" s="170">
        <f t="shared" si="295"/>
        <v>0</v>
      </c>
      <c r="BJ546" s="170">
        <f t="shared" si="295"/>
        <v>0</v>
      </c>
      <c r="BK546" s="170">
        <f t="shared" si="295"/>
        <v>0</v>
      </c>
      <c r="BL546" s="170">
        <f t="shared" si="295"/>
        <v>0</v>
      </c>
      <c r="BM546" s="170">
        <f t="shared" si="295"/>
        <v>0</v>
      </c>
      <c r="BN546" s="170">
        <f t="shared" si="295"/>
        <v>0</v>
      </c>
      <c r="BO546" s="170">
        <f t="shared" si="295"/>
        <v>0</v>
      </c>
      <c r="BP546" s="170">
        <f t="shared" si="295"/>
        <v>0</v>
      </c>
      <c r="BQ546" s="170">
        <f t="shared" si="295"/>
        <v>0</v>
      </c>
      <c r="BR546" s="170">
        <f t="shared" si="295"/>
        <v>0</v>
      </c>
      <c r="BS546" s="170">
        <f t="shared" si="295"/>
        <v>0</v>
      </c>
      <c r="BT546" s="170">
        <f t="shared" si="295"/>
        <v>0</v>
      </c>
      <c r="BU546" s="170">
        <f t="shared" si="295"/>
        <v>0</v>
      </c>
      <c r="BV546" s="170">
        <f t="shared" si="295"/>
        <v>0</v>
      </c>
      <c r="BW546" s="170">
        <f t="shared" si="295"/>
        <v>0</v>
      </c>
      <c r="BX546" s="170">
        <f t="shared" si="295"/>
        <v>0</v>
      </c>
      <c r="BY546" s="170">
        <f t="shared" si="295"/>
        <v>0</v>
      </c>
      <c r="BZ546" s="170">
        <f t="shared" si="295"/>
        <v>0</v>
      </c>
      <c r="CA546" s="170">
        <f t="shared" si="295"/>
        <v>0</v>
      </c>
      <c r="CB546" s="170">
        <f t="shared" si="295"/>
        <v>0</v>
      </c>
      <c r="CC546" s="170">
        <f t="shared" si="296"/>
        <v>0</v>
      </c>
      <c r="CD546" s="170">
        <f t="shared" si="296"/>
        <v>0</v>
      </c>
      <c r="CE546" s="170">
        <f t="shared" si="296"/>
        <v>100000000</v>
      </c>
      <c r="CF546" s="170">
        <f t="shared" si="296"/>
        <v>90287997</v>
      </c>
      <c r="CG546" s="170">
        <f t="shared" si="296"/>
        <v>90287997</v>
      </c>
      <c r="CH546" s="170">
        <f t="shared" si="296"/>
        <v>0</v>
      </c>
      <c r="CI546" s="170">
        <f t="shared" si="296"/>
        <v>0</v>
      </c>
      <c r="CJ546" s="170">
        <f t="shared" si="296"/>
        <v>0</v>
      </c>
      <c r="CK546" s="170">
        <f t="shared" si="296"/>
        <v>0</v>
      </c>
      <c r="CL546" s="170">
        <f t="shared" si="296"/>
        <v>0</v>
      </c>
      <c r="CM546" s="170">
        <f t="shared" si="296"/>
        <v>0</v>
      </c>
      <c r="CN546" s="170">
        <f t="shared" si="296"/>
        <v>0</v>
      </c>
      <c r="CO546" s="170">
        <f t="shared" si="296"/>
        <v>0</v>
      </c>
      <c r="CP546" s="170">
        <f t="shared" si="296"/>
        <v>0</v>
      </c>
      <c r="CQ546" s="170">
        <f t="shared" si="296"/>
        <v>0</v>
      </c>
      <c r="CR546" s="170">
        <f t="shared" si="296"/>
        <v>0</v>
      </c>
      <c r="CS546" s="170">
        <f t="shared" si="296"/>
        <v>0</v>
      </c>
      <c r="CT546" s="170">
        <f>CT545</f>
        <v>100000000</v>
      </c>
      <c r="CU546" s="170">
        <f t="shared" si="297"/>
        <v>90287997</v>
      </c>
      <c r="CV546" s="170">
        <f t="shared" si="297"/>
        <v>90287997</v>
      </c>
    </row>
    <row r="547" spans="1:100" ht="15" x14ac:dyDescent="0.25">
      <c r="A547" s="171"/>
      <c r="B547" s="171"/>
      <c r="C547" s="172"/>
      <c r="D547" s="171"/>
      <c r="E547" s="172"/>
      <c r="F547" s="172"/>
      <c r="G547" s="171"/>
      <c r="H547" s="172"/>
      <c r="I547" s="171"/>
      <c r="J547" s="173"/>
      <c r="K547" s="173"/>
      <c r="L547" s="173"/>
      <c r="M547" s="173"/>
      <c r="N547" s="174"/>
      <c r="O547" s="171"/>
      <c r="P547" s="172"/>
      <c r="Q547" s="175">
        <f t="shared" si="295"/>
        <v>0</v>
      </c>
      <c r="R547" s="175">
        <f t="shared" si="295"/>
        <v>0</v>
      </c>
      <c r="S547" s="175">
        <f t="shared" si="295"/>
        <v>0</v>
      </c>
      <c r="T547" s="175">
        <f t="shared" si="295"/>
        <v>0</v>
      </c>
      <c r="U547" s="175">
        <f t="shared" si="295"/>
        <v>0</v>
      </c>
      <c r="V547" s="175">
        <f t="shared" si="295"/>
        <v>0</v>
      </c>
      <c r="W547" s="175">
        <f t="shared" si="295"/>
        <v>0</v>
      </c>
      <c r="X547" s="175">
        <f t="shared" si="295"/>
        <v>0</v>
      </c>
      <c r="Y547" s="175">
        <f t="shared" si="295"/>
        <v>0</v>
      </c>
      <c r="Z547" s="175">
        <f t="shared" si="295"/>
        <v>0</v>
      </c>
      <c r="AA547" s="175">
        <f t="shared" si="295"/>
        <v>0</v>
      </c>
      <c r="AB547" s="175">
        <f t="shared" si="295"/>
        <v>0</v>
      </c>
      <c r="AC547" s="175">
        <f t="shared" si="295"/>
        <v>0</v>
      </c>
      <c r="AD547" s="175">
        <f t="shared" si="295"/>
        <v>0</v>
      </c>
      <c r="AE547" s="175">
        <f t="shared" si="295"/>
        <v>0</v>
      </c>
      <c r="AF547" s="175">
        <f t="shared" si="295"/>
        <v>0</v>
      </c>
      <c r="AG547" s="175">
        <f t="shared" si="295"/>
        <v>0</v>
      </c>
      <c r="AH547" s="175">
        <f t="shared" si="295"/>
        <v>0</v>
      </c>
      <c r="AI547" s="175">
        <f t="shared" si="295"/>
        <v>0</v>
      </c>
      <c r="AJ547" s="175">
        <f t="shared" si="295"/>
        <v>0</v>
      </c>
      <c r="AK547" s="175">
        <f t="shared" si="295"/>
        <v>0</v>
      </c>
      <c r="AL547" s="175">
        <f t="shared" si="295"/>
        <v>0</v>
      </c>
      <c r="AM547" s="175">
        <f t="shared" si="295"/>
        <v>0</v>
      </c>
      <c r="AN547" s="175">
        <f t="shared" si="295"/>
        <v>0</v>
      </c>
      <c r="AO547" s="175">
        <f t="shared" si="295"/>
        <v>0</v>
      </c>
      <c r="AP547" s="175">
        <f t="shared" si="295"/>
        <v>0</v>
      </c>
      <c r="AQ547" s="175">
        <f t="shared" si="295"/>
        <v>0</v>
      </c>
      <c r="AR547" s="175">
        <f t="shared" si="295"/>
        <v>0</v>
      </c>
      <c r="AS547" s="175">
        <f t="shared" si="295"/>
        <v>0</v>
      </c>
      <c r="AT547" s="175">
        <f t="shared" si="295"/>
        <v>0</v>
      </c>
      <c r="AU547" s="175">
        <f t="shared" si="295"/>
        <v>0</v>
      </c>
      <c r="AV547" s="175">
        <f t="shared" si="295"/>
        <v>0</v>
      </c>
      <c r="AW547" s="175">
        <f t="shared" si="295"/>
        <v>0</v>
      </c>
      <c r="AX547" s="175">
        <f t="shared" si="295"/>
        <v>0</v>
      </c>
      <c r="AY547" s="175">
        <f t="shared" si="295"/>
        <v>0</v>
      </c>
      <c r="AZ547" s="175">
        <f t="shared" si="295"/>
        <v>0</v>
      </c>
      <c r="BA547" s="175">
        <f t="shared" si="295"/>
        <v>0</v>
      </c>
      <c r="BB547" s="175">
        <f t="shared" si="295"/>
        <v>0</v>
      </c>
      <c r="BC547" s="175">
        <f t="shared" si="295"/>
        <v>0</v>
      </c>
      <c r="BD547" s="175">
        <f t="shared" si="295"/>
        <v>0</v>
      </c>
      <c r="BE547" s="175">
        <f t="shared" si="295"/>
        <v>0</v>
      </c>
      <c r="BF547" s="175">
        <f t="shared" si="295"/>
        <v>0</v>
      </c>
      <c r="BG547" s="175">
        <f t="shared" si="295"/>
        <v>0</v>
      </c>
      <c r="BH547" s="175">
        <f t="shared" si="295"/>
        <v>0</v>
      </c>
      <c r="BI547" s="175">
        <f t="shared" si="295"/>
        <v>0</v>
      </c>
      <c r="BJ547" s="175">
        <f t="shared" si="295"/>
        <v>0</v>
      </c>
      <c r="BK547" s="175">
        <f t="shared" si="295"/>
        <v>0</v>
      </c>
      <c r="BL547" s="175">
        <f t="shared" si="295"/>
        <v>0</v>
      </c>
      <c r="BM547" s="175">
        <f t="shared" si="295"/>
        <v>0</v>
      </c>
      <c r="BN547" s="175">
        <f t="shared" si="295"/>
        <v>0</v>
      </c>
      <c r="BO547" s="175">
        <f t="shared" si="295"/>
        <v>0</v>
      </c>
      <c r="BP547" s="175">
        <f t="shared" si="295"/>
        <v>0</v>
      </c>
      <c r="BQ547" s="175">
        <f t="shared" si="295"/>
        <v>0</v>
      </c>
      <c r="BR547" s="175">
        <f t="shared" si="295"/>
        <v>0</v>
      </c>
      <c r="BS547" s="175">
        <f t="shared" si="295"/>
        <v>0</v>
      </c>
      <c r="BT547" s="175">
        <f t="shared" si="295"/>
        <v>0</v>
      </c>
      <c r="BU547" s="175">
        <f t="shared" si="295"/>
        <v>0</v>
      </c>
      <c r="BV547" s="175">
        <f t="shared" si="295"/>
        <v>0</v>
      </c>
      <c r="BW547" s="175">
        <f t="shared" si="295"/>
        <v>0</v>
      </c>
      <c r="BX547" s="175">
        <f t="shared" si="295"/>
        <v>0</v>
      </c>
      <c r="BY547" s="175">
        <f t="shared" si="295"/>
        <v>0</v>
      </c>
      <c r="BZ547" s="175">
        <f t="shared" si="295"/>
        <v>0</v>
      </c>
      <c r="CA547" s="175">
        <f t="shared" si="295"/>
        <v>0</v>
      </c>
      <c r="CB547" s="175">
        <f t="shared" si="295"/>
        <v>0</v>
      </c>
      <c r="CC547" s="175">
        <f t="shared" si="296"/>
        <v>0</v>
      </c>
      <c r="CD547" s="175">
        <f t="shared" si="296"/>
        <v>0</v>
      </c>
      <c r="CE547" s="175">
        <f t="shared" si="296"/>
        <v>100000000</v>
      </c>
      <c r="CF547" s="175">
        <f t="shared" si="296"/>
        <v>90287997</v>
      </c>
      <c r="CG547" s="175">
        <f t="shared" si="296"/>
        <v>90287997</v>
      </c>
      <c r="CH547" s="175">
        <f t="shared" si="296"/>
        <v>0</v>
      </c>
      <c r="CI547" s="175">
        <f t="shared" si="296"/>
        <v>0</v>
      </c>
      <c r="CJ547" s="175">
        <f t="shared" si="296"/>
        <v>0</v>
      </c>
      <c r="CK547" s="175">
        <f t="shared" si="296"/>
        <v>0</v>
      </c>
      <c r="CL547" s="175">
        <f t="shared" si="296"/>
        <v>0</v>
      </c>
      <c r="CM547" s="175">
        <f t="shared" si="296"/>
        <v>0</v>
      </c>
      <c r="CN547" s="175">
        <f t="shared" si="296"/>
        <v>0</v>
      </c>
      <c r="CO547" s="175">
        <f t="shared" si="296"/>
        <v>0</v>
      </c>
      <c r="CP547" s="175">
        <f t="shared" si="296"/>
        <v>0</v>
      </c>
      <c r="CQ547" s="175">
        <f t="shared" si="296"/>
        <v>0</v>
      </c>
      <c r="CR547" s="175">
        <f t="shared" si="296"/>
        <v>0</v>
      </c>
      <c r="CS547" s="175">
        <f t="shared" si="296"/>
        <v>0</v>
      </c>
      <c r="CT547" s="175">
        <f>CT546</f>
        <v>100000000</v>
      </c>
      <c r="CU547" s="855">
        <f t="shared" si="297"/>
        <v>90287997</v>
      </c>
      <c r="CV547" s="855">
        <f t="shared" si="297"/>
        <v>90287997</v>
      </c>
    </row>
    <row r="548" spans="1:100" s="27" customFormat="1" ht="15" x14ac:dyDescent="0.25">
      <c r="A548" s="176"/>
      <c r="B548" s="177"/>
      <c r="C548" s="949"/>
      <c r="D548" s="177"/>
      <c r="E548" s="949"/>
      <c r="F548" s="949"/>
      <c r="G548" s="177"/>
      <c r="H548" s="949"/>
      <c r="I548" s="177"/>
      <c r="J548" s="178"/>
      <c r="K548" s="178"/>
      <c r="L548" s="178"/>
      <c r="M548" s="178"/>
      <c r="N548" s="179"/>
      <c r="O548" s="177"/>
      <c r="P548" s="949"/>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c r="AU548" s="180"/>
      <c r="AV548" s="180"/>
      <c r="AW548" s="180"/>
      <c r="AX548" s="180"/>
      <c r="AY548" s="180"/>
      <c r="AZ548" s="180"/>
      <c r="BA548" s="180"/>
      <c r="BB548" s="180"/>
      <c r="BC548" s="180"/>
      <c r="BD548" s="180"/>
      <c r="BE548" s="180"/>
      <c r="BF548" s="180"/>
      <c r="BG548" s="181"/>
      <c r="BH548" s="181"/>
      <c r="BI548" s="181"/>
      <c r="BJ548" s="181"/>
      <c r="BK548" s="181"/>
      <c r="BL548" s="181"/>
      <c r="BM548" s="181"/>
      <c r="BN548" s="181"/>
      <c r="BO548" s="181"/>
      <c r="BP548" s="181"/>
      <c r="BQ548" s="181"/>
      <c r="BR548" s="181"/>
      <c r="BS548" s="181"/>
      <c r="BT548" s="181"/>
      <c r="BU548" s="181"/>
      <c r="BV548" s="181"/>
      <c r="BW548" s="181"/>
      <c r="BX548" s="181"/>
      <c r="BY548" s="180"/>
      <c r="BZ548" s="180"/>
      <c r="CA548" s="180"/>
      <c r="CB548" s="180"/>
      <c r="CC548" s="180"/>
      <c r="CD548" s="180"/>
      <c r="CE548" s="182"/>
      <c r="CF548" s="182"/>
      <c r="CG548" s="182"/>
      <c r="CH548" s="183"/>
      <c r="CI548" s="183"/>
      <c r="CJ548" s="183"/>
      <c r="CK548" s="180"/>
      <c r="CL548" s="180"/>
      <c r="CM548" s="180"/>
      <c r="CN548" s="180"/>
      <c r="CO548" s="180"/>
      <c r="CP548" s="180"/>
      <c r="CQ548" s="180"/>
      <c r="CR548" s="180"/>
      <c r="CS548" s="180"/>
      <c r="CT548" s="764"/>
      <c r="CU548" s="973"/>
      <c r="CV548" s="973"/>
    </row>
    <row r="549" spans="1:100" ht="20.25" x14ac:dyDescent="0.25">
      <c r="A549" s="134" t="s">
        <v>667</v>
      </c>
      <c r="B549" s="135"/>
      <c r="C549" s="136"/>
      <c r="D549" s="135"/>
      <c r="E549" s="135"/>
      <c r="F549" s="135"/>
      <c r="G549" s="135"/>
      <c r="H549" s="136"/>
      <c r="I549" s="135"/>
      <c r="J549" s="135"/>
      <c r="K549" s="135"/>
      <c r="L549" s="135"/>
      <c r="M549" s="135"/>
      <c r="N549" s="675"/>
      <c r="O549" s="135"/>
      <c r="P549" s="136"/>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35"/>
      <c r="AR549" s="135"/>
      <c r="AS549" s="135"/>
      <c r="AT549" s="135"/>
      <c r="AU549" s="135"/>
      <c r="AV549" s="135"/>
      <c r="AW549" s="135"/>
      <c r="AX549" s="135"/>
      <c r="AY549" s="135"/>
      <c r="AZ549" s="135"/>
      <c r="BA549" s="135"/>
      <c r="BB549" s="135"/>
      <c r="BC549" s="135"/>
      <c r="BD549" s="135"/>
      <c r="BE549" s="135"/>
      <c r="BF549" s="135"/>
      <c r="BG549" s="135"/>
      <c r="BH549" s="135"/>
      <c r="BI549" s="135"/>
      <c r="BJ549" s="135"/>
      <c r="BK549" s="135"/>
      <c r="BL549" s="135"/>
      <c r="BM549" s="135"/>
      <c r="BN549" s="135"/>
      <c r="BO549" s="135"/>
      <c r="BP549" s="135"/>
      <c r="BQ549" s="135"/>
      <c r="BR549" s="135"/>
      <c r="BS549" s="135"/>
      <c r="BT549" s="135"/>
      <c r="BU549" s="135"/>
      <c r="BV549" s="135"/>
      <c r="BW549" s="135"/>
      <c r="BX549" s="135"/>
      <c r="BY549" s="135"/>
      <c r="BZ549" s="135"/>
      <c r="CA549" s="135"/>
      <c r="CB549" s="135"/>
      <c r="CC549" s="135"/>
      <c r="CD549" s="135"/>
      <c r="CE549" s="137"/>
      <c r="CF549" s="137"/>
      <c r="CG549" s="137"/>
      <c r="CH549" s="138"/>
      <c r="CI549" s="138"/>
      <c r="CJ549" s="138"/>
      <c r="CK549" s="135"/>
      <c r="CL549" s="135"/>
      <c r="CM549" s="135"/>
      <c r="CN549" s="135"/>
      <c r="CO549" s="135"/>
      <c r="CP549" s="135"/>
      <c r="CQ549" s="135"/>
      <c r="CR549" s="135"/>
      <c r="CS549" s="135"/>
      <c r="CT549" s="566" t="s">
        <v>0</v>
      </c>
      <c r="CU549" s="566" t="s">
        <v>0</v>
      </c>
      <c r="CV549" s="566" t="s">
        <v>0</v>
      </c>
    </row>
    <row r="550" spans="1:100" s="27" customFormat="1" ht="15" x14ac:dyDescent="0.25">
      <c r="A550" s="139">
        <v>3</v>
      </c>
      <c r="B550" s="140" t="s">
        <v>422</v>
      </c>
      <c r="C550" s="141"/>
      <c r="D550" s="140"/>
      <c r="E550" s="140"/>
      <c r="F550" s="140"/>
      <c r="G550" s="140"/>
      <c r="H550" s="141"/>
      <c r="I550" s="140"/>
      <c r="J550" s="140"/>
      <c r="K550" s="140"/>
      <c r="L550" s="140"/>
      <c r="M550" s="140"/>
      <c r="N550" s="676"/>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2"/>
      <c r="CF550" s="142"/>
      <c r="CG550" s="142"/>
      <c r="CH550" s="140"/>
      <c r="CI550" s="140"/>
      <c r="CJ550" s="140"/>
      <c r="CK550" s="140"/>
      <c r="CL550" s="140"/>
      <c r="CM550" s="140"/>
      <c r="CN550" s="140"/>
      <c r="CO550" s="140"/>
      <c r="CP550" s="140"/>
      <c r="CQ550" s="140"/>
      <c r="CR550" s="140"/>
      <c r="CS550" s="140"/>
      <c r="CT550" s="540"/>
      <c r="CU550" s="540"/>
      <c r="CV550" s="540"/>
    </row>
    <row r="551" spans="1:100" s="27" customFormat="1" ht="15" x14ac:dyDescent="0.25">
      <c r="A551" s="185"/>
      <c r="B551" s="239">
        <v>11</v>
      </c>
      <c r="C551" s="146" t="s">
        <v>423</v>
      </c>
      <c r="D551" s="146"/>
      <c r="E551" s="146"/>
      <c r="F551" s="146"/>
      <c r="G551" s="146"/>
      <c r="H551" s="146"/>
      <c r="I551" s="146"/>
      <c r="J551" s="146"/>
      <c r="K551" s="146"/>
      <c r="L551" s="146"/>
      <c r="M551" s="146"/>
      <c r="N551" s="677"/>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c r="BI551" s="146"/>
      <c r="BJ551" s="146"/>
      <c r="BK551" s="146"/>
      <c r="BL551" s="146"/>
      <c r="BM551" s="146"/>
      <c r="BN551" s="146"/>
      <c r="BO551" s="146"/>
      <c r="BP551" s="146"/>
      <c r="BQ551" s="146"/>
      <c r="BR551" s="146"/>
      <c r="BS551" s="146"/>
      <c r="BT551" s="146"/>
      <c r="BU551" s="146"/>
      <c r="BV551" s="146"/>
      <c r="BW551" s="146"/>
      <c r="BX551" s="146"/>
      <c r="BY551" s="146"/>
      <c r="BZ551" s="146"/>
      <c r="CA551" s="146"/>
      <c r="CB551" s="146"/>
      <c r="CC551" s="146"/>
      <c r="CD551" s="146"/>
      <c r="CE551" s="148"/>
      <c r="CF551" s="148"/>
      <c r="CG551" s="148"/>
      <c r="CH551" s="146"/>
      <c r="CI551" s="146"/>
      <c r="CJ551" s="146"/>
      <c r="CK551" s="146"/>
      <c r="CL551" s="146"/>
      <c r="CM551" s="146"/>
      <c r="CN551" s="146"/>
      <c r="CO551" s="146"/>
      <c r="CP551" s="146"/>
      <c r="CQ551" s="146"/>
      <c r="CR551" s="146"/>
      <c r="CS551" s="146"/>
      <c r="CT551" s="526"/>
      <c r="CU551" s="526"/>
      <c r="CV551" s="526"/>
    </row>
    <row r="552" spans="1:100" s="27" customFormat="1" ht="15" x14ac:dyDescent="0.25">
      <c r="A552" s="19"/>
      <c r="B552" s="185"/>
      <c r="C552" s="930"/>
      <c r="D552" s="221"/>
      <c r="E552" s="930"/>
      <c r="F552" s="926"/>
      <c r="G552" s="339">
        <v>35</v>
      </c>
      <c r="H552" s="189" t="s">
        <v>668</v>
      </c>
      <c r="I552" s="189"/>
      <c r="J552" s="189"/>
      <c r="K552" s="189"/>
      <c r="L552" s="189"/>
      <c r="M552" s="189"/>
      <c r="N552" s="684"/>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c r="BY552" s="189"/>
      <c r="BZ552" s="189"/>
      <c r="CA552" s="189"/>
      <c r="CB552" s="189"/>
      <c r="CC552" s="189"/>
      <c r="CD552" s="189"/>
      <c r="CE552" s="190"/>
      <c r="CF552" s="190"/>
      <c r="CG552" s="190"/>
      <c r="CH552" s="189"/>
      <c r="CI552" s="189"/>
      <c r="CJ552" s="189"/>
      <c r="CK552" s="189"/>
      <c r="CL552" s="189"/>
      <c r="CM552" s="189"/>
      <c r="CN552" s="189"/>
      <c r="CO552" s="189"/>
      <c r="CP552" s="189"/>
      <c r="CQ552" s="189"/>
      <c r="CR552" s="189"/>
      <c r="CS552" s="189"/>
      <c r="CT552" s="673"/>
      <c r="CU552" s="522"/>
      <c r="CV552" s="522"/>
    </row>
    <row r="553" spans="1:100" ht="105" customHeight="1" x14ac:dyDescent="0.25">
      <c r="A553" s="19"/>
      <c r="B553" s="18"/>
      <c r="C553" s="494"/>
      <c r="D553" s="495"/>
      <c r="E553" s="495"/>
      <c r="F553" s="495"/>
      <c r="G553" s="99"/>
      <c r="H553" s="927">
        <v>127</v>
      </c>
      <c r="I553" s="928" t="s">
        <v>669</v>
      </c>
      <c r="J553" s="929" t="s">
        <v>30</v>
      </c>
      <c r="K553" s="929">
        <v>1</v>
      </c>
      <c r="L553" s="929">
        <v>1</v>
      </c>
      <c r="M553" s="1021" t="s">
        <v>670</v>
      </c>
      <c r="N553" s="1017" t="s">
        <v>671</v>
      </c>
      <c r="O553" s="1012" t="s">
        <v>672</v>
      </c>
      <c r="P553" s="929" t="s">
        <v>38</v>
      </c>
      <c r="Q553" s="25">
        <v>0</v>
      </c>
      <c r="R553" s="25"/>
      <c r="S553" s="25"/>
      <c r="T553" s="25">
        <v>0</v>
      </c>
      <c r="U553" s="25"/>
      <c r="V553" s="25"/>
      <c r="W553" s="25">
        <v>0</v>
      </c>
      <c r="X553" s="25"/>
      <c r="Y553" s="25"/>
      <c r="Z553" s="25">
        <v>0</v>
      </c>
      <c r="AA553" s="25"/>
      <c r="AB553" s="25"/>
      <c r="AC553" s="25">
        <v>0</v>
      </c>
      <c r="AD553" s="25"/>
      <c r="AE553" s="25"/>
      <c r="AF553" s="25">
        <v>0</v>
      </c>
      <c r="AG553" s="25"/>
      <c r="AH553" s="25"/>
      <c r="AI553" s="25">
        <v>0</v>
      </c>
      <c r="AJ553" s="25"/>
      <c r="AK553" s="25"/>
      <c r="AL553" s="13">
        <v>104940000</v>
      </c>
      <c r="AM553" s="13">
        <v>104760000</v>
      </c>
      <c r="AN553" s="13">
        <v>104760000</v>
      </c>
      <c r="AO553" s="3"/>
      <c r="AP553" s="3"/>
      <c r="AQ553" s="3"/>
      <c r="AR553" s="3"/>
      <c r="AS553" s="3"/>
      <c r="AT553" s="3"/>
      <c r="AU553" s="319">
        <v>0</v>
      </c>
      <c r="AV553" s="319"/>
      <c r="AW553" s="319"/>
      <c r="AX553" s="319"/>
      <c r="AY553" s="319"/>
      <c r="AZ553" s="319"/>
      <c r="BA553" s="319">
        <v>0</v>
      </c>
      <c r="BB553" s="319"/>
      <c r="BC553" s="319"/>
      <c r="BD553" s="319">
        <v>0</v>
      </c>
      <c r="BE553" s="319"/>
      <c r="BF553" s="319"/>
      <c r="BG553" s="250"/>
      <c r="BH553" s="250"/>
      <c r="BI553" s="250"/>
      <c r="BJ553" s="250"/>
      <c r="BK553" s="250"/>
      <c r="BL553" s="250"/>
      <c r="BM553" s="250"/>
      <c r="BN553" s="250"/>
      <c r="BO553" s="250"/>
      <c r="BP553" s="250"/>
      <c r="BQ553" s="250"/>
      <c r="BR553" s="250"/>
      <c r="BS553" s="250"/>
      <c r="BT553" s="250"/>
      <c r="BU553" s="250"/>
      <c r="BV553" s="250"/>
      <c r="BW553" s="250"/>
      <c r="BX553" s="250"/>
      <c r="BY553" s="319">
        <v>0</v>
      </c>
      <c r="BZ553" s="319"/>
      <c r="CA553" s="319"/>
      <c r="CB553" s="319">
        <v>0</v>
      </c>
      <c r="CC553" s="319"/>
      <c r="CD553" s="319"/>
      <c r="CE553" s="496">
        <v>0</v>
      </c>
      <c r="CF553" s="496"/>
      <c r="CG553" s="496"/>
      <c r="CH553" s="497"/>
      <c r="CI553" s="497"/>
      <c r="CJ553" s="497"/>
      <c r="CK553" s="319">
        <v>0</v>
      </c>
      <c r="CL553" s="288"/>
      <c r="CM553" s="288"/>
      <c r="CN553" s="288">
        <v>0</v>
      </c>
      <c r="CO553" s="288"/>
      <c r="CP553" s="288"/>
      <c r="CQ553" s="288"/>
      <c r="CR553" s="288"/>
      <c r="CS553" s="288"/>
      <c r="CT553" s="886">
        <f t="shared" ref="CT553:CV555" si="298">Q553+T553+W553+Z553+AC553+AF553+AI553+AL553+AO553+AR553+AU553+AX553+BA553+BD553+BG553+BJ553+BM553+BP553+BS553+BV553+BY553+CB553+CE553+CH553+CK553+CQ553+CN553</f>
        <v>104940000</v>
      </c>
      <c r="CU553" s="25">
        <f t="shared" si="298"/>
        <v>104760000</v>
      </c>
      <c r="CV553" s="25">
        <f t="shared" si="298"/>
        <v>104760000</v>
      </c>
    </row>
    <row r="554" spans="1:100" ht="114" customHeight="1" x14ac:dyDescent="0.25">
      <c r="A554" s="19"/>
      <c r="B554" s="18"/>
      <c r="C554" s="948">
        <v>24</v>
      </c>
      <c r="D554" s="918" t="s">
        <v>992</v>
      </c>
      <c r="E554" s="955" t="s">
        <v>673</v>
      </c>
      <c r="F554" s="955" t="s">
        <v>673</v>
      </c>
      <c r="G554" s="100"/>
      <c r="H554" s="927">
        <v>128</v>
      </c>
      <c r="I554" s="928" t="s">
        <v>674</v>
      </c>
      <c r="J554" s="929">
        <v>1</v>
      </c>
      <c r="K554" s="929">
        <v>1</v>
      </c>
      <c r="L554" s="929">
        <v>1</v>
      </c>
      <c r="M554" s="1023"/>
      <c r="N554" s="1018"/>
      <c r="O554" s="1020"/>
      <c r="P554" s="929" t="s">
        <v>38</v>
      </c>
      <c r="Q554" s="25">
        <v>0</v>
      </c>
      <c r="R554" s="25"/>
      <c r="S554" s="25"/>
      <c r="T554" s="25">
        <v>0</v>
      </c>
      <c r="U554" s="25"/>
      <c r="V554" s="25"/>
      <c r="W554" s="25">
        <v>0</v>
      </c>
      <c r="X554" s="25"/>
      <c r="Y554" s="25"/>
      <c r="Z554" s="25">
        <v>0</v>
      </c>
      <c r="AA554" s="25"/>
      <c r="AB554" s="25"/>
      <c r="AC554" s="25">
        <v>0</v>
      </c>
      <c r="AD554" s="25"/>
      <c r="AE554" s="25"/>
      <c r="AF554" s="25">
        <v>0</v>
      </c>
      <c r="AG554" s="25"/>
      <c r="AH554" s="25"/>
      <c r="AI554" s="25">
        <v>0</v>
      </c>
      <c r="AJ554" s="25"/>
      <c r="AK554" s="25"/>
      <c r="AL554" s="3">
        <v>25750000</v>
      </c>
      <c r="AM554" s="3">
        <v>12535000</v>
      </c>
      <c r="AN554" s="3">
        <v>5280000</v>
      </c>
      <c r="AO554" s="3"/>
      <c r="AP554" s="3"/>
      <c r="AQ554" s="3"/>
      <c r="AR554" s="3"/>
      <c r="AS554" s="3"/>
      <c r="AT554" s="3"/>
      <c r="AU554" s="319">
        <v>0</v>
      </c>
      <c r="AV554" s="319"/>
      <c r="AW554" s="319"/>
      <c r="AX554" s="319"/>
      <c r="AY554" s="319"/>
      <c r="AZ554" s="319"/>
      <c r="BA554" s="319">
        <v>0</v>
      </c>
      <c r="BB554" s="319"/>
      <c r="BC554" s="319"/>
      <c r="BD554" s="319">
        <v>0</v>
      </c>
      <c r="BE554" s="319"/>
      <c r="BF554" s="319"/>
      <c r="BG554" s="250"/>
      <c r="BH554" s="250"/>
      <c r="BI554" s="250"/>
      <c r="BJ554" s="250"/>
      <c r="BK554" s="250"/>
      <c r="BL554" s="250"/>
      <c r="BM554" s="250"/>
      <c r="BN554" s="250"/>
      <c r="BO554" s="250"/>
      <c r="BP554" s="250"/>
      <c r="BQ554" s="250"/>
      <c r="BR554" s="250"/>
      <c r="BS554" s="250"/>
      <c r="BT554" s="250"/>
      <c r="BU554" s="250"/>
      <c r="BV554" s="250"/>
      <c r="BW554" s="250"/>
      <c r="BX554" s="250"/>
      <c r="BY554" s="319">
        <v>0</v>
      </c>
      <c r="BZ554" s="319"/>
      <c r="CA554" s="319"/>
      <c r="CB554" s="319">
        <v>0</v>
      </c>
      <c r="CC554" s="319"/>
      <c r="CD554" s="319"/>
      <c r="CE554" s="496">
        <v>0</v>
      </c>
      <c r="CF554" s="496"/>
      <c r="CG554" s="496"/>
      <c r="CH554" s="497"/>
      <c r="CI554" s="497"/>
      <c r="CJ554" s="497"/>
      <c r="CK554" s="319">
        <v>0</v>
      </c>
      <c r="CL554" s="288"/>
      <c r="CM554" s="288"/>
      <c r="CN554" s="288">
        <v>0</v>
      </c>
      <c r="CO554" s="288"/>
      <c r="CP554" s="288"/>
      <c r="CQ554" s="288"/>
      <c r="CR554" s="288"/>
      <c r="CS554" s="288"/>
      <c r="CT554" s="886">
        <f t="shared" si="298"/>
        <v>25750000</v>
      </c>
      <c r="CU554" s="25">
        <f t="shared" si="298"/>
        <v>12535000</v>
      </c>
      <c r="CV554" s="25">
        <f t="shared" si="298"/>
        <v>5280000</v>
      </c>
    </row>
    <row r="555" spans="1:100" ht="71.25" customHeight="1" x14ac:dyDescent="0.25">
      <c r="A555" s="19"/>
      <c r="B555" s="18"/>
      <c r="C555" s="941"/>
      <c r="D555" s="940"/>
      <c r="E555" s="945"/>
      <c r="F555" s="945"/>
      <c r="G555" s="102"/>
      <c r="H555" s="927">
        <v>129</v>
      </c>
      <c r="I555" s="928" t="s">
        <v>675</v>
      </c>
      <c r="J555" s="929" t="s">
        <v>30</v>
      </c>
      <c r="K555" s="929">
        <v>6</v>
      </c>
      <c r="L555" s="929">
        <v>6</v>
      </c>
      <c r="M555" s="1022"/>
      <c r="N555" s="1019"/>
      <c r="O555" s="1013"/>
      <c r="P555" s="929" t="s">
        <v>38</v>
      </c>
      <c r="Q555" s="25">
        <v>0</v>
      </c>
      <c r="R555" s="25"/>
      <c r="S555" s="25"/>
      <c r="T555" s="25">
        <v>0</v>
      </c>
      <c r="U555" s="25"/>
      <c r="V555" s="25"/>
      <c r="W555" s="25">
        <v>0</v>
      </c>
      <c r="X555" s="25"/>
      <c r="Y555" s="25"/>
      <c r="Z555" s="25">
        <v>0</v>
      </c>
      <c r="AA555" s="25"/>
      <c r="AB555" s="25"/>
      <c r="AC555" s="25">
        <v>0</v>
      </c>
      <c r="AD555" s="25"/>
      <c r="AE555" s="25"/>
      <c r="AF555" s="25">
        <v>0</v>
      </c>
      <c r="AG555" s="25"/>
      <c r="AH555" s="25"/>
      <c r="AI555" s="25">
        <v>0</v>
      </c>
      <c r="AJ555" s="25"/>
      <c r="AK555" s="25"/>
      <c r="AL555" s="3">
        <v>58709999.999999993</v>
      </c>
      <c r="AM555" s="3">
        <v>48020000</v>
      </c>
      <c r="AN555" s="3">
        <v>40765000</v>
      </c>
      <c r="AO555" s="3"/>
      <c r="AP555" s="3"/>
      <c r="AQ555" s="3"/>
      <c r="AR555" s="3"/>
      <c r="AS555" s="3"/>
      <c r="AT555" s="3"/>
      <c r="AU555" s="319">
        <v>0</v>
      </c>
      <c r="AV555" s="319"/>
      <c r="AW555" s="319"/>
      <c r="AX555" s="319"/>
      <c r="AY555" s="319"/>
      <c r="AZ555" s="319"/>
      <c r="BA555" s="319">
        <v>0</v>
      </c>
      <c r="BB555" s="319"/>
      <c r="BC555" s="319"/>
      <c r="BD555" s="319">
        <v>0</v>
      </c>
      <c r="BE555" s="319"/>
      <c r="BF555" s="319"/>
      <c r="BG555" s="250"/>
      <c r="BH555" s="250"/>
      <c r="BI555" s="250"/>
      <c r="BJ555" s="250"/>
      <c r="BK555" s="250"/>
      <c r="BL555" s="250"/>
      <c r="BM555" s="250"/>
      <c r="BN555" s="250"/>
      <c r="BO555" s="250"/>
      <c r="BP555" s="250"/>
      <c r="BQ555" s="250"/>
      <c r="BR555" s="250"/>
      <c r="BS555" s="250"/>
      <c r="BT555" s="250"/>
      <c r="BU555" s="250"/>
      <c r="BV555" s="250"/>
      <c r="BW555" s="250"/>
      <c r="BX555" s="250"/>
      <c r="BY555" s="319">
        <v>0</v>
      </c>
      <c r="BZ555" s="319"/>
      <c r="CA555" s="319"/>
      <c r="CB555" s="319">
        <v>0</v>
      </c>
      <c r="CC555" s="319"/>
      <c r="CD555" s="319"/>
      <c r="CE555" s="496">
        <v>0</v>
      </c>
      <c r="CF555" s="496"/>
      <c r="CG555" s="496"/>
      <c r="CH555" s="497"/>
      <c r="CI555" s="497"/>
      <c r="CJ555" s="497"/>
      <c r="CK555" s="319">
        <v>0</v>
      </c>
      <c r="CL555" s="288"/>
      <c r="CM555" s="288"/>
      <c r="CN555" s="288">
        <v>0</v>
      </c>
      <c r="CO555" s="288"/>
      <c r="CP555" s="288"/>
      <c r="CQ555" s="288"/>
      <c r="CR555" s="288"/>
      <c r="CS555" s="288"/>
      <c r="CT555" s="886">
        <f t="shared" si="298"/>
        <v>58709999.999999993</v>
      </c>
      <c r="CU555" s="25">
        <f t="shared" si="298"/>
        <v>48020000</v>
      </c>
      <c r="CV555" s="25">
        <f t="shared" si="298"/>
        <v>40765000</v>
      </c>
    </row>
    <row r="556" spans="1:100" ht="15" x14ac:dyDescent="0.25">
      <c r="A556" s="19"/>
      <c r="B556" s="152"/>
      <c r="C556" s="921"/>
      <c r="D556" s="954"/>
      <c r="E556" s="945"/>
      <c r="F556" s="945"/>
      <c r="G556" s="154"/>
      <c r="H556" s="155"/>
      <c r="I556" s="154"/>
      <c r="J556" s="155"/>
      <c r="K556" s="155"/>
      <c r="L556" s="155"/>
      <c r="M556" s="155"/>
      <c r="N556" s="157"/>
      <c r="O556" s="154"/>
      <c r="P556" s="155"/>
      <c r="Q556" s="158">
        <f>SUM(Q553:Q555)</f>
        <v>0</v>
      </c>
      <c r="R556" s="158">
        <f t="shared" ref="R556:CC556" si="299">SUM(R553:R555)</f>
        <v>0</v>
      </c>
      <c r="S556" s="158">
        <f t="shared" si="299"/>
        <v>0</v>
      </c>
      <c r="T556" s="158">
        <f t="shared" si="299"/>
        <v>0</v>
      </c>
      <c r="U556" s="158">
        <f t="shared" si="299"/>
        <v>0</v>
      </c>
      <c r="V556" s="158">
        <f t="shared" si="299"/>
        <v>0</v>
      </c>
      <c r="W556" s="158">
        <f t="shared" si="299"/>
        <v>0</v>
      </c>
      <c r="X556" s="158">
        <f t="shared" si="299"/>
        <v>0</v>
      </c>
      <c r="Y556" s="158">
        <f t="shared" si="299"/>
        <v>0</v>
      </c>
      <c r="Z556" s="158">
        <f t="shared" si="299"/>
        <v>0</v>
      </c>
      <c r="AA556" s="158">
        <f t="shared" si="299"/>
        <v>0</v>
      </c>
      <c r="AB556" s="158">
        <f t="shared" si="299"/>
        <v>0</v>
      </c>
      <c r="AC556" s="158">
        <f t="shared" si="299"/>
        <v>0</v>
      </c>
      <c r="AD556" s="158">
        <f t="shared" si="299"/>
        <v>0</v>
      </c>
      <c r="AE556" s="158">
        <f t="shared" si="299"/>
        <v>0</v>
      </c>
      <c r="AF556" s="158">
        <f t="shared" si="299"/>
        <v>0</v>
      </c>
      <c r="AG556" s="158">
        <f t="shared" si="299"/>
        <v>0</v>
      </c>
      <c r="AH556" s="158">
        <f t="shared" si="299"/>
        <v>0</v>
      </c>
      <c r="AI556" s="158">
        <f t="shared" si="299"/>
        <v>0</v>
      </c>
      <c r="AJ556" s="158">
        <f t="shared" si="299"/>
        <v>0</v>
      </c>
      <c r="AK556" s="158">
        <f t="shared" si="299"/>
        <v>0</v>
      </c>
      <c r="AL556" s="158">
        <f t="shared" si="299"/>
        <v>189400000</v>
      </c>
      <c r="AM556" s="158">
        <f t="shared" si="299"/>
        <v>165315000</v>
      </c>
      <c r="AN556" s="158">
        <f t="shared" si="299"/>
        <v>150805000</v>
      </c>
      <c r="AO556" s="158">
        <f t="shared" si="299"/>
        <v>0</v>
      </c>
      <c r="AP556" s="158">
        <f t="shared" si="299"/>
        <v>0</v>
      </c>
      <c r="AQ556" s="158">
        <f t="shared" si="299"/>
        <v>0</v>
      </c>
      <c r="AR556" s="158">
        <f t="shared" si="299"/>
        <v>0</v>
      </c>
      <c r="AS556" s="158">
        <f t="shared" si="299"/>
        <v>0</v>
      </c>
      <c r="AT556" s="158">
        <f t="shared" si="299"/>
        <v>0</v>
      </c>
      <c r="AU556" s="158">
        <f t="shared" si="299"/>
        <v>0</v>
      </c>
      <c r="AV556" s="158">
        <f t="shared" si="299"/>
        <v>0</v>
      </c>
      <c r="AW556" s="158">
        <f t="shared" si="299"/>
        <v>0</v>
      </c>
      <c r="AX556" s="158">
        <f t="shared" si="299"/>
        <v>0</v>
      </c>
      <c r="AY556" s="158">
        <f t="shared" si="299"/>
        <v>0</v>
      </c>
      <c r="AZ556" s="158">
        <f t="shared" si="299"/>
        <v>0</v>
      </c>
      <c r="BA556" s="158">
        <f t="shared" si="299"/>
        <v>0</v>
      </c>
      <c r="BB556" s="158">
        <f t="shared" si="299"/>
        <v>0</v>
      </c>
      <c r="BC556" s="158">
        <f t="shared" si="299"/>
        <v>0</v>
      </c>
      <c r="BD556" s="158">
        <f t="shared" si="299"/>
        <v>0</v>
      </c>
      <c r="BE556" s="158">
        <f t="shared" si="299"/>
        <v>0</v>
      </c>
      <c r="BF556" s="158">
        <f t="shared" si="299"/>
        <v>0</v>
      </c>
      <c r="BG556" s="158">
        <f t="shared" si="299"/>
        <v>0</v>
      </c>
      <c r="BH556" s="158">
        <f t="shared" si="299"/>
        <v>0</v>
      </c>
      <c r="BI556" s="158">
        <f t="shared" si="299"/>
        <v>0</v>
      </c>
      <c r="BJ556" s="158">
        <f t="shared" si="299"/>
        <v>0</v>
      </c>
      <c r="BK556" s="158">
        <f t="shared" si="299"/>
        <v>0</v>
      </c>
      <c r="BL556" s="158">
        <f t="shared" si="299"/>
        <v>0</v>
      </c>
      <c r="BM556" s="158">
        <f t="shared" si="299"/>
        <v>0</v>
      </c>
      <c r="BN556" s="158">
        <f t="shared" si="299"/>
        <v>0</v>
      </c>
      <c r="BO556" s="158">
        <f t="shared" si="299"/>
        <v>0</v>
      </c>
      <c r="BP556" s="158">
        <f t="shared" si="299"/>
        <v>0</v>
      </c>
      <c r="BQ556" s="158">
        <f t="shared" si="299"/>
        <v>0</v>
      </c>
      <c r="BR556" s="158">
        <f t="shared" si="299"/>
        <v>0</v>
      </c>
      <c r="BS556" s="158">
        <f t="shared" si="299"/>
        <v>0</v>
      </c>
      <c r="BT556" s="158">
        <f t="shared" si="299"/>
        <v>0</v>
      </c>
      <c r="BU556" s="158">
        <f t="shared" si="299"/>
        <v>0</v>
      </c>
      <c r="BV556" s="158">
        <f t="shared" si="299"/>
        <v>0</v>
      </c>
      <c r="BW556" s="158">
        <f t="shared" si="299"/>
        <v>0</v>
      </c>
      <c r="BX556" s="158">
        <f t="shared" si="299"/>
        <v>0</v>
      </c>
      <c r="BY556" s="158">
        <f t="shared" si="299"/>
        <v>0</v>
      </c>
      <c r="BZ556" s="158">
        <f t="shared" si="299"/>
        <v>0</v>
      </c>
      <c r="CA556" s="158">
        <f t="shared" si="299"/>
        <v>0</v>
      </c>
      <c r="CB556" s="158">
        <f t="shared" si="299"/>
        <v>0</v>
      </c>
      <c r="CC556" s="158">
        <f t="shared" si="299"/>
        <v>0</v>
      </c>
      <c r="CD556" s="158">
        <f t="shared" ref="CD556:CS556" si="300">SUM(CD553:CD555)</f>
        <v>0</v>
      </c>
      <c r="CE556" s="158">
        <f t="shared" si="300"/>
        <v>0</v>
      </c>
      <c r="CF556" s="158">
        <f t="shared" si="300"/>
        <v>0</v>
      </c>
      <c r="CG556" s="158">
        <f t="shared" si="300"/>
        <v>0</v>
      </c>
      <c r="CH556" s="158">
        <f t="shared" si="300"/>
        <v>0</v>
      </c>
      <c r="CI556" s="158">
        <f t="shared" si="300"/>
        <v>0</v>
      </c>
      <c r="CJ556" s="158">
        <f t="shared" si="300"/>
        <v>0</v>
      </c>
      <c r="CK556" s="158">
        <f t="shared" si="300"/>
        <v>0</v>
      </c>
      <c r="CL556" s="158">
        <f t="shared" si="300"/>
        <v>0</v>
      </c>
      <c r="CM556" s="158">
        <f t="shared" si="300"/>
        <v>0</v>
      </c>
      <c r="CN556" s="158">
        <f t="shared" si="300"/>
        <v>0</v>
      </c>
      <c r="CO556" s="158">
        <f t="shared" si="300"/>
        <v>0</v>
      </c>
      <c r="CP556" s="158">
        <f t="shared" si="300"/>
        <v>0</v>
      </c>
      <c r="CQ556" s="158">
        <f t="shared" si="300"/>
        <v>0</v>
      </c>
      <c r="CR556" s="158">
        <f t="shared" si="300"/>
        <v>0</v>
      </c>
      <c r="CS556" s="158">
        <f t="shared" si="300"/>
        <v>0</v>
      </c>
      <c r="CT556" s="394">
        <f>SUM(CT553:CT555)</f>
        <v>189400000</v>
      </c>
      <c r="CU556" s="158">
        <f>SUM(CU553:CU555)</f>
        <v>165315000</v>
      </c>
      <c r="CV556" s="158">
        <f>SUM(CV553:CV555)</f>
        <v>150805000</v>
      </c>
    </row>
    <row r="557" spans="1:100" ht="15" x14ac:dyDescent="0.25">
      <c r="A557" s="19"/>
      <c r="B557" s="216"/>
      <c r="C557" s="162"/>
      <c r="D557" s="161"/>
      <c r="E557" s="162"/>
      <c r="F557" s="162"/>
      <c r="G557" s="161"/>
      <c r="H557" s="162"/>
      <c r="I557" s="161"/>
      <c r="J557" s="162"/>
      <c r="K557" s="162"/>
      <c r="L557" s="162"/>
      <c r="M557" s="162"/>
      <c r="N557" s="164"/>
      <c r="O557" s="161"/>
      <c r="P557" s="162"/>
      <c r="Q557" s="165">
        <f>Q556</f>
        <v>0</v>
      </c>
      <c r="R557" s="165">
        <f t="shared" ref="R557:CC557" si="301">R556</f>
        <v>0</v>
      </c>
      <c r="S557" s="165">
        <f t="shared" si="301"/>
        <v>0</v>
      </c>
      <c r="T557" s="165">
        <f t="shared" si="301"/>
        <v>0</v>
      </c>
      <c r="U557" s="165">
        <f t="shared" si="301"/>
        <v>0</v>
      </c>
      <c r="V557" s="165">
        <f t="shared" si="301"/>
        <v>0</v>
      </c>
      <c r="W557" s="165">
        <f t="shared" si="301"/>
        <v>0</v>
      </c>
      <c r="X557" s="165">
        <f t="shared" si="301"/>
        <v>0</v>
      </c>
      <c r="Y557" s="165">
        <f t="shared" si="301"/>
        <v>0</v>
      </c>
      <c r="Z557" s="165">
        <f t="shared" si="301"/>
        <v>0</v>
      </c>
      <c r="AA557" s="165">
        <f t="shared" si="301"/>
        <v>0</v>
      </c>
      <c r="AB557" s="165">
        <f t="shared" si="301"/>
        <v>0</v>
      </c>
      <c r="AC557" s="165">
        <f t="shared" si="301"/>
        <v>0</v>
      </c>
      <c r="AD557" s="165">
        <f t="shared" si="301"/>
        <v>0</v>
      </c>
      <c r="AE557" s="165">
        <f t="shared" si="301"/>
        <v>0</v>
      </c>
      <c r="AF557" s="165">
        <f t="shared" si="301"/>
        <v>0</v>
      </c>
      <c r="AG557" s="165">
        <f t="shared" si="301"/>
        <v>0</v>
      </c>
      <c r="AH557" s="165">
        <f t="shared" si="301"/>
        <v>0</v>
      </c>
      <c r="AI557" s="165">
        <f t="shared" si="301"/>
        <v>0</v>
      </c>
      <c r="AJ557" s="165">
        <f t="shared" si="301"/>
        <v>0</v>
      </c>
      <c r="AK557" s="165">
        <f t="shared" si="301"/>
        <v>0</v>
      </c>
      <c r="AL557" s="165">
        <f t="shared" si="301"/>
        <v>189400000</v>
      </c>
      <c r="AM557" s="165">
        <f t="shared" si="301"/>
        <v>165315000</v>
      </c>
      <c r="AN557" s="165">
        <f t="shared" si="301"/>
        <v>150805000</v>
      </c>
      <c r="AO557" s="165">
        <f t="shared" si="301"/>
        <v>0</v>
      </c>
      <c r="AP557" s="165">
        <f t="shared" si="301"/>
        <v>0</v>
      </c>
      <c r="AQ557" s="165">
        <f t="shared" si="301"/>
        <v>0</v>
      </c>
      <c r="AR557" s="165">
        <f t="shared" si="301"/>
        <v>0</v>
      </c>
      <c r="AS557" s="165">
        <f t="shared" si="301"/>
        <v>0</v>
      </c>
      <c r="AT557" s="165">
        <f t="shared" si="301"/>
        <v>0</v>
      </c>
      <c r="AU557" s="165">
        <f t="shared" si="301"/>
        <v>0</v>
      </c>
      <c r="AV557" s="165">
        <f t="shared" si="301"/>
        <v>0</v>
      </c>
      <c r="AW557" s="165">
        <f t="shared" si="301"/>
        <v>0</v>
      </c>
      <c r="AX557" s="165">
        <f t="shared" si="301"/>
        <v>0</v>
      </c>
      <c r="AY557" s="165">
        <f t="shared" si="301"/>
        <v>0</v>
      </c>
      <c r="AZ557" s="165">
        <f t="shared" si="301"/>
        <v>0</v>
      </c>
      <c r="BA557" s="165">
        <f t="shared" si="301"/>
        <v>0</v>
      </c>
      <c r="BB557" s="165">
        <f t="shared" si="301"/>
        <v>0</v>
      </c>
      <c r="BC557" s="165">
        <f t="shared" si="301"/>
        <v>0</v>
      </c>
      <c r="BD557" s="165">
        <f t="shared" si="301"/>
        <v>0</v>
      </c>
      <c r="BE557" s="165">
        <f t="shared" si="301"/>
        <v>0</v>
      </c>
      <c r="BF557" s="165">
        <f t="shared" si="301"/>
        <v>0</v>
      </c>
      <c r="BG557" s="165">
        <f t="shared" si="301"/>
        <v>0</v>
      </c>
      <c r="BH557" s="165">
        <f t="shared" si="301"/>
        <v>0</v>
      </c>
      <c r="BI557" s="165">
        <f t="shared" si="301"/>
        <v>0</v>
      </c>
      <c r="BJ557" s="165">
        <f t="shared" si="301"/>
        <v>0</v>
      </c>
      <c r="BK557" s="165">
        <f t="shared" si="301"/>
        <v>0</v>
      </c>
      <c r="BL557" s="165">
        <f t="shared" si="301"/>
        <v>0</v>
      </c>
      <c r="BM557" s="165">
        <f t="shared" si="301"/>
        <v>0</v>
      </c>
      <c r="BN557" s="165">
        <f t="shared" si="301"/>
        <v>0</v>
      </c>
      <c r="BO557" s="165">
        <f t="shared" si="301"/>
        <v>0</v>
      </c>
      <c r="BP557" s="165">
        <f t="shared" si="301"/>
        <v>0</v>
      </c>
      <c r="BQ557" s="165">
        <f t="shared" si="301"/>
        <v>0</v>
      </c>
      <c r="BR557" s="165">
        <f t="shared" si="301"/>
        <v>0</v>
      </c>
      <c r="BS557" s="165">
        <f t="shared" si="301"/>
        <v>0</v>
      </c>
      <c r="BT557" s="165">
        <f t="shared" si="301"/>
        <v>0</v>
      </c>
      <c r="BU557" s="165">
        <f t="shared" si="301"/>
        <v>0</v>
      </c>
      <c r="BV557" s="165">
        <f t="shared" si="301"/>
        <v>0</v>
      </c>
      <c r="BW557" s="165">
        <f t="shared" si="301"/>
        <v>0</v>
      </c>
      <c r="BX557" s="165">
        <f t="shared" si="301"/>
        <v>0</v>
      </c>
      <c r="BY557" s="165">
        <f t="shared" si="301"/>
        <v>0</v>
      </c>
      <c r="BZ557" s="165">
        <f t="shared" si="301"/>
        <v>0</v>
      </c>
      <c r="CA557" s="165">
        <f t="shared" si="301"/>
        <v>0</v>
      </c>
      <c r="CB557" s="165">
        <f t="shared" si="301"/>
        <v>0</v>
      </c>
      <c r="CC557" s="165">
        <f t="shared" si="301"/>
        <v>0</v>
      </c>
      <c r="CD557" s="165">
        <f t="shared" ref="CD557:CS557" si="302">CD556</f>
        <v>0</v>
      </c>
      <c r="CE557" s="165">
        <f t="shared" si="302"/>
        <v>0</v>
      </c>
      <c r="CF557" s="165">
        <f t="shared" si="302"/>
        <v>0</v>
      </c>
      <c r="CG557" s="165">
        <f t="shared" si="302"/>
        <v>0</v>
      </c>
      <c r="CH557" s="165">
        <f t="shared" si="302"/>
        <v>0</v>
      </c>
      <c r="CI557" s="165">
        <f t="shared" si="302"/>
        <v>0</v>
      </c>
      <c r="CJ557" s="165">
        <f t="shared" si="302"/>
        <v>0</v>
      </c>
      <c r="CK557" s="165">
        <f t="shared" si="302"/>
        <v>0</v>
      </c>
      <c r="CL557" s="165">
        <f t="shared" si="302"/>
        <v>0</v>
      </c>
      <c r="CM557" s="165">
        <f t="shared" si="302"/>
        <v>0</v>
      </c>
      <c r="CN557" s="165">
        <f t="shared" si="302"/>
        <v>0</v>
      </c>
      <c r="CO557" s="165">
        <f t="shared" si="302"/>
        <v>0</v>
      </c>
      <c r="CP557" s="165">
        <f t="shared" si="302"/>
        <v>0</v>
      </c>
      <c r="CQ557" s="165">
        <f t="shared" si="302"/>
        <v>0</v>
      </c>
      <c r="CR557" s="165">
        <f t="shared" si="302"/>
        <v>0</v>
      </c>
      <c r="CS557" s="165">
        <f t="shared" si="302"/>
        <v>0</v>
      </c>
      <c r="CT557" s="395">
        <f>CT556</f>
        <v>189400000</v>
      </c>
      <c r="CU557" s="165">
        <f>CU556</f>
        <v>165315000</v>
      </c>
      <c r="CV557" s="165">
        <f>CV556</f>
        <v>150805000</v>
      </c>
    </row>
    <row r="558" spans="1:100" s="27" customFormat="1" ht="15" x14ac:dyDescent="0.25">
      <c r="A558" s="19"/>
      <c r="B558" s="177"/>
      <c r="C558" s="949"/>
      <c r="D558" s="177"/>
      <c r="E558" s="949"/>
      <c r="F558" s="949"/>
      <c r="G558" s="177"/>
      <c r="H558" s="949"/>
      <c r="I558" s="177"/>
      <c r="J558" s="949"/>
      <c r="K558" s="949"/>
      <c r="L558" s="930"/>
      <c r="M558" s="930"/>
      <c r="N558" s="230"/>
      <c r="O558" s="221"/>
      <c r="P558" s="949"/>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c r="BZ558" s="180"/>
      <c r="CA558" s="180"/>
      <c r="CB558" s="180"/>
      <c r="CC558" s="180"/>
      <c r="CD558" s="180"/>
      <c r="CE558" s="182"/>
      <c r="CF558" s="182"/>
      <c r="CG558" s="182"/>
      <c r="CH558" s="180"/>
      <c r="CI558" s="180"/>
      <c r="CJ558" s="180"/>
      <c r="CK558" s="180"/>
      <c r="CL558" s="180"/>
      <c r="CM558" s="180"/>
      <c r="CN558" s="180"/>
      <c r="CO558" s="180"/>
      <c r="CP558" s="180"/>
      <c r="CQ558" s="180"/>
      <c r="CR558" s="180"/>
      <c r="CS558" s="180"/>
      <c r="CT558" s="886"/>
      <c r="CU558" s="76"/>
      <c r="CV558" s="76"/>
    </row>
    <row r="559" spans="1:100" s="27" customFormat="1" ht="15" x14ac:dyDescent="0.25">
      <c r="A559" s="19"/>
      <c r="B559" s="498">
        <v>12</v>
      </c>
      <c r="C559" s="145" t="s">
        <v>676</v>
      </c>
      <c r="D559" s="146"/>
      <c r="E559" s="146"/>
      <c r="F559" s="146"/>
      <c r="G559" s="146"/>
      <c r="H559" s="147"/>
      <c r="I559" s="146"/>
      <c r="J559" s="146"/>
      <c r="K559" s="146"/>
      <c r="L559" s="146"/>
      <c r="M559" s="146"/>
      <c r="N559" s="677"/>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c r="BI559" s="146"/>
      <c r="BJ559" s="146"/>
      <c r="BK559" s="146"/>
      <c r="BL559" s="146"/>
      <c r="BM559" s="146"/>
      <c r="BN559" s="146"/>
      <c r="BO559" s="146"/>
      <c r="BP559" s="146"/>
      <c r="BQ559" s="146"/>
      <c r="BR559" s="146"/>
      <c r="BS559" s="146"/>
      <c r="BT559" s="146"/>
      <c r="BU559" s="146"/>
      <c r="BV559" s="146"/>
      <c r="BW559" s="146"/>
      <c r="BX559" s="146"/>
      <c r="BY559" s="146"/>
      <c r="BZ559" s="146"/>
      <c r="CA559" s="146"/>
      <c r="CB559" s="146"/>
      <c r="CC559" s="146"/>
      <c r="CD559" s="146"/>
      <c r="CE559" s="148"/>
      <c r="CF559" s="148"/>
      <c r="CG559" s="148"/>
      <c r="CH559" s="146"/>
      <c r="CI559" s="146"/>
      <c r="CJ559" s="146"/>
      <c r="CK559" s="146"/>
      <c r="CL559" s="146"/>
      <c r="CM559" s="146"/>
      <c r="CN559" s="146"/>
      <c r="CO559" s="146"/>
      <c r="CP559" s="146"/>
      <c r="CQ559" s="146"/>
      <c r="CR559" s="146"/>
      <c r="CS559" s="146"/>
      <c r="CT559" s="674"/>
      <c r="CU559" s="526"/>
      <c r="CV559" s="526"/>
    </row>
    <row r="560" spans="1:100" s="27" customFormat="1" ht="15" x14ac:dyDescent="0.25">
      <c r="A560" s="18"/>
      <c r="B560" s="19"/>
      <c r="C560" s="949"/>
      <c r="D560" s="177"/>
      <c r="E560" s="949"/>
      <c r="F560" s="927"/>
      <c r="G560" s="339">
        <v>36</v>
      </c>
      <c r="H560" s="189" t="s">
        <v>677</v>
      </c>
      <c r="I560" s="189"/>
      <c r="J560" s="189"/>
      <c r="K560" s="189"/>
      <c r="L560" s="189"/>
      <c r="M560" s="189"/>
      <c r="N560" s="684"/>
      <c r="O560" s="189"/>
      <c r="P560" s="189"/>
      <c r="Q560" s="189"/>
      <c r="R560" s="189"/>
      <c r="S560" s="189"/>
      <c r="T560" s="189"/>
      <c r="U560" s="189"/>
      <c r="V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c r="BY560" s="189"/>
      <c r="BZ560" s="189"/>
      <c r="CA560" s="189"/>
      <c r="CB560" s="189"/>
      <c r="CC560" s="189"/>
      <c r="CD560" s="189"/>
      <c r="CE560" s="190"/>
      <c r="CF560" s="190"/>
      <c r="CG560" s="190"/>
      <c r="CH560" s="189"/>
      <c r="CI560" s="189"/>
      <c r="CJ560" s="189"/>
      <c r="CK560" s="189"/>
      <c r="CL560" s="189"/>
      <c r="CM560" s="189"/>
      <c r="CN560" s="189"/>
      <c r="CO560" s="189"/>
      <c r="CP560" s="189"/>
      <c r="CQ560" s="189"/>
      <c r="CR560" s="189"/>
      <c r="CS560" s="189"/>
      <c r="CT560" s="673"/>
      <c r="CU560" s="522"/>
      <c r="CV560" s="522"/>
    </row>
    <row r="561" spans="1:100" ht="57" customHeight="1" x14ac:dyDescent="0.25">
      <c r="A561" s="18"/>
      <c r="B561" s="19"/>
      <c r="C561" s="1032">
        <v>3</v>
      </c>
      <c r="D561" s="1098" t="s">
        <v>355</v>
      </c>
      <c r="E561" s="1025" t="s">
        <v>140</v>
      </c>
      <c r="F561" s="1025" t="s">
        <v>141</v>
      </c>
      <c r="G561" s="1021"/>
      <c r="H561" s="929">
        <v>130</v>
      </c>
      <c r="I561" s="928" t="s">
        <v>678</v>
      </c>
      <c r="J561" s="318">
        <v>0</v>
      </c>
      <c r="K561" s="929">
        <v>1</v>
      </c>
      <c r="L561" s="647">
        <v>0.9</v>
      </c>
      <c r="M561" s="1094">
        <v>2</v>
      </c>
      <c r="N561" s="1017" t="s">
        <v>679</v>
      </c>
      <c r="O561" s="1012" t="s">
        <v>680</v>
      </c>
      <c r="P561" s="929" t="s">
        <v>38</v>
      </c>
      <c r="Q561" s="25">
        <v>0</v>
      </c>
      <c r="R561" s="25"/>
      <c r="S561" s="25"/>
      <c r="T561" s="25">
        <v>0</v>
      </c>
      <c r="U561" s="25"/>
      <c r="V561" s="25"/>
      <c r="W561" s="25">
        <v>0</v>
      </c>
      <c r="X561" s="25"/>
      <c r="Y561" s="25"/>
      <c r="Z561" s="25">
        <v>0</v>
      </c>
      <c r="AA561" s="25"/>
      <c r="AB561" s="25"/>
      <c r="AC561" s="25">
        <v>0</v>
      </c>
      <c r="AD561" s="25"/>
      <c r="AE561" s="25"/>
      <c r="AF561" s="25">
        <v>0</v>
      </c>
      <c r="AG561" s="25"/>
      <c r="AH561" s="25"/>
      <c r="AI561" s="25">
        <v>0</v>
      </c>
      <c r="AJ561" s="25"/>
      <c r="AK561" s="25"/>
      <c r="AL561" s="499">
        <v>30900000</v>
      </c>
      <c r="AM561" s="499">
        <v>30900000</v>
      </c>
      <c r="AN561" s="499">
        <v>30900000</v>
      </c>
      <c r="AO561" s="500"/>
      <c r="AP561" s="500"/>
      <c r="AQ561" s="500"/>
      <c r="AR561" s="500"/>
      <c r="AS561" s="500"/>
      <c r="AT561" s="500"/>
      <c r="AU561" s="319">
        <v>0</v>
      </c>
      <c r="AV561" s="319"/>
      <c r="AW561" s="319"/>
      <c r="AX561" s="319"/>
      <c r="AY561" s="319"/>
      <c r="AZ561" s="319"/>
      <c r="BA561" s="319">
        <v>0</v>
      </c>
      <c r="BB561" s="319"/>
      <c r="BC561" s="319"/>
      <c r="BD561" s="319">
        <v>0</v>
      </c>
      <c r="BE561" s="319"/>
      <c r="BF561" s="319"/>
      <c r="BG561" s="250"/>
      <c r="BH561" s="250"/>
      <c r="BI561" s="250"/>
      <c r="BJ561" s="250"/>
      <c r="BK561" s="250"/>
      <c r="BL561" s="250"/>
      <c r="BM561" s="250"/>
      <c r="BN561" s="250"/>
      <c r="BO561" s="250"/>
      <c r="BP561" s="250"/>
      <c r="BQ561" s="250"/>
      <c r="BR561" s="250"/>
      <c r="BS561" s="250"/>
      <c r="BT561" s="250"/>
      <c r="BU561" s="250"/>
      <c r="BV561" s="250"/>
      <c r="BW561" s="250"/>
      <c r="BX561" s="250"/>
      <c r="BY561" s="319">
        <v>0</v>
      </c>
      <c r="BZ561" s="319"/>
      <c r="CA561" s="319"/>
      <c r="CB561" s="319">
        <v>0</v>
      </c>
      <c r="CC561" s="319"/>
      <c r="CD561" s="319"/>
      <c r="CE561" s="496">
        <v>0</v>
      </c>
      <c r="CF561" s="496"/>
      <c r="CG561" s="496"/>
      <c r="CH561" s="497"/>
      <c r="CI561" s="497"/>
      <c r="CJ561" s="497"/>
      <c r="CK561" s="319">
        <v>0</v>
      </c>
      <c r="CL561" s="288"/>
      <c r="CM561" s="288"/>
      <c r="CN561" s="288">
        <v>0</v>
      </c>
      <c r="CO561" s="288"/>
      <c r="CP561" s="288"/>
      <c r="CQ561" s="288"/>
      <c r="CR561" s="288"/>
      <c r="CS561" s="288"/>
      <c r="CT561" s="886">
        <f t="shared" ref="CT561:CV562" si="303">Q561+T561+W561+Z561+AC561+AF561+AI561+AL561+AO561+AR561+AU561+AX561+BA561+BD561+BG561+BJ561+BM561+BP561+BS561+BV561+BY561+CB561+CE561+CH561+CK561+CQ561+CN561</f>
        <v>30900000</v>
      </c>
      <c r="CU561" s="25">
        <f t="shared" si="303"/>
        <v>30900000</v>
      </c>
      <c r="CV561" s="25">
        <f t="shared" si="303"/>
        <v>30900000</v>
      </c>
    </row>
    <row r="562" spans="1:100" ht="70.5" customHeight="1" x14ac:dyDescent="0.25">
      <c r="A562" s="18"/>
      <c r="B562" s="19"/>
      <c r="C562" s="1033"/>
      <c r="D562" s="1100"/>
      <c r="E562" s="1108"/>
      <c r="F562" s="1108"/>
      <c r="G562" s="1022"/>
      <c r="H562" s="929">
        <v>131</v>
      </c>
      <c r="I562" s="928" t="s">
        <v>681</v>
      </c>
      <c r="J562" s="929">
        <v>0</v>
      </c>
      <c r="K562" s="929">
        <v>12</v>
      </c>
      <c r="L562" s="514">
        <v>7</v>
      </c>
      <c r="M562" s="1095"/>
      <c r="N562" s="1019"/>
      <c r="O562" s="1013"/>
      <c r="P562" s="929" t="s">
        <v>34</v>
      </c>
      <c r="Q562" s="25">
        <v>0</v>
      </c>
      <c r="R562" s="25"/>
      <c r="S562" s="25"/>
      <c r="T562" s="25">
        <v>0</v>
      </c>
      <c r="U562" s="25"/>
      <c r="V562" s="25"/>
      <c r="W562" s="25">
        <v>0</v>
      </c>
      <c r="X562" s="25"/>
      <c r="Y562" s="25"/>
      <c r="Z562" s="25">
        <v>0</v>
      </c>
      <c r="AA562" s="25"/>
      <c r="AB562" s="25"/>
      <c r="AC562" s="25">
        <v>0</v>
      </c>
      <c r="AD562" s="25"/>
      <c r="AE562" s="25"/>
      <c r="AF562" s="25">
        <v>0</v>
      </c>
      <c r="AG562" s="25"/>
      <c r="AH562" s="25"/>
      <c r="AI562" s="25">
        <v>0</v>
      </c>
      <c r="AJ562" s="25"/>
      <c r="AK562" s="25"/>
      <c r="AL562" s="499">
        <v>123600000</v>
      </c>
      <c r="AM562" s="499">
        <v>122795000</v>
      </c>
      <c r="AN562" s="499">
        <v>115540000</v>
      </c>
      <c r="AO562" s="500"/>
      <c r="AP562" s="500"/>
      <c r="AQ562" s="500"/>
      <c r="AR562" s="500"/>
      <c r="AS562" s="500"/>
      <c r="AT562" s="500"/>
      <c r="AU562" s="319">
        <v>0</v>
      </c>
      <c r="AV562" s="319"/>
      <c r="AW562" s="319"/>
      <c r="AX562" s="319"/>
      <c r="AY562" s="319"/>
      <c r="AZ562" s="319"/>
      <c r="BA562" s="319">
        <v>0</v>
      </c>
      <c r="BB562" s="319"/>
      <c r="BC562" s="319"/>
      <c r="BD562" s="319">
        <v>0</v>
      </c>
      <c r="BE562" s="319"/>
      <c r="BF562" s="319"/>
      <c r="BG562" s="250"/>
      <c r="BH562" s="250"/>
      <c r="BI562" s="250"/>
      <c r="BJ562" s="250"/>
      <c r="BK562" s="250"/>
      <c r="BL562" s="250"/>
      <c r="BM562" s="250"/>
      <c r="BN562" s="250"/>
      <c r="BO562" s="250"/>
      <c r="BP562" s="250"/>
      <c r="BQ562" s="250"/>
      <c r="BR562" s="250"/>
      <c r="BS562" s="250"/>
      <c r="BT562" s="250"/>
      <c r="BU562" s="250"/>
      <c r="BV562" s="250"/>
      <c r="BW562" s="250"/>
      <c r="BX562" s="250"/>
      <c r="BY562" s="319">
        <v>0</v>
      </c>
      <c r="BZ562" s="319"/>
      <c r="CA562" s="319"/>
      <c r="CB562" s="319">
        <v>0</v>
      </c>
      <c r="CC562" s="319"/>
      <c r="CD562" s="319"/>
      <c r="CE562" s="496">
        <v>0</v>
      </c>
      <c r="CF562" s="496"/>
      <c r="CG562" s="496"/>
      <c r="CH562" s="497"/>
      <c r="CI562" s="497"/>
      <c r="CJ562" s="497"/>
      <c r="CK562" s="319">
        <v>0</v>
      </c>
      <c r="CL562" s="288"/>
      <c r="CM562" s="288"/>
      <c r="CN562" s="288">
        <v>0</v>
      </c>
      <c r="CO562" s="288"/>
      <c r="CP562" s="288"/>
      <c r="CQ562" s="288"/>
      <c r="CR562" s="288"/>
      <c r="CS562" s="288"/>
      <c r="CT562" s="886">
        <f t="shared" si="303"/>
        <v>123600000</v>
      </c>
      <c r="CU562" s="25">
        <f t="shared" si="303"/>
        <v>122795000</v>
      </c>
      <c r="CV562" s="25">
        <f t="shared" si="303"/>
        <v>115540000</v>
      </c>
    </row>
    <row r="563" spans="1:100" ht="15" x14ac:dyDescent="0.25">
      <c r="A563" s="18"/>
      <c r="B563" s="19"/>
      <c r="C563" s="927"/>
      <c r="D563" s="153"/>
      <c r="E563" s="581"/>
      <c r="F563" s="581"/>
      <c r="G563" s="154"/>
      <c r="H563" s="155"/>
      <c r="I563" s="154"/>
      <c r="J563" s="155"/>
      <c r="K563" s="155"/>
      <c r="L563" s="155"/>
      <c r="M563" s="155"/>
      <c r="N563" s="157"/>
      <c r="O563" s="154"/>
      <c r="P563" s="155"/>
      <c r="Q563" s="158">
        <f>SUM(Q561:Q562)</f>
        <v>0</v>
      </c>
      <c r="R563" s="158">
        <f t="shared" ref="R563:CB563" si="304">SUM(R561:R562)</f>
        <v>0</v>
      </c>
      <c r="S563" s="158">
        <f t="shared" si="304"/>
        <v>0</v>
      </c>
      <c r="T563" s="158">
        <f t="shared" si="304"/>
        <v>0</v>
      </c>
      <c r="U563" s="158">
        <f t="shared" si="304"/>
        <v>0</v>
      </c>
      <c r="V563" s="158">
        <f t="shared" si="304"/>
        <v>0</v>
      </c>
      <c r="W563" s="158">
        <f t="shared" si="304"/>
        <v>0</v>
      </c>
      <c r="X563" s="158">
        <f t="shared" si="304"/>
        <v>0</v>
      </c>
      <c r="Y563" s="158">
        <f t="shared" si="304"/>
        <v>0</v>
      </c>
      <c r="Z563" s="158">
        <f t="shared" si="304"/>
        <v>0</v>
      </c>
      <c r="AA563" s="158">
        <f t="shared" si="304"/>
        <v>0</v>
      </c>
      <c r="AB563" s="158">
        <f t="shared" si="304"/>
        <v>0</v>
      </c>
      <c r="AC563" s="158">
        <f t="shared" si="304"/>
        <v>0</v>
      </c>
      <c r="AD563" s="158">
        <f t="shared" si="304"/>
        <v>0</v>
      </c>
      <c r="AE563" s="158">
        <f t="shared" si="304"/>
        <v>0</v>
      </c>
      <c r="AF563" s="158">
        <f t="shared" si="304"/>
        <v>0</v>
      </c>
      <c r="AG563" s="158">
        <f t="shared" si="304"/>
        <v>0</v>
      </c>
      <c r="AH563" s="158">
        <f t="shared" si="304"/>
        <v>0</v>
      </c>
      <c r="AI563" s="158">
        <f t="shared" si="304"/>
        <v>0</v>
      </c>
      <c r="AJ563" s="158">
        <f t="shared" si="304"/>
        <v>0</v>
      </c>
      <c r="AK563" s="158">
        <f t="shared" si="304"/>
        <v>0</v>
      </c>
      <c r="AL563" s="158">
        <f t="shared" si="304"/>
        <v>154500000</v>
      </c>
      <c r="AM563" s="158">
        <f t="shared" si="304"/>
        <v>153695000</v>
      </c>
      <c r="AN563" s="158">
        <f t="shared" si="304"/>
        <v>146440000</v>
      </c>
      <c r="AO563" s="158">
        <f t="shared" si="304"/>
        <v>0</v>
      </c>
      <c r="AP563" s="158">
        <f t="shared" si="304"/>
        <v>0</v>
      </c>
      <c r="AQ563" s="158">
        <f t="shared" si="304"/>
        <v>0</v>
      </c>
      <c r="AR563" s="158">
        <f t="shared" si="304"/>
        <v>0</v>
      </c>
      <c r="AS563" s="158">
        <f t="shared" si="304"/>
        <v>0</v>
      </c>
      <c r="AT563" s="158">
        <f t="shared" si="304"/>
        <v>0</v>
      </c>
      <c r="AU563" s="158">
        <f t="shared" si="304"/>
        <v>0</v>
      </c>
      <c r="AV563" s="158">
        <f t="shared" si="304"/>
        <v>0</v>
      </c>
      <c r="AW563" s="158">
        <f t="shared" si="304"/>
        <v>0</v>
      </c>
      <c r="AX563" s="158">
        <f t="shared" si="304"/>
        <v>0</v>
      </c>
      <c r="AY563" s="158">
        <f t="shared" si="304"/>
        <v>0</v>
      </c>
      <c r="AZ563" s="158">
        <f t="shared" si="304"/>
        <v>0</v>
      </c>
      <c r="BA563" s="158">
        <f t="shared" si="304"/>
        <v>0</v>
      </c>
      <c r="BB563" s="158">
        <f t="shared" si="304"/>
        <v>0</v>
      </c>
      <c r="BC563" s="158">
        <f t="shared" si="304"/>
        <v>0</v>
      </c>
      <c r="BD563" s="158">
        <f t="shared" si="304"/>
        <v>0</v>
      </c>
      <c r="BE563" s="158">
        <f t="shared" si="304"/>
        <v>0</v>
      </c>
      <c r="BF563" s="158">
        <f t="shared" si="304"/>
        <v>0</v>
      </c>
      <c r="BG563" s="158">
        <f t="shared" si="304"/>
        <v>0</v>
      </c>
      <c r="BH563" s="158">
        <f t="shared" si="304"/>
        <v>0</v>
      </c>
      <c r="BI563" s="158">
        <f t="shared" si="304"/>
        <v>0</v>
      </c>
      <c r="BJ563" s="158">
        <f t="shared" si="304"/>
        <v>0</v>
      </c>
      <c r="BK563" s="158">
        <f t="shared" si="304"/>
        <v>0</v>
      </c>
      <c r="BL563" s="158">
        <f t="shared" si="304"/>
        <v>0</v>
      </c>
      <c r="BM563" s="158">
        <f t="shared" si="304"/>
        <v>0</v>
      </c>
      <c r="BN563" s="158">
        <f t="shared" si="304"/>
        <v>0</v>
      </c>
      <c r="BO563" s="158">
        <f t="shared" si="304"/>
        <v>0</v>
      </c>
      <c r="BP563" s="158">
        <f t="shared" si="304"/>
        <v>0</v>
      </c>
      <c r="BQ563" s="158">
        <f t="shared" si="304"/>
        <v>0</v>
      </c>
      <c r="BR563" s="158">
        <f t="shared" si="304"/>
        <v>0</v>
      </c>
      <c r="BS563" s="158">
        <f t="shared" si="304"/>
        <v>0</v>
      </c>
      <c r="BT563" s="158">
        <f t="shared" si="304"/>
        <v>0</v>
      </c>
      <c r="BU563" s="158">
        <f t="shared" si="304"/>
        <v>0</v>
      </c>
      <c r="BV563" s="158">
        <f t="shared" si="304"/>
        <v>0</v>
      </c>
      <c r="BW563" s="158">
        <f t="shared" si="304"/>
        <v>0</v>
      </c>
      <c r="BX563" s="158">
        <f t="shared" si="304"/>
        <v>0</v>
      </c>
      <c r="BY563" s="158">
        <f t="shared" si="304"/>
        <v>0</v>
      </c>
      <c r="BZ563" s="158">
        <f t="shared" si="304"/>
        <v>0</v>
      </c>
      <c r="CA563" s="158">
        <f t="shared" si="304"/>
        <v>0</v>
      </c>
      <c r="CB563" s="158">
        <f t="shared" si="304"/>
        <v>0</v>
      </c>
      <c r="CC563" s="158">
        <f t="shared" ref="CC563:CS563" si="305">SUM(CC561:CC562)</f>
        <v>0</v>
      </c>
      <c r="CD563" s="158">
        <f t="shared" si="305"/>
        <v>0</v>
      </c>
      <c r="CE563" s="158">
        <f t="shared" si="305"/>
        <v>0</v>
      </c>
      <c r="CF563" s="158">
        <f t="shared" si="305"/>
        <v>0</v>
      </c>
      <c r="CG563" s="158">
        <f t="shared" si="305"/>
        <v>0</v>
      </c>
      <c r="CH563" s="158">
        <f t="shared" si="305"/>
        <v>0</v>
      </c>
      <c r="CI563" s="158">
        <f t="shared" si="305"/>
        <v>0</v>
      </c>
      <c r="CJ563" s="158">
        <f t="shared" si="305"/>
        <v>0</v>
      </c>
      <c r="CK563" s="158">
        <f t="shared" si="305"/>
        <v>0</v>
      </c>
      <c r="CL563" s="158">
        <f t="shared" si="305"/>
        <v>0</v>
      </c>
      <c r="CM563" s="158">
        <f t="shared" si="305"/>
        <v>0</v>
      </c>
      <c r="CN563" s="158">
        <f t="shared" si="305"/>
        <v>0</v>
      </c>
      <c r="CO563" s="158">
        <f t="shared" si="305"/>
        <v>0</v>
      </c>
      <c r="CP563" s="158">
        <f t="shared" si="305"/>
        <v>0</v>
      </c>
      <c r="CQ563" s="158">
        <f t="shared" si="305"/>
        <v>0</v>
      </c>
      <c r="CR563" s="158">
        <f t="shared" si="305"/>
        <v>0</v>
      </c>
      <c r="CS563" s="158">
        <f t="shared" si="305"/>
        <v>0</v>
      </c>
      <c r="CT563" s="394">
        <f>SUM(CT561:CT562)</f>
        <v>154500000</v>
      </c>
      <c r="CU563" s="158">
        <f>SUM(CU561:CU562)</f>
        <v>153695000</v>
      </c>
      <c r="CV563" s="158">
        <f>SUM(CV561:CV562)</f>
        <v>146440000</v>
      </c>
    </row>
    <row r="564" spans="1:100" s="27" customFormat="1" ht="15" x14ac:dyDescent="0.25">
      <c r="A564" s="18"/>
      <c r="B564" s="19"/>
      <c r="C564" s="949"/>
      <c r="D564" s="177"/>
      <c r="E564" s="949"/>
      <c r="F564" s="949"/>
      <c r="G564" s="177"/>
      <c r="H564" s="949"/>
      <c r="I564" s="177"/>
      <c r="J564" s="949"/>
      <c r="K564" s="949"/>
      <c r="L564" s="930"/>
      <c r="M564" s="930"/>
      <c r="N564" s="230"/>
      <c r="O564" s="221"/>
      <c r="P564" s="949"/>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0"/>
      <c r="BS564" s="180"/>
      <c r="BT564" s="180"/>
      <c r="BU564" s="180"/>
      <c r="BV564" s="180"/>
      <c r="BW564" s="180"/>
      <c r="BX564" s="180"/>
      <c r="BY564" s="180"/>
      <c r="BZ564" s="180"/>
      <c r="CA564" s="180"/>
      <c r="CB564" s="180"/>
      <c r="CC564" s="180"/>
      <c r="CD564" s="180"/>
      <c r="CE564" s="182"/>
      <c r="CF564" s="182"/>
      <c r="CG564" s="182"/>
      <c r="CH564" s="183"/>
      <c r="CI564" s="183"/>
      <c r="CJ564" s="183"/>
      <c r="CK564" s="180"/>
      <c r="CL564" s="180"/>
      <c r="CM564" s="180"/>
      <c r="CN564" s="180"/>
      <c r="CO564" s="180"/>
      <c r="CP564" s="180"/>
      <c r="CQ564" s="180"/>
      <c r="CR564" s="180"/>
      <c r="CS564" s="180"/>
      <c r="CT564" s="886"/>
      <c r="CU564" s="76"/>
      <c r="CV564" s="76"/>
    </row>
    <row r="565" spans="1:100" ht="15" x14ac:dyDescent="0.25">
      <c r="A565" s="18"/>
      <c r="B565" s="19"/>
      <c r="C565" s="949"/>
      <c r="D565" s="153"/>
      <c r="E565" s="581"/>
      <c r="F565" s="581"/>
      <c r="G565" s="339">
        <v>37</v>
      </c>
      <c r="H565" s="189" t="s">
        <v>682</v>
      </c>
      <c r="I565" s="189"/>
      <c r="J565" s="189"/>
      <c r="K565" s="189"/>
      <c r="L565" s="189"/>
      <c r="M565" s="189"/>
      <c r="N565" s="684"/>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c r="BY565" s="189"/>
      <c r="BZ565" s="189"/>
      <c r="CA565" s="189"/>
      <c r="CB565" s="189"/>
      <c r="CC565" s="189"/>
      <c r="CD565" s="189"/>
      <c r="CE565" s="190"/>
      <c r="CF565" s="190"/>
      <c r="CG565" s="190"/>
      <c r="CH565" s="189"/>
      <c r="CI565" s="189"/>
      <c r="CJ565" s="189"/>
      <c r="CK565" s="189"/>
      <c r="CL565" s="189"/>
      <c r="CM565" s="189"/>
      <c r="CN565" s="189"/>
      <c r="CO565" s="189"/>
      <c r="CP565" s="189"/>
      <c r="CQ565" s="189"/>
      <c r="CR565" s="189"/>
      <c r="CS565" s="189"/>
      <c r="CT565" s="673"/>
      <c r="CU565" s="522"/>
      <c r="CV565" s="522"/>
    </row>
    <row r="566" spans="1:100" ht="70.5" customHeight="1" x14ac:dyDescent="0.25">
      <c r="A566" s="18"/>
      <c r="B566" s="19"/>
      <c r="C566" s="949">
        <v>22</v>
      </c>
      <c r="D566" s="475" t="s">
        <v>683</v>
      </c>
      <c r="E566" s="582" t="s">
        <v>603</v>
      </c>
      <c r="F566" s="582" t="s">
        <v>684</v>
      </c>
      <c r="G566" s="22"/>
      <c r="H566" s="927">
        <v>132</v>
      </c>
      <c r="I566" s="928" t="s">
        <v>685</v>
      </c>
      <c r="J566" s="929" t="s">
        <v>30</v>
      </c>
      <c r="K566" s="502">
        <v>8</v>
      </c>
      <c r="L566" s="502">
        <v>12</v>
      </c>
      <c r="M566" s="1021" t="s">
        <v>670</v>
      </c>
      <c r="N566" s="1017" t="s">
        <v>686</v>
      </c>
      <c r="O566" s="1012" t="s">
        <v>687</v>
      </c>
      <c r="P566" s="929" t="s">
        <v>34</v>
      </c>
      <c r="Q566" s="25">
        <v>0</v>
      </c>
      <c r="R566" s="25"/>
      <c r="S566" s="25"/>
      <c r="T566" s="25">
        <v>0</v>
      </c>
      <c r="U566" s="25"/>
      <c r="V566" s="25"/>
      <c r="W566" s="25">
        <v>0</v>
      </c>
      <c r="X566" s="25"/>
      <c r="Y566" s="25"/>
      <c r="Z566" s="25">
        <v>0</v>
      </c>
      <c r="AA566" s="25"/>
      <c r="AB566" s="25"/>
      <c r="AC566" s="25">
        <v>0</v>
      </c>
      <c r="AD566" s="25"/>
      <c r="AE566" s="25"/>
      <c r="AF566" s="25">
        <v>0</v>
      </c>
      <c r="AG566" s="25"/>
      <c r="AH566" s="25"/>
      <c r="AI566" s="25">
        <v>0</v>
      </c>
      <c r="AJ566" s="25"/>
      <c r="AK566" s="25"/>
      <c r="AL566" s="13">
        <v>43100000</v>
      </c>
      <c r="AM566" s="13">
        <v>43100000</v>
      </c>
      <c r="AN566" s="13">
        <v>43100000</v>
      </c>
      <c r="AO566" s="13"/>
      <c r="AP566" s="13"/>
      <c r="AQ566" s="13"/>
      <c r="AR566" s="13"/>
      <c r="AS566" s="13"/>
      <c r="AT566" s="13"/>
      <c r="AU566" s="25">
        <v>0</v>
      </c>
      <c r="AV566" s="25"/>
      <c r="AW566" s="25"/>
      <c r="AX566" s="25"/>
      <c r="AY566" s="25"/>
      <c r="AZ566" s="25"/>
      <c r="BA566" s="319">
        <v>0</v>
      </c>
      <c r="BB566" s="319"/>
      <c r="BC566" s="319"/>
      <c r="BD566" s="319">
        <v>0</v>
      </c>
      <c r="BE566" s="319"/>
      <c r="BF566" s="319"/>
      <c r="BG566" s="250"/>
      <c r="BH566" s="250"/>
      <c r="BI566" s="250"/>
      <c r="BJ566" s="250"/>
      <c r="BK566" s="250"/>
      <c r="BL566" s="250"/>
      <c r="BM566" s="250"/>
      <c r="BN566" s="250"/>
      <c r="BO566" s="250"/>
      <c r="BP566" s="250"/>
      <c r="BQ566" s="250"/>
      <c r="BR566" s="250"/>
      <c r="BS566" s="250"/>
      <c r="BT566" s="250"/>
      <c r="BU566" s="250"/>
      <c r="BV566" s="250"/>
      <c r="BW566" s="250"/>
      <c r="BX566" s="250"/>
      <c r="BY566" s="319">
        <v>0</v>
      </c>
      <c r="BZ566" s="319"/>
      <c r="CA566" s="319"/>
      <c r="CB566" s="319">
        <v>0</v>
      </c>
      <c r="CC566" s="319"/>
      <c r="CD566" s="319"/>
      <c r="CE566" s="496">
        <v>0</v>
      </c>
      <c r="CF566" s="496"/>
      <c r="CG566" s="496"/>
      <c r="CH566" s="497"/>
      <c r="CI566" s="497"/>
      <c r="CJ566" s="497"/>
      <c r="CK566" s="319">
        <v>0</v>
      </c>
      <c r="CL566" s="288"/>
      <c r="CM566" s="288"/>
      <c r="CN566" s="288">
        <v>0</v>
      </c>
      <c r="CO566" s="288"/>
      <c r="CP566" s="288"/>
      <c r="CQ566" s="288"/>
      <c r="CR566" s="288"/>
      <c r="CS566" s="288"/>
      <c r="CT566" s="886">
        <f t="shared" ref="CT566:CV569" si="306">Q566+T566+W566+Z566+AC566+AF566+AI566+AL566+AO566+AR566+AU566+AX566+BA566+BD566+BG566+BJ566+BM566+BP566+BS566+BV566+BY566+CB566+CE566+CH566+CK566+CQ566+CN566</f>
        <v>43100000</v>
      </c>
      <c r="CU566" s="25">
        <f t="shared" si="306"/>
        <v>43100000</v>
      </c>
      <c r="CV566" s="25">
        <f t="shared" si="306"/>
        <v>43100000</v>
      </c>
    </row>
    <row r="567" spans="1:100" ht="83.25" customHeight="1" x14ac:dyDescent="0.25">
      <c r="A567" s="18"/>
      <c r="B567" s="19"/>
      <c r="C567" s="949">
        <v>31</v>
      </c>
      <c r="D567" s="503" t="s">
        <v>905</v>
      </c>
      <c r="E567" s="476">
        <v>0.249</v>
      </c>
      <c r="F567" s="504">
        <v>0.2</v>
      </c>
      <c r="G567" s="28"/>
      <c r="H567" s="927">
        <v>133</v>
      </c>
      <c r="I567" s="928" t="s">
        <v>688</v>
      </c>
      <c r="J567" s="929">
        <v>0</v>
      </c>
      <c r="K567" s="502">
        <v>12</v>
      </c>
      <c r="L567" s="502">
        <v>12</v>
      </c>
      <c r="M567" s="1023"/>
      <c r="N567" s="1018"/>
      <c r="O567" s="1020"/>
      <c r="P567" s="929" t="s">
        <v>38</v>
      </c>
      <c r="Q567" s="25">
        <v>0</v>
      </c>
      <c r="R567" s="25"/>
      <c r="S567" s="25"/>
      <c r="T567" s="25">
        <v>0</v>
      </c>
      <c r="U567" s="25"/>
      <c r="V567" s="25"/>
      <c r="W567" s="25">
        <v>0</v>
      </c>
      <c r="X567" s="25"/>
      <c r="Y567" s="25"/>
      <c r="Z567" s="25">
        <v>0</v>
      </c>
      <c r="AA567" s="25"/>
      <c r="AB567" s="25"/>
      <c r="AC567" s="25">
        <v>0</v>
      </c>
      <c r="AD567" s="25"/>
      <c r="AE567" s="25"/>
      <c r="AF567" s="25">
        <v>0</v>
      </c>
      <c r="AG567" s="25"/>
      <c r="AH567" s="25"/>
      <c r="AI567" s="25">
        <v>0</v>
      </c>
      <c r="AJ567" s="25"/>
      <c r="AK567" s="25"/>
      <c r="AL567" s="13">
        <v>25750000</v>
      </c>
      <c r="AM567" s="13">
        <v>25750000</v>
      </c>
      <c r="AN567" s="13">
        <v>25750000</v>
      </c>
      <c r="AO567" s="13"/>
      <c r="AP567" s="13"/>
      <c r="AQ567" s="13"/>
      <c r="AR567" s="13"/>
      <c r="AS567" s="13"/>
      <c r="AT567" s="13"/>
      <c r="AU567" s="25">
        <v>0</v>
      </c>
      <c r="AV567" s="25"/>
      <c r="AW567" s="25"/>
      <c r="AX567" s="25"/>
      <c r="AY567" s="25"/>
      <c r="AZ567" s="25"/>
      <c r="BA567" s="319">
        <v>0</v>
      </c>
      <c r="BB567" s="319"/>
      <c r="BC567" s="319"/>
      <c r="BD567" s="319">
        <v>0</v>
      </c>
      <c r="BE567" s="319"/>
      <c r="BF567" s="319"/>
      <c r="BG567" s="250"/>
      <c r="BH567" s="250"/>
      <c r="BI567" s="250"/>
      <c r="BJ567" s="250"/>
      <c r="BK567" s="250"/>
      <c r="BL567" s="250"/>
      <c r="BM567" s="250"/>
      <c r="BN567" s="250"/>
      <c r="BO567" s="250"/>
      <c r="BP567" s="250"/>
      <c r="BQ567" s="250"/>
      <c r="BR567" s="250"/>
      <c r="BS567" s="250"/>
      <c r="BT567" s="250"/>
      <c r="BU567" s="250"/>
      <c r="BV567" s="250"/>
      <c r="BW567" s="250"/>
      <c r="BX567" s="250"/>
      <c r="BY567" s="319">
        <v>0</v>
      </c>
      <c r="BZ567" s="319"/>
      <c r="CA567" s="319"/>
      <c r="CB567" s="319">
        <v>0</v>
      </c>
      <c r="CC567" s="319"/>
      <c r="CD567" s="319"/>
      <c r="CE567" s="496">
        <v>0</v>
      </c>
      <c r="CF567" s="496"/>
      <c r="CG567" s="496"/>
      <c r="CH567" s="497"/>
      <c r="CI567" s="497"/>
      <c r="CJ567" s="497"/>
      <c r="CK567" s="319">
        <v>0</v>
      </c>
      <c r="CL567" s="288"/>
      <c r="CM567" s="288"/>
      <c r="CN567" s="288">
        <v>0</v>
      </c>
      <c r="CO567" s="288"/>
      <c r="CP567" s="288"/>
      <c r="CQ567" s="288"/>
      <c r="CR567" s="288"/>
      <c r="CS567" s="288"/>
      <c r="CT567" s="886">
        <f t="shared" si="306"/>
        <v>25750000</v>
      </c>
      <c r="CU567" s="25">
        <f t="shared" si="306"/>
        <v>25750000</v>
      </c>
      <c r="CV567" s="25">
        <f t="shared" si="306"/>
        <v>25750000</v>
      </c>
    </row>
    <row r="568" spans="1:100" ht="76.5" customHeight="1" x14ac:dyDescent="0.25">
      <c r="A568" s="18"/>
      <c r="B568" s="19"/>
      <c r="C568" s="930">
        <v>33</v>
      </c>
      <c r="D568" s="958" t="s">
        <v>689</v>
      </c>
      <c r="E568" s="963">
        <v>0</v>
      </c>
      <c r="F568" s="914">
        <v>0</v>
      </c>
      <c r="G568" s="28"/>
      <c r="H568" s="929">
        <v>134</v>
      </c>
      <c r="I568" s="928" t="s">
        <v>690</v>
      </c>
      <c r="J568" s="52">
        <v>3600</v>
      </c>
      <c r="K568" s="502">
        <v>4800</v>
      </c>
      <c r="L568" s="502">
        <v>4483</v>
      </c>
      <c r="M568" s="1023"/>
      <c r="N568" s="1018"/>
      <c r="O568" s="1020"/>
      <c r="P568" s="929" t="s">
        <v>38</v>
      </c>
      <c r="Q568" s="25">
        <v>0</v>
      </c>
      <c r="R568" s="25"/>
      <c r="S568" s="25"/>
      <c r="T568" s="25">
        <v>0</v>
      </c>
      <c r="U568" s="25"/>
      <c r="V568" s="25"/>
      <c r="W568" s="25">
        <v>0</v>
      </c>
      <c r="X568" s="25"/>
      <c r="Y568" s="25"/>
      <c r="Z568" s="25">
        <v>0</v>
      </c>
      <c r="AA568" s="25"/>
      <c r="AB568" s="25"/>
      <c r="AC568" s="25">
        <v>0</v>
      </c>
      <c r="AD568" s="25"/>
      <c r="AE568" s="25"/>
      <c r="AF568" s="25">
        <v>0</v>
      </c>
      <c r="AG568" s="25"/>
      <c r="AH568" s="25"/>
      <c r="AI568" s="25">
        <v>0</v>
      </c>
      <c r="AJ568" s="25"/>
      <c r="AK568" s="25"/>
      <c r="AL568" s="13">
        <v>71700000</v>
      </c>
      <c r="AM568" s="13">
        <v>69508000</v>
      </c>
      <c r="AN568" s="13">
        <v>69508000</v>
      </c>
      <c r="AO568" s="13"/>
      <c r="AP568" s="13"/>
      <c r="AQ568" s="13"/>
      <c r="AR568" s="13"/>
      <c r="AS568" s="13"/>
      <c r="AT568" s="13"/>
      <c r="AU568" s="25">
        <v>0</v>
      </c>
      <c r="AV568" s="25"/>
      <c r="AW568" s="25"/>
      <c r="AX568" s="25"/>
      <c r="AY568" s="25"/>
      <c r="AZ568" s="25"/>
      <c r="BA568" s="319">
        <v>0</v>
      </c>
      <c r="BB568" s="319"/>
      <c r="BC568" s="319"/>
      <c r="BD568" s="319">
        <v>0</v>
      </c>
      <c r="BE568" s="319"/>
      <c r="BF568" s="319"/>
      <c r="BG568" s="250"/>
      <c r="BH568" s="250"/>
      <c r="BI568" s="250"/>
      <c r="BJ568" s="250"/>
      <c r="BK568" s="250"/>
      <c r="BL568" s="250"/>
      <c r="BM568" s="250"/>
      <c r="BN568" s="250"/>
      <c r="BO568" s="250"/>
      <c r="BP568" s="250"/>
      <c r="BQ568" s="250"/>
      <c r="BR568" s="250"/>
      <c r="BS568" s="250"/>
      <c r="BT568" s="250"/>
      <c r="BU568" s="250"/>
      <c r="BV568" s="250"/>
      <c r="BW568" s="250"/>
      <c r="BX568" s="250"/>
      <c r="BY568" s="319">
        <v>0</v>
      </c>
      <c r="BZ568" s="319"/>
      <c r="CA568" s="319"/>
      <c r="CB568" s="319">
        <v>0</v>
      </c>
      <c r="CC568" s="319"/>
      <c r="CD568" s="319"/>
      <c r="CE568" s="496">
        <v>0</v>
      </c>
      <c r="CF568" s="496"/>
      <c r="CG568" s="496"/>
      <c r="CH568" s="497"/>
      <c r="CI568" s="497"/>
      <c r="CJ568" s="497"/>
      <c r="CK568" s="319">
        <v>0</v>
      </c>
      <c r="CL568" s="288"/>
      <c r="CM568" s="288"/>
      <c r="CN568" s="288">
        <v>0</v>
      </c>
      <c r="CO568" s="288"/>
      <c r="CP568" s="288"/>
      <c r="CQ568" s="288"/>
      <c r="CR568" s="288"/>
      <c r="CS568" s="288"/>
      <c r="CT568" s="886">
        <f t="shared" si="306"/>
        <v>71700000</v>
      </c>
      <c r="CU568" s="25">
        <f t="shared" si="306"/>
        <v>69508000</v>
      </c>
      <c r="CV568" s="25">
        <f t="shared" si="306"/>
        <v>69508000</v>
      </c>
    </row>
    <row r="569" spans="1:100" ht="84.75" customHeight="1" x14ac:dyDescent="0.25">
      <c r="A569" s="18"/>
      <c r="B569" s="19"/>
      <c r="C569" s="921">
        <v>31</v>
      </c>
      <c r="D569" s="928" t="s">
        <v>608</v>
      </c>
      <c r="E569" s="505">
        <v>0.249</v>
      </c>
      <c r="F569" s="79">
        <v>0.2</v>
      </c>
      <c r="G569" s="29"/>
      <c r="H569" s="929">
        <v>135</v>
      </c>
      <c r="I569" s="928" t="s">
        <v>691</v>
      </c>
      <c r="J569" s="52">
        <v>12</v>
      </c>
      <c r="K569" s="502">
        <v>12</v>
      </c>
      <c r="L569" s="502">
        <v>12</v>
      </c>
      <c r="M569" s="1022"/>
      <c r="N569" s="1019"/>
      <c r="O569" s="1013"/>
      <c r="P569" s="929" t="s">
        <v>38</v>
      </c>
      <c r="Q569" s="25"/>
      <c r="R569" s="25"/>
      <c r="S569" s="25"/>
      <c r="T569" s="25"/>
      <c r="U569" s="25"/>
      <c r="V569" s="25"/>
      <c r="W569" s="25"/>
      <c r="X569" s="25"/>
      <c r="Y569" s="25"/>
      <c r="Z569" s="25"/>
      <c r="AA569" s="25"/>
      <c r="AB569" s="25"/>
      <c r="AC569" s="25"/>
      <c r="AD569" s="25"/>
      <c r="AE569" s="25"/>
      <c r="AF569" s="25"/>
      <c r="AG569" s="25"/>
      <c r="AH569" s="25"/>
      <c r="AI569" s="25"/>
      <c r="AJ569" s="25"/>
      <c r="AK569" s="25"/>
      <c r="AL569" s="13">
        <v>8050000</v>
      </c>
      <c r="AM569" s="13">
        <v>8050000</v>
      </c>
      <c r="AN569" s="13">
        <v>8050000</v>
      </c>
      <c r="AO569" s="13"/>
      <c r="AP569" s="13"/>
      <c r="AQ569" s="13"/>
      <c r="AR569" s="13"/>
      <c r="AS569" s="13"/>
      <c r="AT569" s="13"/>
      <c r="AU569" s="25"/>
      <c r="AV569" s="25"/>
      <c r="AW569" s="25"/>
      <c r="AX569" s="25"/>
      <c r="AY569" s="25"/>
      <c r="AZ569" s="25"/>
      <c r="BA569" s="319"/>
      <c r="BB569" s="319"/>
      <c r="BC569" s="319"/>
      <c r="BD569" s="319"/>
      <c r="BE569" s="319"/>
      <c r="BF569" s="319"/>
      <c r="BG569" s="250"/>
      <c r="BH569" s="250"/>
      <c r="BI569" s="250"/>
      <c r="BJ569" s="250"/>
      <c r="BK569" s="250"/>
      <c r="BL569" s="250"/>
      <c r="BM569" s="250"/>
      <c r="BN569" s="250"/>
      <c r="BO569" s="250"/>
      <c r="BP569" s="250"/>
      <c r="BQ569" s="250"/>
      <c r="BR569" s="250"/>
      <c r="BS569" s="250"/>
      <c r="BT569" s="250"/>
      <c r="BU569" s="250"/>
      <c r="BV569" s="250"/>
      <c r="BW569" s="250"/>
      <c r="BX569" s="250"/>
      <c r="BY569" s="319"/>
      <c r="BZ569" s="319"/>
      <c r="CA569" s="319"/>
      <c r="CB569" s="319"/>
      <c r="CC569" s="319"/>
      <c r="CD569" s="319"/>
      <c r="CE569" s="496"/>
      <c r="CF569" s="496"/>
      <c r="CG569" s="496"/>
      <c r="CH569" s="497"/>
      <c r="CI569" s="497"/>
      <c r="CJ569" s="497"/>
      <c r="CK569" s="319">
        <v>0</v>
      </c>
      <c r="CL569" s="724"/>
      <c r="CM569" s="724"/>
      <c r="CN569" s="106"/>
      <c r="CO569" s="106"/>
      <c r="CP569" s="106"/>
      <c r="CQ569" s="25"/>
      <c r="CR569" s="25"/>
      <c r="CS569" s="25"/>
      <c r="CT569" s="886">
        <f t="shared" si="306"/>
        <v>8050000</v>
      </c>
      <c r="CU569" s="25">
        <f t="shared" si="306"/>
        <v>8050000</v>
      </c>
      <c r="CV569" s="25">
        <f t="shared" si="306"/>
        <v>8050000</v>
      </c>
    </row>
    <row r="570" spans="1:100" ht="15" x14ac:dyDescent="0.25">
      <c r="A570" s="18"/>
      <c r="B570" s="19"/>
      <c r="C570" s="927"/>
      <c r="D570" s="954"/>
      <c r="E570" s="945"/>
      <c r="F570" s="945"/>
      <c r="G570" s="154"/>
      <c r="H570" s="155"/>
      <c r="I570" s="154"/>
      <c r="J570" s="506"/>
      <c r="K570" s="506"/>
      <c r="L570" s="506"/>
      <c r="M570" s="506"/>
      <c r="N570" s="157"/>
      <c r="O570" s="154"/>
      <c r="P570" s="155"/>
      <c r="Q570" s="158">
        <f>SUM(Q566:Q569)</f>
        <v>0</v>
      </c>
      <c r="R570" s="158">
        <f t="shared" ref="R570:CB570" si="307">SUM(R566:R569)</f>
        <v>0</v>
      </c>
      <c r="S570" s="158">
        <f t="shared" si="307"/>
        <v>0</v>
      </c>
      <c r="T570" s="158">
        <f t="shared" si="307"/>
        <v>0</v>
      </c>
      <c r="U570" s="158">
        <f t="shared" si="307"/>
        <v>0</v>
      </c>
      <c r="V570" s="158">
        <f t="shared" si="307"/>
        <v>0</v>
      </c>
      <c r="W570" s="158">
        <f t="shared" si="307"/>
        <v>0</v>
      </c>
      <c r="X570" s="158">
        <f t="shared" si="307"/>
        <v>0</v>
      </c>
      <c r="Y570" s="158">
        <f t="shared" si="307"/>
        <v>0</v>
      </c>
      <c r="Z570" s="158">
        <f t="shared" si="307"/>
        <v>0</v>
      </c>
      <c r="AA570" s="158">
        <f t="shared" si="307"/>
        <v>0</v>
      </c>
      <c r="AB570" s="158">
        <f t="shared" si="307"/>
        <v>0</v>
      </c>
      <c r="AC570" s="158">
        <f t="shared" si="307"/>
        <v>0</v>
      </c>
      <c r="AD570" s="158">
        <f t="shared" si="307"/>
        <v>0</v>
      </c>
      <c r="AE570" s="158">
        <f t="shared" si="307"/>
        <v>0</v>
      </c>
      <c r="AF570" s="158">
        <f t="shared" si="307"/>
        <v>0</v>
      </c>
      <c r="AG570" s="158">
        <f t="shared" si="307"/>
        <v>0</v>
      </c>
      <c r="AH570" s="158">
        <f t="shared" si="307"/>
        <v>0</v>
      </c>
      <c r="AI570" s="158">
        <f t="shared" si="307"/>
        <v>0</v>
      </c>
      <c r="AJ570" s="158">
        <f t="shared" si="307"/>
        <v>0</v>
      </c>
      <c r="AK570" s="158">
        <f t="shared" si="307"/>
        <v>0</v>
      </c>
      <c r="AL570" s="158">
        <f t="shared" si="307"/>
        <v>148600000</v>
      </c>
      <c r="AM570" s="158">
        <f t="shared" si="307"/>
        <v>146408000</v>
      </c>
      <c r="AN570" s="158">
        <f t="shared" si="307"/>
        <v>146408000</v>
      </c>
      <c r="AO570" s="158">
        <f t="shared" si="307"/>
        <v>0</v>
      </c>
      <c r="AP570" s="158">
        <f t="shared" si="307"/>
        <v>0</v>
      </c>
      <c r="AQ570" s="158">
        <f t="shared" si="307"/>
        <v>0</v>
      </c>
      <c r="AR570" s="158">
        <f t="shared" si="307"/>
        <v>0</v>
      </c>
      <c r="AS570" s="158">
        <f t="shared" si="307"/>
        <v>0</v>
      </c>
      <c r="AT570" s="158">
        <f t="shared" si="307"/>
        <v>0</v>
      </c>
      <c r="AU570" s="158">
        <f t="shared" si="307"/>
        <v>0</v>
      </c>
      <c r="AV570" s="158">
        <f t="shared" si="307"/>
        <v>0</v>
      </c>
      <c r="AW570" s="158">
        <f t="shared" si="307"/>
        <v>0</v>
      </c>
      <c r="AX570" s="158">
        <f t="shared" si="307"/>
        <v>0</v>
      </c>
      <c r="AY570" s="158">
        <f t="shared" si="307"/>
        <v>0</v>
      </c>
      <c r="AZ570" s="158">
        <f t="shared" si="307"/>
        <v>0</v>
      </c>
      <c r="BA570" s="158">
        <f t="shared" si="307"/>
        <v>0</v>
      </c>
      <c r="BB570" s="158">
        <f t="shared" si="307"/>
        <v>0</v>
      </c>
      <c r="BC570" s="158">
        <f t="shared" si="307"/>
        <v>0</v>
      </c>
      <c r="BD570" s="158">
        <f t="shared" si="307"/>
        <v>0</v>
      </c>
      <c r="BE570" s="158">
        <f t="shared" si="307"/>
        <v>0</v>
      </c>
      <c r="BF570" s="158">
        <f t="shared" si="307"/>
        <v>0</v>
      </c>
      <c r="BG570" s="158">
        <f t="shared" si="307"/>
        <v>0</v>
      </c>
      <c r="BH570" s="158">
        <f t="shared" si="307"/>
        <v>0</v>
      </c>
      <c r="BI570" s="158">
        <f t="shared" si="307"/>
        <v>0</v>
      </c>
      <c r="BJ570" s="158">
        <f t="shared" si="307"/>
        <v>0</v>
      </c>
      <c r="BK570" s="158">
        <f t="shared" si="307"/>
        <v>0</v>
      </c>
      <c r="BL570" s="158">
        <f t="shared" si="307"/>
        <v>0</v>
      </c>
      <c r="BM570" s="158">
        <f t="shared" si="307"/>
        <v>0</v>
      </c>
      <c r="BN570" s="158">
        <f t="shared" si="307"/>
        <v>0</v>
      </c>
      <c r="BO570" s="158">
        <f t="shared" si="307"/>
        <v>0</v>
      </c>
      <c r="BP570" s="158">
        <f t="shared" si="307"/>
        <v>0</v>
      </c>
      <c r="BQ570" s="158">
        <f t="shared" si="307"/>
        <v>0</v>
      </c>
      <c r="BR570" s="158">
        <f t="shared" si="307"/>
        <v>0</v>
      </c>
      <c r="BS570" s="158">
        <f t="shared" si="307"/>
        <v>0</v>
      </c>
      <c r="BT570" s="158">
        <f t="shared" si="307"/>
        <v>0</v>
      </c>
      <c r="BU570" s="158">
        <f t="shared" si="307"/>
        <v>0</v>
      </c>
      <c r="BV570" s="158">
        <f t="shared" si="307"/>
        <v>0</v>
      </c>
      <c r="BW570" s="158">
        <f t="shared" si="307"/>
        <v>0</v>
      </c>
      <c r="BX570" s="158">
        <f t="shared" si="307"/>
        <v>0</v>
      </c>
      <c r="BY570" s="158">
        <f t="shared" si="307"/>
        <v>0</v>
      </c>
      <c r="BZ570" s="158">
        <f t="shared" si="307"/>
        <v>0</v>
      </c>
      <c r="CA570" s="158">
        <f t="shared" si="307"/>
        <v>0</v>
      </c>
      <c r="CB570" s="158">
        <f t="shared" si="307"/>
        <v>0</v>
      </c>
      <c r="CC570" s="158">
        <f t="shared" ref="CC570:CS570" si="308">SUM(CC566:CC569)</f>
        <v>0</v>
      </c>
      <c r="CD570" s="158">
        <f t="shared" si="308"/>
        <v>0</v>
      </c>
      <c r="CE570" s="158">
        <f t="shared" si="308"/>
        <v>0</v>
      </c>
      <c r="CF570" s="158">
        <f t="shared" si="308"/>
        <v>0</v>
      </c>
      <c r="CG570" s="158">
        <f t="shared" si="308"/>
        <v>0</v>
      </c>
      <c r="CH570" s="158">
        <f t="shared" si="308"/>
        <v>0</v>
      </c>
      <c r="CI570" s="158">
        <f t="shared" si="308"/>
        <v>0</v>
      </c>
      <c r="CJ570" s="158">
        <f t="shared" si="308"/>
        <v>0</v>
      </c>
      <c r="CK570" s="158">
        <f t="shared" si="308"/>
        <v>0</v>
      </c>
      <c r="CL570" s="158">
        <f t="shared" si="308"/>
        <v>0</v>
      </c>
      <c r="CM570" s="158">
        <f t="shared" si="308"/>
        <v>0</v>
      </c>
      <c r="CN570" s="158">
        <f t="shared" si="308"/>
        <v>0</v>
      </c>
      <c r="CO570" s="158">
        <f t="shared" si="308"/>
        <v>0</v>
      </c>
      <c r="CP570" s="158">
        <f t="shared" si="308"/>
        <v>0</v>
      </c>
      <c r="CQ570" s="158">
        <f t="shared" si="308"/>
        <v>0</v>
      </c>
      <c r="CR570" s="158">
        <f t="shared" si="308"/>
        <v>0</v>
      </c>
      <c r="CS570" s="158">
        <f t="shared" si="308"/>
        <v>0</v>
      </c>
      <c r="CT570" s="394">
        <f>SUM(CT566:CT569)</f>
        <v>148600000</v>
      </c>
      <c r="CU570" s="158">
        <f>SUM(CU566:CU569)</f>
        <v>146408000</v>
      </c>
      <c r="CV570" s="158">
        <f>SUM(CV566:CV569)</f>
        <v>146408000</v>
      </c>
    </row>
    <row r="571" spans="1:100" ht="15" x14ac:dyDescent="0.25">
      <c r="A571" s="18"/>
      <c r="B571" s="19"/>
      <c r="C571" s="949"/>
      <c r="D571" s="177"/>
      <c r="E571" s="949"/>
      <c r="F571" s="949"/>
      <c r="G571" s="177"/>
      <c r="H571" s="949"/>
      <c r="I571" s="177"/>
      <c r="J571" s="949"/>
      <c r="K571" s="949"/>
      <c r="L571" s="930"/>
      <c r="M571" s="930"/>
      <c r="N571" s="230"/>
      <c r="O571" s="221"/>
      <c r="P571" s="949"/>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c r="BZ571" s="180"/>
      <c r="CA571" s="180"/>
      <c r="CB571" s="180"/>
      <c r="CC571" s="180"/>
      <c r="CD571" s="180"/>
      <c r="CE571" s="182"/>
      <c r="CF571" s="182"/>
      <c r="CG571" s="182"/>
      <c r="CH571" s="183"/>
      <c r="CI571" s="183"/>
      <c r="CJ571" s="183"/>
      <c r="CK571" s="180"/>
      <c r="CL571" s="180"/>
      <c r="CM571" s="180"/>
      <c r="CN571" s="180"/>
      <c r="CO571" s="180"/>
      <c r="CP571" s="180"/>
      <c r="CQ571" s="180"/>
      <c r="CR571" s="180"/>
      <c r="CS571" s="180"/>
      <c r="CT571" s="886"/>
      <c r="CU571" s="516"/>
      <c r="CV571" s="516"/>
    </row>
    <row r="572" spans="1:100" ht="15" x14ac:dyDescent="0.25">
      <c r="A572" s="18"/>
      <c r="B572" s="19"/>
      <c r="C572" s="949"/>
      <c r="D572" s="153"/>
      <c r="E572" s="581"/>
      <c r="F572" s="581"/>
      <c r="G572" s="339">
        <v>38</v>
      </c>
      <c r="H572" s="189" t="s">
        <v>692</v>
      </c>
      <c r="I572" s="189"/>
      <c r="J572" s="189"/>
      <c r="K572" s="189"/>
      <c r="L572" s="189"/>
      <c r="M572" s="189"/>
      <c r="N572" s="189"/>
      <c r="O572" s="189"/>
      <c r="P572" s="189"/>
      <c r="Q572" s="189"/>
      <c r="R572" s="922"/>
      <c r="S572" s="922"/>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c r="BL572" s="189"/>
      <c r="BM572" s="189"/>
      <c r="BN572" s="189"/>
      <c r="BO572" s="189"/>
      <c r="BP572" s="189"/>
      <c r="BQ572" s="189"/>
      <c r="BR572" s="189"/>
      <c r="BS572" s="189"/>
      <c r="BT572" s="189"/>
      <c r="BU572" s="189"/>
      <c r="BV572" s="189"/>
      <c r="BW572" s="189"/>
      <c r="BX572" s="189"/>
      <c r="BY572" s="189"/>
      <c r="BZ572" s="189"/>
      <c r="CA572" s="189"/>
      <c r="CB572" s="189"/>
      <c r="CC572" s="189"/>
      <c r="CD572" s="189"/>
      <c r="CE572" s="190"/>
      <c r="CF572" s="190"/>
      <c r="CG572" s="190"/>
      <c r="CH572" s="189"/>
      <c r="CI572" s="189"/>
      <c r="CJ572" s="189"/>
      <c r="CK572" s="189"/>
      <c r="CL572" s="189"/>
      <c r="CM572" s="189"/>
      <c r="CN572" s="189"/>
      <c r="CO572" s="189"/>
      <c r="CP572" s="189"/>
      <c r="CQ572" s="189"/>
      <c r="CR572" s="189"/>
      <c r="CS572" s="189"/>
      <c r="CT572" s="673"/>
      <c r="CU572" s="522"/>
      <c r="CV572" s="522"/>
    </row>
    <row r="573" spans="1:100" ht="93" customHeight="1" x14ac:dyDescent="0.25">
      <c r="A573" s="18"/>
      <c r="B573" s="19"/>
      <c r="C573" s="1067">
        <v>22</v>
      </c>
      <c r="D573" s="1027" t="s">
        <v>602</v>
      </c>
      <c r="E573" s="1027" t="s">
        <v>603</v>
      </c>
      <c r="F573" s="1094" t="s">
        <v>604</v>
      </c>
      <c r="G573" s="507"/>
      <c r="H573" s="30">
        <v>136</v>
      </c>
      <c r="I573" s="928" t="s">
        <v>693</v>
      </c>
      <c r="J573" s="929" t="s">
        <v>30</v>
      </c>
      <c r="K573" s="508">
        <v>12</v>
      </c>
      <c r="L573" s="508">
        <v>12</v>
      </c>
      <c r="M573" s="1065" t="s">
        <v>670</v>
      </c>
      <c r="N573" s="1017" t="s">
        <v>694</v>
      </c>
      <c r="O573" s="1012" t="s">
        <v>695</v>
      </c>
      <c r="P573" s="929" t="s">
        <v>38</v>
      </c>
      <c r="Q573" s="25">
        <v>0</v>
      </c>
      <c r="R573" s="25"/>
      <c r="S573" s="25"/>
      <c r="T573" s="25">
        <v>0</v>
      </c>
      <c r="U573" s="25"/>
      <c r="V573" s="25"/>
      <c r="W573" s="25">
        <v>0</v>
      </c>
      <c r="X573" s="25"/>
      <c r="Y573" s="25"/>
      <c r="Z573" s="25">
        <v>0</v>
      </c>
      <c r="AA573" s="25"/>
      <c r="AB573" s="25"/>
      <c r="AC573" s="25">
        <v>0</v>
      </c>
      <c r="AD573" s="25"/>
      <c r="AE573" s="25"/>
      <c r="AF573" s="25">
        <v>0</v>
      </c>
      <c r="AG573" s="25"/>
      <c r="AH573" s="25"/>
      <c r="AI573" s="25">
        <v>0</v>
      </c>
      <c r="AJ573" s="25"/>
      <c r="AK573" s="25"/>
      <c r="AL573" s="13">
        <v>55750000</v>
      </c>
      <c r="AM573" s="13">
        <v>20628000</v>
      </c>
      <c r="AN573" s="13">
        <v>20628000</v>
      </c>
      <c r="AO573" s="13"/>
      <c r="AP573" s="13"/>
      <c r="AQ573" s="13"/>
      <c r="AR573" s="13"/>
      <c r="AS573" s="13"/>
      <c r="AT573" s="13"/>
      <c r="AU573" s="319">
        <v>0</v>
      </c>
      <c r="AV573" s="319"/>
      <c r="AW573" s="319"/>
      <c r="AX573" s="319"/>
      <c r="AY573" s="319"/>
      <c r="AZ573" s="319"/>
      <c r="BA573" s="319">
        <v>0</v>
      </c>
      <c r="BB573" s="319"/>
      <c r="BC573" s="319"/>
      <c r="BD573" s="319">
        <v>0</v>
      </c>
      <c r="BE573" s="319"/>
      <c r="BF573" s="319"/>
      <c r="BG573" s="250"/>
      <c r="BH573" s="250"/>
      <c r="BI573" s="250"/>
      <c r="BJ573" s="250"/>
      <c r="BK573" s="250"/>
      <c r="BL573" s="250"/>
      <c r="BM573" s="250"/>
      <c r="BN573" s="250"/>
      <c r="BO573" s="250"/>
      <c r="BP573" s="250"/>
      <c r="BQ573" s="250"/>
      <c r="BR573" s="250"/>
      <c r="BS573" s="250"/>
      <c r="BT573" s="250"/>
      <c r="BU573" s="250"/>
      <c r="BV573" s="250"/>
      <c r="BW573" s="250"/>
      <c r="BX573" s="250"/>
      <c r="BY573" s="319">
        <v>0</v>
      </c>
      <c r="BZ573" s="319"/>
      <c r="CA573" s="319"/>
      <c r="CB573" s="319">
        <v>0</v>
      </c>
      <c r="CC573" s="319"/>
      <c r="CD573" s="319"/>
      <c r="CE573" s="496">
        <v>0</v>
      </c>
      <c r="CF573" s="496"/>
      <c r="CG573" s="496"/>
      <c r="CH573" s="497"/>
      <c r="CI573" s="497"/>
      <c r="CJ573" s="497"/>
      <c r="CK573" s="319">
        <v>0</v>
      </c>
      <c r="CL573" s="288"/>
      <c r="CM573" s="288"/>
      <c r="CN573" s="288">
        <v>0</v>
      </c>
      <c r="CO573" s="288"/>
      <c r="CP573" s="288"/>
      <c r="CQ573" s="288"/>
      <c r="CR573" s="288"/>
      <c r="CS573" s="288"/>
      <c r="CT573" s="886">
        <f t="shared" ref="CT573:CV575" si="309">Q573+T573+W573+Z573+AC573+AF573+AI573+AL573+AO573+AR573+AU573+AX573+BA573+BD573+BG573+BJ573+BM573+BP573+BS573+BV573+BY573+CB573+CE573+CH573+CK573+CQ573+CN573</f>
        <v>55750000</v>
      </c>
      <c r="CU573" s="25">
        <f t="shared" si="309"/>
        <v>20628000</v>
      </c>
      <c r="CV573" s="25">
        <f t="shared" si="309"/>
        <v>20628000</v>
      </c>
    </row>
    <row r="574" spans="1:100" ht="57" x14ac:dyDescent="0.25">
      <c r="A574" s="18"/>
      <c r="B574" s="19"/>
      <c r="C574" s="1068"/>
      <c r="D574" s="1028"/>
      <c r="E574" s="1028"/>
      <c r="F574" s="1102"/>
      <c r="G574" s="375"/>
      <c r="H574" s="30">
        <v>137</v>
      </c>
      <c r="I574" s="928" t="s">
        <v>918</v>
      </c>
      <c r="J574" s="929">
        <v>0</v>
      </c>
      <c r="K574" s="508">
        <v>12</v>
      </c>
      <c r="L574" s="508">
        <v>12</v>
      </c>
      <c r="M574" s="1103"/>
      <c r="N574" s="1018"/>
      <c r="O574" s="1020"/>
      <c r="P574" s="929" t="s">
        <v>38</v>
      </c>
      <c r="Q574" s="25">
        <v>0</v>
      </c>
      <c r="R574" s="25"/>
      <c r="S574" s="25"/>
      <c r="T574" s="25">
        <v>0</v>
      </c>
      <c r="U574" s="25"/>
      <c r="V574" s="25"/>
      <c r="W574" s="25">
        <v>0</v>
      </c>
      <c r="X574" s="25"/>
      <c r="Y574" s="25"/>
      <c r="Z574" s="25">
        <v>0</v>
      </c>
      <c r="AA574" s="25"/>
      <c r="AB574" s="25"/>
      <c r="AC574" s="25">
        <v>0</v>
      </c>
      <c r="AD574" s="25"/>
      <c r="AE574" s="25"/>
      <c r="AF574" s="25">
        <v>0</v>
      </c>
      <c r="AG574" s="25"/>
      <c r="AH574" s="25"/>
      <c r="AI574" s="25">
        <v>0</v>
      </c>
      <c r="AJ574" s="25"/>
      <c r="AK574" s="25"/>
      <c r="AL574" s="3">
        <v>41200000</v>
      </c>
      <c r="AM574" s="3">
        <v>38560000</v>
      </c>
      <c r="AN574" s="3">
        <v>38560000</v>
      </c>
      <c r="AO574" s="13"/>
      <c r="AP574" s="13"/>
      <c r="AQ574" s="13"/>
      <c r="AR574" s="13"/>
      <c r="AS574" s="13"/>
      <c r="AT574" s="13"/>
      <c r="AU574" s="319">
        <v>0</v>
      </c>
      <c r="AV574" s="319"/>
      <c r="AW574" s="319"/>
      <c r="AX574" s="319"/>
      <c r="AY574" s="319"/>
      <c r="AZ574" s="319"/>
      <c r="BA574" s="319">
        <v>0</v>
      </c>
      <c r="BB574" s="319"/>
      <c r="BC574" s="319"/>
      <c r="BD574" s="319">
        <v>0</v>
      </c>
      <c r="BE574" s="319"/>
      <c r="BF574" s="319"/>
      <c r="BG574" s="250"/>
      <c r="BH574" s="250"/>
      <c r="BI574" s="250"/>
      <c r="BJ574" s="250"/>
      <c r="BK574" s="250"/>
      <c r="BL574" s="250"/>
      <c r="BM574" s="250"/>
      <c r="BN574" s="250"/>
      <c r="BO574" s="250"/>
      <c r="BP574" s="250"/>
      <c r="BQ574" s="250"/>
      <c r="BR574" s="250"/>
      <c r="BS574" s="250"/>
      <c r="BT574" s="250"/>
      <c r="BU574" s="250"/>
      <c r="BV574" s="250"/>
      <c r="BW574" s="250"/>
      <c r="BX574" s="250"/>
      <c r="BY574" s="319">
        <v>0</v>
      </c>
      <c r="BZ574" s="319"/>
      <c r="CA574" s="319"/>
      <c r="CB574" s="319">
        <v>0</v>
      </c>
      <c r="CC574" s="319"/>
      <c r="CD574" s="319"/>
      <c r="CE574" s="496">
        <v>0</v>
      </c>
      <c r="CF574" s="496"/>
      <c r="CG574" s="496"/>
      <c r="CH574" s="497"/>
      <c r="CI574" s="497"/>
      <c r="CJ574" s="497"/>
      <c r="CK574" s="319">
        <v>0</v>
      </c>
      <c r="CL574" s="288"/>
      <c r="CM574" s="288"/>
      <c r="CN574" s="288">
        <v>0</v>
      </c>
      <c r="CO574" s="288"/>
      <c r="CP574" s="288"/>
      <c r="CQ574" s="288"/>
      <c r="CR574" s="288"/>
      <c r="CS574" s="288"/>
      <c r="CT574" s="886">
        <f t="shared" si="309"/>
        <v>41200000</v>
      </c>
      <c r="CU574" s="25">
        <f t="shared" si="309"/>
        <v>38560000</v>
      </c>
      <c r="CV574" s="25">
        <f t="shared" si="309"/>
        <v>38560000</v>
      </c>
    </row>
    <row r="575" spans="1:100" ht="99.75" x14ac:dyDescent="0.25">
      <c r="A575" s="18"/>
      <c r="B575" s="19"/>
      <c r="C575" s="1069"/>
      <c r="D575" s="1101"/>
      <c r="E575" s="1101"/>
      <c r="F575" s="1095"/>
      <c r="G575" s="375"/>
      <c r="H575" s="30">
        <v>138</v>
      </c>
      <c r="I575" s="928" t="s">
        <v>696</v>
      </c>
      <c r="J575" s="929" t="s">
        <v>30</v>
      </c>
      <c r="K575" s="30">
        <v>12</v>
      </c>
      <c r="L575" s="30">
        <v>12</v>
      </c>
      <c r="M575" s="1066"/>
      <c r="N575" s="1019"/>
      <c r="O575" s="1013"/>
      <c r="P575" s="929" t="s">
        <v>38</v>
      </c>
      <c r="Q575" s="25">
        <v>0</v>
      </c>
      <c r="R575" s="25"/>
      <c r="S575" s="25"/>
      <c r="T575" s="25">
        <v>0</v>
      </c>
      <c r="U575" s="25"/>
      <c r="V575" s="25"/>
      <c r="W575" s="25">
        <v>0</v>
      </c>
      <c r="X575" s="25"/>
      <c r="Y575" s="25"/>
      <c r="Z575" s="25">
        <v>0</v>
      </c>
      <c r="AA575" s="25"/>
      <c r="AB575" s="25"/>
      <c r="AC575" s="25">
        <v>0</v>
      </c>
      <c r="AD575" s="25"/>
      <c r="AE575" s="25"/>
      <c r="AF575" s="25">
        <v>0</v>
      </c>
      <c r="AG575" s="25"/>
      <c r="AH575" s="25"/>
      <c r="AI575" s="25">
        <v>0</v>
      </c>
      <c r="AJ575" s="25"/>
      <c r="AK575" s="25"/>
      <c r="AL575" s="3">
        <v>25750000</v>
      </c>
      <c r="AM575" s="3">
        <v>21840000</v>
      </c>
      <c r="AN575" s="3">
        <v>21840000</v>
      </c>
      <c r="AO575" s="13"/>
      <c r="AP575" s="13"/>
      <c r="AQ575" s="13"/>
      <c r="AR575" s="13"/>
      <c r="AS575" s="13"/>
      <c r="AT575" s="13"/>
      <c r="AU575" s="319">
        <v>0</v>
      </c>
      <c r="AV575" s="319"/>
      <c r="AW575" s="319"/>
      <c r="AX575" s="319"/>
      <c r="AY575" s="319"/>
      <c r="AZ575" s="319"/>
      <c r="BA575" s="319">
        <v>0</v>
      </c>
      <c r="BB575" s="319"/>
      <c r="BC575" s="319"/>
      <c r="BD575" s="319">
        <v>0</v>
      </c>
      <c r="BE575" s="319"/>
      <c r="BF575" s="319"/>
      <c r="BG575" s="250"/>
      <c r="BH575" s="250"/>
      <c r="BI575" s="250"/>
      <c r="BJ575" s="250"/>
      <c r="BK575" s="250"/>
      <c r="BL575" s="250"/>
      <c r="BM575" s="250"/>
      <c r="BN575" s="250"/>
      <c r="BO575" s="250"/>
      <c r="BP575" s="250"/>
      <c r="BQ575" s="250"/>
      <c r="BR575" s="250"/>
      <c r="BS575" s="250"/>
      <c r="BT575" s="250"/>
      <c r="BU575" s="250"/>
      <c r="BV575" s="250"/>
      <c r="BW575" s="250"/>
      <c r="BX575" s="250"/>
      <c r="BY575" s="319">
        <v>0</v>
      </c>
      <c r="BZ575" s="319"/>
      <c r="CA575" s="319"/>
      <c r="CB575" s="319">
        <v>0</v>
      </c>
      <c r="CC575" s="319"/>
      <c r="CD575" s="319"/>
      <c r="CE575" s="496">
        <v>0</v>
      </c>
      <c r="CF575" s="496"/>
      <c r="CG575" s="496"/>
      <c r="CH575" s="497"/>
      <c r="CI575" s="497"/>
      <c r="CJ575" s="497"/>
      <c r="CK575" s="319">
        <v>0</v>
      </c>
      <c r="CL575" s="288"/>
      <c r="CM575" s="288"/>
      <c r="CN575" s="288">
        <v>0</v>
      </c>
      <c r="CO575" s="288"/>
      <c r="CP575" s="288"/>
      <c r="CQ575" s="288"/>
      <c r="CR575" s="288"/>
      <c r="CS575" s="288"/>
      <c r="CT575" s="886">
        <f t="shared" si="309"/>
        <v>25750000</v>
      </c>
      <c r="CU575" s="25">
        <f t="shared" si="309"/>
        <v>21840000</v>
      </c>
      <c r="CV575" s="25">
        <f t="shared" si="309"/>
        <v>21840000</v>
      </c>
    </row>
    <row r="576" spans="1:100" ht="15" x14ac:dyDescent="0.25">
      <c r="A576" s="18"/>
      <c r="B576" s="19"/>
      <c r="C576" s="927"/>
      <c r="D576" s="153"/>
      <c r="E576" s="581"/>
      <c r="F576" s="581"/>
      <c r="G576" s="298"/>
      <c r="H576" s="311"/>
      <c r="I576" s="154"/>
      <c r="J576" s="155"/>
      <c r="K576" s="311"/>
      <c r="L576" s="311"/>
      <c r="M576" s="311"/>
      <c r="N576" s="157"/>
      <c r="O576" s="361"/>
      <c r="P576" s="155"/>
      <c r="Q576" s="158">
        <f t="shared" ref="Q576:CB576" si="310">SUM(Q573:Q575)</f>
        <v>0</v>
      </c>
      <c r="R576" s="158">
        <f t="shared" si="310"/>
        <v>0</v>
      </c>
      <c r="S576" s="158">
        <f t="shared" si="310"/>
        <v>0</v>
      </c>
      <c r="T576" s="158">
        <f t="shared" si="310"/>
        <v>0</v>
      </c>
      <c r="U576" s="158">
        <f t="shared" si="310"/>
        <v>0</v>
      </c>
      <c r="V576" s="158">
        <f t="shared" si="310"/>
        <v>0</v>
      </c>
      <c r="W576" s="158">
        <f t="shared" si="310"/>
        <v>0</v>
      </c>
      <c r="X576" s="158">
        <f t="shared" si="310"/>
        <v>0</v>
      </c>
      <c r="Y576" s="158">
        <f t="shared" si="310"/>
        <v>0</v>
      </c>
      <c r="Z576" s="158">
        <f t="shared" si="310"/>
        <v>0</v>
      </c>
      <c r="AA576" s="158">
        <f t="shared" si="310"/>
        <v>0</v>
      </c>
      <c r="AB576" s="158">
        <f t="shared" si="310"/>
        <v>0</v>
      </c>
      <c r="AC576" s="158">
        <f t="shared" si="310"/>
        <v>0</v>
      </c>
      <c r="AD576" s="158">
        <f t="shared" si="310"/>
        <v>0</v>
      </c>
      <c r="AE576" s="158">
        <f t="shared" si="310"/>
        <v>0</v>
      </c>
      <c r="AF576" s="158">
        <f t="shared" si="310"/>
        <v>0</v>
      </c>
      <c r="AG576" s="158">
        <f t="shared" si="310"/>
        <v>0</v>
      </c>
      <c r="AH576" s="158">
        <f t="shared" si="310"/>
        <v>0</v>
      </c>
      <c r="AI576" s="158">
        <f t="shared" si="310"/>
        <v>0</v>
      </c>
      <c r="AJ576" s="158">
        <f t="shared" si="310"/>
        <v>0</v>
      </c>
      <c r="AK576" s="158">
        <f t="shared" si="310"/>
        <v>0</v>
      </c>
      <c r="AL576" s="158">
        <f t="shared" si="310"/>
        <v>122700000</v>
      </c>
      <c r="AM576" s="158">
        <f t="shared" si="310"/>
        <v>81028000</v>
      </c>
      <c r="AN576" s="158">
        <f t="shared" si="310"/>
        <v>81028000</v>
      </c>
      <c r="AO576" s="158">
        <f t="shared" si="310"/>
        <v>0</v>
      </c>
      <c r="AP576" s="158">
        <f t="shared" si="310"/>
        <v>0</v>
      </c>
      <c r="AQ576" s="158">
        <f t="shared" si="310"/>
        <v>0</v>
      </c>
      <c r="AR576" s="158">
        <f t="shared" si="310"/>
        <v>0</v>
      </c>
      <c r="AS576" s="158">
        <f t="shared" si="310"/>
        <v>0</v>
      </c>
      <c r="AT576" s="158">
        <f t="shared" si="310"/>
        <v>0</v>
      </c>
      <c r="AU576" s="158">
        <f t="shared" si="310"/>
        <v>0</v>
      </c>
      <c r="AV576" s="158">
        <f t="shared" si="310"/>
        <v>0</v>
      </c>
      <c r="AW576" s="158">
        <f t="shared" si="310"/>
        <v>0</v>
      </c>
      <c r="AX576" s="158">
        <f t="shared" si="310"/>
        <v>0</v>
      </c>
      <c r="AY576" s="158">
        <f t="shared" si="310"/>
        <v>0</v>
      </c>
      <c r="AZ576" s="158">
        <f t="shared" si="310"/>
        <v>0</v>
      </c>
      <c r="BA576" s="158">
        <f t="shared" si="310"/>
        <v>0</v>
      </c>
      <c r="BB576" s="158">
        <f t="shared" si="310"/>
        <v>0</v>
      </c>
      <c r="BC576" s="158">
        <f t="shared" si="310"/>
        <v>0</v>
      </c>
      <c r="BD576" s="158">
        <f t="shared" si="310"/>
        <v>0</v>
      </c>
      <c r="BE576" s="158">
        <f t="shared" si="310"/>
        <v>0</v>
      </c>
      <c r="BF576" s="158">
        <f t="shared" si="310"/>
        <v>0</v>
      </c>
      <c r="BG576" s="158">
        <f t="shared" si="310"/>
        <v>0</v>
      </c>
      <c r="BH576" s="158">
        <f t="shared" si="310"/>
        <v>0</v>
      </c>
      <c r="BI576" s="158">
        <f t="shared" si="310"/>
        <v>0</v>
      </c>
      <c r="BJ576" s="158">
        <f t="shared" si="310"/>
        <v>0</v>
      </c>
      <c r="BK576" s="158">
        <f t="shared" si="310"/>
        <v>0</v>
      </c>
      <c r="BL576" s="158">
        <f t="shared" si="310"/>
        <v>0</v>
      </c>
      <c r="BM576" s="158">
        <f t="shared" si="310"/>
        <v>0</v>
      </c>
      <c r="BN576" s="158">
        <f t="shared" si="310"/>
        <v>0</v>
      </c>
      <c r="BO576" s="158">
        <f t="shared" si="310"/>
        <v>0</v>
      </c>
      <c r="BP576" s="158">
        <f t="shared" si="310"/>
        <v>0</v>
      </c>
      <c r="BQ576" s="158">
        <f t="shared" si="310"/>
        <v>0</v>
      </c>
      <c r="BR576" s="158">
        <f t="shared" si="310"/>
        <v>0</v>
      </c>
      <c r="BS576" s="158">
        <f t="shared" si="310"/>
        <v>0</v>
      </c>
      <c r="BT576" s="158">
        <f t="shared" si="310"/>
        <v>0</v>
      </c>
      <c r="BU576" s="158">
        <f t="shared" si="310"/>
        <v>0</v>
      </c>
      <c r="BV576" s="158">
        <f t="shared" si="310"/>
        <v>0</v>
      </c>
      <c r="BW576" s="158">
        <f t="shared" si="310"/>
        <v>0</v>
      </c>
      <c r="BX576" s="158">
        <f t="shared" si="310"/>
        <v>0</v>
      </c>
      <c r="BY576" s="158">
        <f t="shared" si="310"/>
        <v>0</v>
      </c>
      <c r="BZ576" s="158">
        <f t="shared" si="310"/>
        <v>0</v>
      </c>
      <c r="CA576" s="158">
        <f t="shared" si="310"/>
        <v>0</v>
      </c>
      <c r="CB576" s="158">
        <f t="shared" si="310"/>
        <v>0</v>
      </c>
      <c r="CC576" s="158">
        <f t="shared" ref="CC576:CS576" si="311">SUM(CC573:CC575)</f>
        <v>0</v>
      </c>
      <c r="CD576" s="158">
        <f t="shared" si="311"/>
        <v>0</v>
      </c>
      <c r="CE576" s="158">
        <f t="shared" si="311"/>
        <v>0</v>
      </c>
      <c r="CF576" s="158">
        <f t="shared" si="311"/>
        <v>0</v>
      </c>
      <c r="CG576" s="158">
        <f t="shared" si="311"/>
        <v>0</v>
      </c>
      <c r="CH576" s="158">
        <f t="shared" si="311"/>
        <v>0</v>
      </c>
      <c r="CI576" s="158">
        <f t="shared" si="311"/>
        <v>0</v>
      </c>
      <c r="CJ576" s="158">
        <f t="shared" si="311"/>
        <v>0</v>
      </c>
      <c r="CK576" s="158">
        <f t="shared" si="311"/>
        <v>0</v>
      </c>
      <c r="CL576" s="158">
        <f t="shared" si="311"/>
        <v>0</v>
      </c>
      <c r="CM576" s="158">
        <f t="shared" si="311"/>
        <v>0</v>
      </c>
      <c r="CN576" s="158">
        <f t="shared" si="311"/>
        <v>0</v>
      </c>
      <c r="CO576" s="158">
        <f t="shared" si="311"/>
        <v>0</v>
      </c>
      <c r="CP576" s="158">
        <f t="shared" si="311"/>
        <v>0</v>
      </c>
      <c r="CQ576" s="158">
        <f t="shared" si="311"/>
        <v>0</v>
      </c>
      <c r="CR576" s="158">
        <f t="shared" si="311"/>
        <v>0</v>
      </c>
      <c r="CS576" s="158">
        <f t="shared" si="311"/>
        <v>0</v>
      </c>
      <c r="CT576" s="394">
        <f>SUM(CT573:CT575)</f>
        <v>122700000</v>
      </c>
      <c r="CU576" s="158">
        <f>SUM(CU573:CU575)</f>
        <v>81028000</v>
      </c>
      <c r="CV576" s="158">
        <f>SUM(CV573:CV575)</f>
        <v>81028000</v>
      </c>
    </row>
    <row r="577" spans="1:100" ht="15" x14ac:dyDescent="0.25">
      <c r="A577" s="18"/>
      <c r="B577" s="19"/>
      <c r="C577" s="949"/>
      <c r="D577" s="177"/>
      <c r="E577" s="949"/>
      <c r="F577" s="949"/>
      <c r="G577" s="177"/>
      <c r="H577" s="949"/>
      <c r="I577" s="177"/>
      <c r="J577" s="949"/>
      <c r="K577" s="949"/>
      <c r="L577" s="930"/>
      <c r="M577" s="930"/>
      <c r="N577" s="230"/>
      <c r="O577" s="221"/>
      <c r="P577" s="949"/>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0"/>
      <c r="BZ577" s="180"/>
      <c r="CA577" s="180"/>
      <c r="CB577" s="180"/>
      <c r="CC577" s="180"/>
      <c r="CD577" s="180"/>
      <c r="CE577" s="182"/>
      <c r="CF577" s="182"/>
      <c r="CG577" s="182"/>
      <c r="CH577" s="183"/>
      <c r="CI577" s="183"/>
      <c r="CJ577" s="183"/>
      <c r="CK577" s="180"/>
      <c r="CL577" s="180"/>
      <c r="CM577" s="180"/>
      <c r="CN577" s="180"/>
      <c r="CO577" s="180"/>
      <c r="CP577" s="180"/>
      <c r="CQ577" s="180"/>
      <c r="CR577" s="180"/>
      <c r="CS577" s="180"/>
      <c r="CT577" s="886"/>
      <c r="CU577" s="516"/>
      <c r="CV577" s="516"/>
    </row>
    <row r="578" spans="1:100" ht="15" x14ac:dyDescent="0.25">
      <c r="A578" s="18"/>
      <c r="B578" s="19"/>
      <c r="C578" s="949"/>
      <c r="D578" s="153"/>
      <c r="E578" s="581"/>
      <c r="F578" s="581"/>
      <c r="G578" s="339">
        <v>39</v>
      </c>
      <c r="H578" s="693" t="s">
        <v>697</v>
      </c>
      <c r="I578" s="189"/>
      <c r="J578" s="189"/>
      <c r="K578" s="189"/>
      <c r="L578" s="189"/>
      <c r="M578" s="189"/>
      <c r="N578" s="678"/>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c r="BL578" s="189"/>
      <c r="BM578" s="189"/>
      <c r="BN578" s="189"/>
      <c r="BO578" s="189"/>
      <c r="BP578" s="189"/>
      <c r="BQ578" s="189"/>
      <c r="BR578" s="189"/>
      <c r="BS578" s="189"/>
      <c r="BT578" s="189"/>
      <c r="BU578" s="189"/>
      <c r="BV578" s="189"/>
      <c r="BW578" s="189"/>
      <c r="BX578" s="189"/>
      <c r="BY578" s="189"/>
      <c r="BZ578" s="189"/>
      <c r="CA578" s="189"/>
      <c r="CB578" s="189"/>
      <c r="CC578" s="189"/>
      <c r="CD578" s="189"/>
      <c r="CE578" s="190"/>
      <c r="CF578" s="190"/>
      <c r="CG578" s="190"/>
      <c r="CH578" s="189"/>
      <c r="CI578" s="189"/>
      <c r="CJ578" s="189"/>
      <c r="CK578" s="189"/>
      <c r="CL578" s="189"/>
      <c r="CM578" s="189"/>
      <c r="CN578" s="189"/>
      <c r="CO578" s="189"/>
      <c r="CP578" s="189"/>
      <c r="CQ578" s="189"/>
      <c r="CR578" s="189"/>
      <c r="CS578" s="189"/>
      <c r="CT578" s="673"/>
      <c r="CU578" s="522"/>
      <c r="CV578" s="522"/>
    </row>
    <row r="579" spans="1:100" ht="54.95" customHeight="1" x14ac:dyDescent="0.25">
      <c r="A579" s="18"/>
      <c r="B579" s="19"/>
      <c r="C579" s="926">
        <v>36</v>
      </c>
      <c r="D579" s="509" t="s">
        <v>698</v>
      </c>
      <c r="E579" s="510">
        <v>0.4</v>
      </c>
      <c r="F579" s="511">
        <v>0.6</v>
      </c>
      <c r="G579" s="1023"/>
      <c r="H579" s="929">
        <v>139</v>
      </c>
      <c r="I579" s="928" t="s">
        <v>699</v>
      </c>
      <c r="J579" s="929">
        <v>0</v>
      </c>
      <c r="K579" s="929">
        <v>1</v>
      </c>
      <c r="L579" s="929">
        <v>0.9</v>
      </c>
      <c r="M579" s="1023"/>
      <c r="N579" s="1017" t="s">
        <v>700</v>
      </c>
      <c r="O579" s="1098" t="s">
        <v>701</v>
      </c>
      <c r="P579" s="929" t="s">
        <v>38</v>
      </c>
      <c r="Q579" s="25"/>
      <c r="R579" s="25"/>
      <c r="S579" s="25"/>
      <c r="T579" s="25"/>
      <c r="U579" s="25"/>
      <c r="V579" s="25"/>
      <c r="W579" s="25"/>
      <c r="X579" s="25"/>
      <c r="Y579" s="25"/>
      <c r="Z579" s="25"/>
      <c r="AA579" s="25"/>
      <c r="AB579" s="25"/>
      <c r="AC579" s="25"/>
      <c r="AD579" s="25"/>
      <c r="AE579" s="25"/>
      <c r="AF579" s="25"/>
      <c r="AG579" s="25"/>
      <c r="AH579" s="25"/>
      <c r="AI579" s="25"/>
      <c r="AJ579" s="25"/>
      <c r="AK579" s="25"/>
      <c r="AL579" s="16">
        <v>92700000</v>
      </c>
      <c r="AM579" s="16">
        <v>92700000</v>
      </c>
      <c r="AN579" s="16">
        <v>92700000</v>
      </c>
      <c r="AO579" s="17"/>
      <c r="AP579" s="17"/>
      <c r="AQ579" s="17"/>
      <c r="AR579" s="17"/>
      <c r="AS579" s="17"/>
      <c r="AT579" s="17"/>
      <c r="AU579" s="319"/>
      <c r="AV579" s="319"/>
      <c r="AW579" s="319"/>
      <c r="AX579" s="319"/>
      <c r="AY579" s="319"/>
      <c r="AZ579" s="319"/>
      <c r="BA579" s="319"/>
      <c r="BB579" s="319"/>
      <c r="BC579" s="319"/>
      <c r="BD579" s="319"/>
      <c r="BE579" s="319"/>
      <c r="BF579" s="319"/>
      <c r="BG579" s="250"/>
      <c r="BH579" s="250"/>
      <c r="BI579" s="250"/>
      <c r="BJ579" s="250"/>
      <c r="BK579" s="250"/>
      <c r="BL579" s="250"/>
      <c r="BM579" s="250"/>
      <c r="BN579" s="250"/>
      <c r="BO579" s="250"/>
      <c r="BP579" s="250"/>
      <c r="BQ579" s="250"/>
      <c r="BR579" s="250"/>
      <c r="BS579" s="250"/>
      <c r="BT579" s="250"/>
      <c r="BU579" s="250"/>
      <c r="BV579" s="250"/>
      <c r="BW579" s="250"/>
      <c r="BX579" s="250"/>
      <c r="BY579" s="319"/>
      <c r="BZ579" s="319"/>
      <c r="CA579" s="319"/>
      <c r="CB579" s="319"/>
      <c r="CC579" s="319"/>
      <c r="CD579" s="319"/>
      <c r="CE579" s="496"/>
      <c r="CF579" s="496"/>
      <c r="CG579" s="496"/>
      <c r="CH579" s="497"/>
      <c r="CI579" s="497"/>
      <c r="CJ579" s="497"/>
      <c r="CK579" s="319"/>
      <c r="CL579" s="288"/>
      <c r="CM579" s="288"/>
      <c r="CN579" s="288"/>
      <c r="CO579" s="288"/>
      <c r="CP579" s="288"/>
      <c r="CQ579" s="288"/>
      <c r="CR579" s="288"/>
      <c r="CS579" s="288"/>
      <c r="CT579" s="886">
        <f t="shared" ref="CT579:CV581" si="312">Q579+T579+W579+Z579+AC579+AF579+AI579+AL579+AO579+AR579+AU579+AX579+BA579+BD579+BG579+BJ579+BM579+BP579+BS579+BV579+BY579+CB579+CE579+CH579+CK579+CQ579+CN579</f>
        <v>92700000</v>
      </c>
      <c r="CU579" s="25">
        <f t="shared" si="312"/>
        <v>92700000</v>
      </c>
      <c r="CV579" s="25">
        <f t="shared" si="312"/>
        <v>92700000</v>
      </c>
    </row>
    <row r="580" spans="1:100" ht="42.75" x14ac:dyDescent="0.25">
      <c r="A580" s="18"/>
      <c r="B580" s="19"/>
      <c r="C580" s="1021" t="s">
        <v>702</v>
      </c>
      <c r="D580" s="1039" t="s">
        <v>703</v>
      </c>
      <c r="E580" s="1104">
        <v>1</v>
      </c>
      <c r="F580" s="1106">
        <v>1</v>
      </c>
      <c r="G580" s="1023"/>
      <c r="H580" s="929">
        <v>140</v>
      </c>
      <c r="I580" s="928" t="s">
        <v>704</v>
      </c>
      <c r="J580" s="929">
        <v>1</v>
      </c>
      <c r="K580" s="929">
        <v>1</v>
      </c>
      <c r="L580" s="929">
        <v>0.9</v>
      </c>
      <c r="M580" s="1023"/>
      <c r="N580" s="1018"/>
      <c r="O580" s="1099"/>
      <c r="P580" s="929" t="s">
        <v>38</v>
      </c>
      <c r="Q580" s="25">
        <v>0</v>
      </c>
      <c r="R580" s="25"/>
      <c r="S580" s="25"/>
      <c r="T580" s="25">
        <v>0</v>
      </c>
      <c r="U580" s="25"/>
      <c r="V580" s="25"/>
      <c r="W580" s="25">
        <v>0</v>
      </c>
      <c r="X580" s="25"/>
      <c r="Y580" s="25"/>
      <c r="Z580" s="25">
        <v>0</v>
      </c>
      <c r="AA580" s="25"/>
      <c r="AB580" s="25"/>
      <c r="AC580" s="25">
        <v>0</v>
      </c>
      <c r="AD580" s="25"/>
      <c r="AE580" s="25"/>
      <c r="AF580" s="25">
        <v>0</v>
      </c>
      <c r="AG580" s="25"/>
      <c r="AH580" s="25"/>
      <c r="AI580" s="25">
        <v>0</v>
      </c>
      <c r="AJ580" s="25"/>
      <c r="AK580" s="25"/>
      <c r="AL580" s="16">
        <v>25750000</v>
      </c>
      <c r="AM580" s="16">
        <v>25550000</v>
      </c>
      <c r="AN580" s="16">
        <v>25550000</v>
      </c>
      <c r="AO580" s="17"/>
      <c r="AP580" s="17"/>
      <c r="AQ580" s="17"/>
      <c r="AR580" s="17"/>
      <c r="AS580" s="17"/>
      <c r="AT580" s="17"/>
      <c r="AU580" s="319">
        <v>0</v>
      </c>
      <c r="AV580" s="319"/>
      <c r="AW580" s="319"/>
      <c r="AX580" s="319"/>
      <c r="AY580" s="319"/>
      <c r="AZ580" s="319"/>
      <c r="BA580" s="319">
        <v>0</v>
      </c>
      <c r="BB580" s="319"/>
      <c r="BC580" s="319"/>
      <c r="BD580" s="319">
        <v>0</v>
      </c>
      <c r="BE580" s="319"/>
      <c r="BF580" s="319"/>
      <c r="BG580" s="250"/>
      <c r="BH580" s="250"/>
      <c r="BI580" s="250"/>
      <c r="BJ580" s="250"/>
      <c r="BK580" s="250"/>
      <c r="BL580" s="250"/>
      <c r="BM580" s="250"/>
      <c r="BN580" s="250"/>
      <c r="BO580" s="250"/>
      <c r="BP580" s="250"/>
      <c r="BQ580" s="250"/>
      <c r="BR580" s="250"/>
      <c r="BS580" s="250"/>
      <c r="BT580" s="250"/>
      <c r="BU580" s="250"/>
      <c r="BV580" s="250"/>
      <c r="BW580" s="250"/>
      <c r="BX580" s="250"/>
      <c r="BY580" s="319">
        <v>0</v>
      </c>
      <c r="BZ580" s="319"/>
      <c r="CA580" s="319"/>
      <c r="CB580" s="319">
        <v>0</v>
      </c>
      <c r="CC580" s="319"/>
      <c r="CD580" s="319"/>
      <c r="CE580" s="496">
        <v>0</v>
      </c>
      <c r="CF580" s="496"/>
      <c r="CG580" s="496"/>
      <c r="CH580" s="497"/>
      <c r="CI580" s="497"/>
      <c r="CJ580" s="497"/>
      <c r="CK580" s="319">
        <v>0</v>
      </c>
      <c r="CL580" s="288"/>
      <c r="CM580" s="288"/>
      <c r="CN580" s="288">
        <v>0</v>
      </c>
      <c r="CO580" s="288"/>
      <c r="CP580" s="288"/>
      <c r="CQ580" s="288"/>
      <c r="CR580" s="288"/>
      <c r="CS580" s="288"/>
      <c r="CT580" s="886">
        <f t="shared" si="312"/>
        <v>25750000</v>
      </c>
      <c r="CU580" s="25">
        <f t="shared" si="312"/>
        <v>25550000</v>
      </c>
      <c r="CV580" s="25">
        <f t="shared" si="312"/>
        <v>25550000</v>
      </c>
    </row>
    <row r="581" spans="1:100" ht="57" x14ac:dyDescent="0.25">
      <c r="A581" s="18"/>
      <c r="B581" s="19"/>
      <c r="C581" s="1022"/>
      <c r="D581" s="1041"/>
      <c r="E581" s="1105"/>
      <c r="F581" s="1107"/>
      <c r="G581" s="1022"/>
      <c r="H581" s="929">
        <v>141</v>
      </c>
      <c r="I581" s="928" t="s">
        <v>705</v>
      </c>
      <c r="J581" s="929" t="s">
        <v>30</v>
      </c>
      <c r="K581" s="929">
        <v>1</v>
      </c>
      <c r="L581" s="929">
        <v>0.9</v>
      </c>
      <c r="M581" s="1022"/>
      <c r="N581" s="1019"/>
      <c r="O581" s="1100"/>
      <c r="P581" s="929" t="s">
        <v>38</v>
      </c>
      <c r="Q581" s="25">
        <v>0</v>
      </c>
      <c r="R581" s="25"/>
      <c r="S581" s="25"/>
      <c r="T581" s="25">
        <v>0</v>
      </c>
      <c r="U581" s="25"/>
      <c r="V581" s="25"/>
      <c r="W581" s="25">
        <v>0</v>
      </c>
      <c r="X581" s="25"/>
      <c r="Y581" s="25"/>
      <c r="Z581" s="25">
        <v>0</v>
      </c>
      <c r="AA581" s="25"/>
      <c r="AB581" s="25"/>
      <c r="AC581" s="25">
        <v>0</v>
      </c>
      <c r="AD581" s="25"/>
      <c r="AE581" s="25"/>
      <c r="AF581" s="25">
        <v>0</v>
      </c>
      <c r="AG581" s="25"/>
      <c r="AH581" s="25"/>
      <c r="AI581" s="25">
        <v>0</v>
      </c>
      <c r="AJ581" s="25"/>
      <c r="AK581" s="25"/>
      <c r="AL581" s="16">
        <v>25750000</v>
      </c>
      <c r="AM581" s="16">
        <v>25750000</v>
      </c>
      <c r="AN581" s="16">
        <v>25750000</v>
      </c>
      <c r="AO581" s="17"/>
      <c r="AP581" s="17"/>
      <c r="AQ581" s="17"/>
      <c r="AR581" s="17"/>
      <c r="AS581" s="17"/>
      <c r="AT581" s="17"/>
      <c r="AU581" s="319">
        <v>0</v>
      </c>
      <c r="AV581" s="319"/>
      <c r="AW581" s="319"/>
      <c r="AX581" s="319"/>
      <c r="AY581" s="319"/>
      <c r="AZ581" s="319"/>
      <c r="BA581" s="319">
        <v>0</v>
      </c>
      <c r="BB581" s="319"/>
      <c r="BC581" s="319"/>
      <c r="BD581" s="319">
        <v>0</v>
      </c>
      <c r="BE581" s="319"/>
      <c r="BF581" s="319"/>
      <c r="BG581" s="250"/>
      <c r="BH581" s="250"/>
      <c r="BI581" s="250"/>
      <c r="BJ581" s="250"/>
      <c r="BK581" s="250"/>
      <c r="BL581" s="250"/>
      <c r="BM581" s="250"/>
      <c r="BN581" s="250"/>
      <c r="BO581" s="250"/>
      <c r="BP581" s="250"/>
      <c r="BQ581" s="250"/>
      <c r="BR581" s="250"/>
      <c r="BS581" s="250"/>
      <c r="BT581" s="250"/>
      <c r="BU581" s="250"/>
      <c r="BV581" s="250"/>
      <c r="BW581" s="250"/>
      <c r="BX581" s="250"/>
      <c r="BY581" s="319">
        <v>0</v>
      </c>
      <c r="BZ581" s="319"/>
      <c r="CA581" s="319"/>
      <c r="CB581" s="319">
        <v>0</v>
      </c>
      <c r="CC581" s="319"/>
      <c r="CD581" s="319"/>
      <c r="CE581" s="496">
        <v>0</v>
      </c>
      <c r="CF581" s="496"/>
      <c r="CG581" s="496"/>
      <c r="CH581" s="497"/>
      <c r="CI581" s="497"/>
      <c r="CJ581" s="497"/>
      <c r="CK581" s="319">
        <v>0</v>
      </c>
      <c r="CL581" s="288"/>
      <c r="CM581" s="288"/>
      <c r="CN581" s="288">
        <v>0</v>
      </c>
      <c r="CO581" s="288"/>
      <c r="CP581" s="288"/>
      <c r="CQ581" s="288"/>
      <c r="CR581" s="288"/>
      <c r="CS581" s="288"/>
      <c r="CT581" s="886">
        <f t="shared" si="312"/>
        <v>25750000</v>
      </c>
      <c r="CU581" s="25">
        <f t="shared" si="312"/>
        <v>25750000</v>
      </c>
      <c r="CV581" s="25">
        <f t="shared" si="312"/>
        <v>25750000</v>
      </c>
    </row>
    <row r="582" spans="1:100" ht="15" x14ac:dyDescent="0.25">
      <c r="A582" s="18"/>
      <c r="B582" s="19"/>
      <c r="C582" s="927"/>
      <c r="D582" s="153"/>
      <c r="E582" s="581"/>
      <c r="F582" s="581"/>
      <c r="G582" s="154"/>
      <c r="H582" s="155"/>
      <c r="I582" s="154"/>
      <c r="J582" s="155"/>
      <c r="K582" s="155"/>
      <c r="L582" s="155"/>
      <c r="M582" s="155"/>
      <c r="N582" s="157"/>
      <c r="O582" s="154"/>
      <c r="P582" s="155"/>
      <c r="Q582" s="158">
        <f t="shared" ref="Q582:CB582" si="313">SUM(Q579:Q581)</f>
        <v>0</v>
      </c>
      <c r="R582" s="158">
        <f t="shared" si="313"/>
        <v>0</v>
      </c>
      <c r="S582" s="158">
        <f t="shared" si="313"/>
        <v>0</v>
      </c>
      <c r="T582" s="158">
        <f t="shared" si="313"/>
        <v>0</v>
      </c>
      <c r="U582" s="158">
        <f t="shared" si="313"/>
        <v>0</v>
      </c>
      <c r="V582" s="158">
        <f t="shared" si="313"/>
        <v>0</v>
      </c>
      <c r="W582" s="158">
        <f t="shared" si="313"/>
        <v>0</v>
      </c>
      <c r="X582" s="158">
        <f t="shared" si="313"/>
        <v>0</v>
      </c>
      <c r="Y582" s="158">
        <f t="shared" si="313"/>
        <v>0</v>
      </c>
      <c r="Z582" s="158">
        <f t="shared" si="313"/>
        <v>0</v>
      </c>
      <c r="AA582" s="158">
        <f t="shared" si="313"/>
        <v>0</v>
      </c>
      <c r="AB582" s="158">
        <f t="shared" si="313"/>
        <v>0</v>
      </c>
      <c r="AC582" s="158">
        <f t="shared" si="313"/>
        <v>0</v>
      </c>
      <c r="AD582" s="158">
        <f t="shared" si="313"/>
        <v>0</v>
      </c>
      <c r="AE582" s="158">
        <f t="shared" si="313"/>
        <v>0</v>
      </c>
      <c r="AF582" s="158">
        <f t="shared" si="313"/>
        <v>0</v>
      </c>
      <c r="AG582" s="158">
        <f t="shared" si="313"/>
        <v>0</v>
      </c>
      <c r="AH582" s="158">
        <f t="shared" si="313"/>
        <v>0</v>
      </c>
      <c r="AI582" s="158">
        <f t="shared" si="313"/>
        <v>0</v>
      </c>
      <c r="AJ582" s="158">
        <f t="shared" si="313"/>
        <v>0</v>
      </c>
      <c r="AK582" s="158">
        <f t="shared" si="313"/>
        <v>0</v>
      </c>
      <c r="AL582" s="158">
        <f t="shared" si="313"/>
        <v>144200000</v>
      </c>
      <c r="AM582" s="158">
        <f t="shared" si="313"/>
        <v>144000000</v>
      </c>
      <c r="AN582" s="158">
        <f t="shared" si="313"/>
        <v>144000000</v>
      </c>
      <c r="AO582" s="158">
        <f t="shared" si="313"/>
        <v>0</v>
      </c>
      <c r="AP582" s="158">
        <f t="shared" si="313"/>
        <v>0</v>
      </c>
      <c r="AQ582" s="158">
        <f t="shared" si="313"/>
        <v>0</v>
      </c>
      <c r="AR582" s="158">
        <f t="shared" si="313"/>
        <v>0</v>
      </c>
      <c r="AS582" s="158">
        <f t="shared" si="313"/>
        <v>0</v>
      </c>
      <c r="AT582" s="158">
        <f t="shared" si="313"/>
        <v>0</v>
      </c>
      <c r="AU582" s="158">
        <f t="shared" si="313"/>
        <v>0</v>
      </c>
      <c r="AV582" s="158">
        <f t="shared" si="313"/>
        <v>0</v>
      </c>
      <c r="AW582" s="158">
        <f t="shared" si="313"/>
        <v>0</v>
      </c>
      <c r="AX582" s="158">
        <f t="shared" si="313"/>
        <v>0</v>
      </c>
      <c r="AY582" s="158">
        <f t="shared" si="313"/>
        <v>0</v>
      </c>
      <c r="AZ582" s="158">
        <f t="shared" si="313"/>
        <v>0</v>
      </c>
      <c r="BA582" s="158">
        <f t="shared" si="313"/>
        <v>0</v>
      </c>
      <c r="BB582" s="158">
        <f t="shared" si="313"/>
        <v>0</v>
      </c>
      <c r="BC582" s="158">
        <f t="shared" si="313"/>
        <v>0</v>
      </c>
      <c r="BD582" s="158">
        <f t="shared" si="313"/>
        <v>0</v>
      </c>
      <c r="BE582" s="158">
        <f t="shared" si="313"/>
        <v>0</v>
      </c>
      <c r="BF582" s="158">
        <f t="shared" si="313"/>
        <v>0</v>
      </c>
      <c r="BG582" s="158">
        <f t="shared" si="313"/>
        <v>0</v>
      </c>
      <c r="BH582" s="158">
        <f t="shared" si="313"/>
        <v>0</v>
      </c>
      <c r="BI582" s="158">
        <f t="shared" si="313"/>
        <v>0</v>
      </c>
      <c r="BJ582" s="158">
        <f t="shared" si="313"/>
        <v>0</v>
      </c>
      <c r="BK582" s="158">
        <f t="shared" si="313"/>
        <v>0</v>
      </c>
      <c r="BL582" s="158">
        <f t="shared" si="313"/>
        <v>0</v>
      </c>
      <c r="BM582" s="158">
        <f t="shared" si="313"/>
        <v>0</v>
      </c>
      <c r="BN582" s="158">
        <f t="shared" si="313"/>
        <v>0</v>
      </c>
      <c r="BO582" s="158">
        <f t="shared" si="313"/>
        <v>0</v>
      </c>
      <c r="BP582" s="158">
        <f t="shared" si="313"/>
        <v>0</v>
      </c>
      <c r="BQ582" s="158">
        <f t="shared" si="313"/>
        <v>0</v>
      </c>
      <c r="BR582" s="158">
        <f t="shared" si="313"/>
        <v>0</v>
      </c>
      <c r="BS582" s="158">
        <f t="shared" si="313"/>
        <v>0</v>
      </c>
      <c r="BT582" s="158">
        <f t="shared" si="313"/>
        <v>0</v>
      </c>
      <c r="BU582" s="158">
        <f t="shared" si="313"/>
        <v>0</v>
      </c>
      <c r="BV582" s="158">
        <f t="shared" si="313"/>
        <v>0</v>
      </c>
      <c r="BW582" s="158">
        <f t="shared" si="313"/>
        <v>0</v>
      </c>
      <c r="BX582" s="158">
        <f t="shared" si="313"/>
        <v>0</v>
      </c>
      <c r="BY582" s="158">
        <f t="shared" si="313"/>
        <v>0</v>
      </c>
      <c r="BZ582" s="158">
        <f t="shared" si="313"/>
        <v>0</v>
      </c>
      <c r="CA582" s="158">
        <f t="shared" si="313"/>
        <v>0</v>
      </c>
      <c r="CB582" s="158">
        <f t="shared" si="313"/>
        <v>0</v>
      </c>
      <c r="CC582" s="158">
        <f t="shared" ref="CC582:CS582" si="314">SUM(CC579:CC581)</f>
        <v>0</v>
      </c>
      <c r="CD582" s="158">
        <f t="shared" si="314"/>
        <v>0</v>
      </c>
      <c r="CE582" s="158">
        <f t="shared" si="314"/>
        <v>0</v>
      </c>
      <c r="CF582" s="158">
        <f t="shared" si="314"/>
        <v>0</v>
      </c>
      <c r="CG582" s="158">
        <f t="shared" si="314"/>
        <v>0</v>
      </c>
      <c r="CH582" s="158">
        <f t="shared" si="314"/>
        <v>0</v>
      </c>
      <c r="CI582" s="158">
        <f t="shared" si="314"/>
        <v>0</v>
      </c>
      <c r="CJ582" s="158">
        <f t="shared" si="314"/>
        <v>0</v>
      </c>
      <c r="CK582" s="158">
        <f t="shared" si="314"/>
        <v>0</v>
      </c>
      <c r="CL582" s="158">
        <f t="shared" si="314"/>
        <v>0</v>
      </c>
      <c r="CM582" s="158">
        <f t="shared" si="314"/>
        <v>0</v>
      </c>
      <c r="CN582" s="158">
        <f t="shared" si="314"/>
        <v>0</v>
      </c>
      <c r="CO582" s="158">
        <f t="shared" si="314"/>
        <v>0</v>
      </c>
      <c r="CP582" s="158">
        <f t="shared" si="314"/>
        <v>0</v>
      </c>
      <c r="CQ582" s="158">
        <f t="shared" si="314"/>
        <v>0</v>
      </c>
      <c r="CR582" s="158">
        <f t="shared" si="314"/>
        <v>0</v>
      </c>
      <c r="CS582" s="158">
        <f t="shared" si="314"/>
        <v>0</v>
      </c>
      <c r="CT582" s="394">
        <f>SUM(CT579:CT581)</f>
        <v>144200000</v>
      </c>
      <c r="CU582" s="158">
        <f>SUM(CU579:CU581)</f>
        <v>144000000</v>
      </c>
      <c r="CV582" s="158">
        <f>SUM(CV579:CV581)</f>
        <v>144000000</v>
      </c>
    </row>
    <row r="583" spans="1:100" ht="15" x14ac:dyDescent="0.25">
      <c r="A583" s="18"/>
      <c r="B583" s="19"/>
      <c r="C583" s="949"/>
      <c r="D583" s="177"/>
      <c r="E583" s="949"/>
      <c r="F583" s="949"/>
      <c r="G583" s="177"/>
      <c r="H583" s="949"/>
      <c r="I583" s="177"/>
      <c r="J583" s="949"/>
      <c r="K583" s="949"/>
      <c r="L583" s="930"/>
      <c r="M583" s="930"/>
      <c r="N583" s="230"/>
      <c r="O583" s="221"/>
      <c r="P583" s="949"/>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0"/>
      <c r="BZ583" s="180"/>
      <c r="CA583" s="180"/>
      <c r="CB583" s="180"/>
      <c r="CC583" s="180"/>
      <c r="CD583" s="180"/>
      <c r="CE583" s="182"/>
      <c r="CF583" s="182"/>
      <c r="CG583" s="182"/>
      <c r="CH583" s="183"/>
      <c r="CI583" s="183"/>
      <c r="CJ583" s="183"/>
      <c r="CK583" s="180"/>
      <c r="CL583" s="180"/>
      <c r="CM583" s="180"/>
      <c r="CN583" s="180"/>
      <c r="CO583" s="180"/>
      <c r="CP583" s="180"/>
      <c r="CQ583" s="180"/>
      <c r="CR583" s="180"/>
      <c r="CS583" s="180"/>
      <c r="CT583" s="886"/>
      <c r="CU583" s="516"/>
      <c r="CV583" s="516"/>
    </row>
    <row r="584" spans="1:100" ht="15" x14ac:dyDescent="0.25">
      <c r="A584" s="18"/>
      <c r="B584" s="19"/>
      <c r="C584" s="949"/>
      <c r="D584" s="153"/>
      <c r="E584" s="581"/>
      <c r="F584" s="581"/>
      <c r="G584" s="339">
        <v>40</v>
      </c>
      <c r="H584" s="189" t="s">
        <v>706</v>
      </c>
      <c r="I584" s="189"/>
      <c r="J584" s="189"/>
      <c r="K584" s="189"/>
      <c r="L584" s="189"/>
      <c r="M584" s="189"/>
      <c r="N584" s="684"/>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c r="BU584" s="189"/>
      <c r="BV584" s="189"/>
      <c r="BW584" s="189"/>
      <c r="BX584" s="189"/>
      <c r="BY584" s="189"/>
      <c r="BZ584" s="189"/>
      <c r="CA584" s="189"/>
      <c r="CB584" s="189"/>
      <c r="CC584" s="189"/>
      <c r="CD584" s="189"/>
      <c r="CE584" s="190"/>
      <c r="CF584" s="190"/>
      <c r="CG584" s="190"/>
      <c r="CH584" s="189"/>
      <c r="CI584" s="189"/>
      <c r="CJ584" s="189"/>
      <c r="CK584" s="189"/>
      <c r="CL584" s="189"/>
      <c r="CM584" s="189"/>
      <c r="CN584" s="189"/>
      <c r="CO584" s="189"/>
      <c r="CP584" s="189"/>
      <c r="CQ584" s="189"/>
      <c r="CR584" s="189"/>
      <c r="CS584" s="189"/>
      <c r="CT584" s="673"/>
      <c r="CU584" s="522"/>
      <c r="CV584" s="522"/>
    </row>
    <row r="585" spans="1:100" ht="93" customHeight="1" x14ac:dyDescent="0.25">
      <c r="A585" s="18"/>
      <c r="B585" s="19"/>
      <c r="C585" s="512">
        <v>26</v>
      </c>
      <c r="D585" s="513" t="s">
        <v>707</v>
      </c>
      <c r="E585" s="582" t="s">
        <v>708</v>
      </c>
      <c r="F585" s="582" t="s">
        <v>709</v>
      </c>
      <c r="G585" s="22"/>
      <c r="H585" s="927">
        <v>142</v>
      </c>
      <c r="I585" s="928" t="s">
        <v>710</v>
      </c>
      <c r="J585" s="929" t="s">
        <v>30</v>
      </c>
      <c r="K585" s="929">
        <v>12</v>
      </c>
      <c r="L585" s="514">
        <v>12</v>
      </c>
      <c r="M585" s="1021" t="s">
        <v>670</v>
      </c>
      <c r="N585" s="1017" t="s">
        <v>711</v>
      </c>
      <c r="O585" s="1012" t="s">
        <v>712</v>
      </c>
      <c r="P585" s="929" t="s">
        <v>38</v>
      </c>
      <c r="Q585" s="25">
        <v>0</v>
      </c>
      <c r="R585" s="25"/>
      <c r="S585" s="25"/>
      <c r="T585" s="25">
        <v>0</v>
      </c>
      <c r="U585" s="25"/>
      <c r="V585" s="25"/>
      <c r="W585" s="25">
        <v>0</v>
      </c>
      <c r="X585" s="25"/>
      <c r="Y585" s="25"/>
      <c r="Z585" s="25">
        <v>0</v>
      </c>
      <c r="AA585" s="25"/>
      <c r="AB585" s="25"/>
      <c r="AC585" s="25">
        <v>0</v>
      </c>
      <c r="AD585" s="25"/>
      <c r="AE585" s="25"/>
      <c r="AF585" s="25">
        <v>0</v>
      </c>
      <c r="AG585" s="25"/>
      <c r="AH585" s="25"/>
      <c r="AI585" s="25">
        <v>0</v>
      </c>
      <c r="AJ585" s="25"/>
      <c r="AK585" s="25"/>
      <c r="AL585" s="3">
        <v>6147580</v>
      </c>
      <c r="AM585" s="3">
        <v>0</v>
      </c>
      <c r="AN585" s="3">
        <v>0</v>
      </c>
      <c r="AO585" s="13"/>
      <c r="AP585" s="13"/>
      <c r="AQ585" s="13"/>
      <c r="AR585" s="13"/>
      <c r="AS585" s="13"/>
      <c r="AT585" s="13"/>
      <c r="AU585" s="25">
        <v>56000000</v>
      </c>
      <c r="AV585" s="25">
        <v>53125000</v>
      </c>
      <c r="AW585" s="25">
        <v>53125000</v>
      </c>
      <c r="AX585" s="319"/>
      <c r="AY585" s="319"/>
      <c r="AZ585" s="319"/>
      <c r="BA585" s="319">
        <v>0</v>
      </c>
      <c r="BB585" s="319"/>
      <c r="BC585" s="319"/>
      <c r="BD585" s="319">
        <v>0</v>
      </c>
      <c r="BE585" s="319"/>
      <c r="BF585" s="319"/>
      <c r="BG585" s="250"/>
      <c r="BH585" s="250"/>
      <c r="BI585" s="250"/>
      <c r="BJ585" s="250"/>
      <c r="BK585" s="250"/>
      <c r="BL585" s="250"/>
      <c r="BM585" s="250"/>
      <c r="BN585" s="250"/>
      <c r="BO585" s="250"/>
      <c r="BP585" s="250"/>
      <c r="BQ585" s="250"/>
      <c r="BR585" s="250"/>
      <c r="BS585" s="250"/>
      <c r="BT585" s="250"/>
      <c r="BU585" s="250"/>
      <c r="BV585" s="250"/>
      <c r="BW585" s="250"/>
      <c r="BX585" s="250"/>
      <c r="BY585" s="319">
        <v>0</v>
      </c>
      <c r="BZ585" s="319"/>
      <c r="CA585" s="319"/>
      <c r="CB585" s="319">
        <v>0</v>
      </c>
      <c r="CC585" s="319"/>
      <c r="CD585" s="319"/>
      <c r="CE585" s="496">
        <v>0</v>
      </c>
      <c r="CF585" s="496"/>
      <c r="CG585" s="496"/>
      <c r="CH585" s="497"/>
      <c r="CI585" s="497"/>
      <c r="CJ585" s="497"/>
      <c r="CK585" s="319">
        <v>0</v>
      </c>
      <c r="CL585" s="288"/>
      <c r="CM585" s="288"/>
      <c r="CN585" s="58">
        <v>0</v>
      </c>
      <c r="CO585" s="58"/>
      <c r="CP585" s="58"/>
      <c r="CQ585" s="58"/>
      <c r="CR585" s="58"/>
      <c r="CS585" s="58"/>
      <c r="CT585" s="886">
        <f t="shared" ref="CT585:CV589" si="315">Q585+T585+W585+Z585+AC585+AF585+AI585+AL585+AO585+AR585+AU585+AX585+BA585+BD585+BG585+BJ585+BM585+BP585+BS585+BV585+BY585+CB585+CE585+CH585+CK585+CQ585+CN585</f>
        <v>62147580</v>
      </c>
      <c r="CU585" s="25">
        <f t="shared" si="315"/>
        <v>53125000</v>
      </c>
      <c r="CV585" s="25">
        <f t="shared" si="315"/>
        <v>53125000</v>
      </c>
    </row>
    <row r="586" spans="1:100" ht="90.75" customHeight="1" x14ac:dyDescent="0.25">
      <c r="A586" s="18"/>
      <c r="B586" s="19"/>
      <c r="C586" s="949">
        <v>30</v>
      </c>
      <c r="D586" s="515" t="s">
        <v>713</v>
      </c>
      <c r="E586" s="478" t="s">
        <v>714</v>
      </c>
      <c r="F586" s="478" t="s">
        <v>714</v>
      </c>
      <c r="G586" s="28"/>
      <c r="H586" s="927">
        <v>143</v>
      </c>
      <c r="I586" s="928" t="s">
        <v>715</v>
      </c>
      <c r="J586" s="929">
        <v>1</v>
      </c>
      <c r="K586" s="929">
        <v>1</v>
      </c>
      <c r="L586" s="514">
        <v>1</v>
      </c>
      <c r="M586" s="1022"/>
      <c r="N586" s="1019"/>
      <c r="O586" s="1013"/>
      <c r="P586" s="929" t="s">
        <v>38</v>
      </c>
      <c r="Q586" s="25">
        <v>0</v>
      </c>
      <c r="R586" s="25"/>
      <c r="S586" s="25"/>
      <c r="T586" s="25">
        <v>0</v>
      </c>
      <c r="U586" s="25"/>
      <c r="V586" s="25"/>
      <c r="W586" s="25">
        <v>0</v>
      </c>
      <c r="X586" s="25"/>
      <c r="Y586" s="25"/>
      <c r="Z586" s="25">
        <v>0</v>
      </c>
      <c r="AA586" s="25"/>
      <c r="AB586" s="25"/>
      <c r="AC586" s="25">
        <v>0</v>
      </c>
      <c r="AD586" s="25"/>
      <c r="AE586" s="25"/>
      <c r="AF586" s="25">
        <v>0</v>
      </c>
      <c r="AG586" s="25"/>
      <c r="AH586" s="25"/>
      <c r="AI586" s="25">
        <v>0</v>
      </c>
      <c r="AJ586" s="25"/>
      <c r="AK586" s="25"/>
      <c r="AL586" s="3"/>
      <c r="AM586" s="3"/>
      <c r="AN586" s="3"/>
      <c r="AO586" s="13"/>
      <c r="AP586" s="13"/>
      <c r="AQ586" s="13"/>
      <c r="AR586" s="13"/>
      <c r="AS586" s="13"/>
      <c r="AT586" s="13"/>
      <c r="AU586" s="25">
        <v>20000000</v>
      </c>
      <c r="AV586" s="25">
        <v>19045948</v>
      </c>
      <c r="AW586" s="25">
        <v>19045948</v>
      </c>
      <c r="AX586" s="319"/>
      <c r="AY586" s="319"/>
      <c r="AZ586" s="319"/>
      <c r="BA586" s="319">
        <v>0</v>
      </c>
      <c r="BB586" s="319"/>
      <c r="BC586" s="319"/>
      <c r="BD586" s="319">
        <v>0</v>
      </c>
      <c r="BE586" s="319"/>
      <c r="BF586" s="319"/>
      <c r="BG586" s="250"/>
      <c r="BH586" s="250"/>
      <c r="BI586" s="250"/>
      <c r="BJ586" s="250"/>
      <c r="BK586" s="250"/>
      <c r="BL586" s="250"/>
      <c r="BM586" s="250"/>
      <c r="BN586" s="250"/>
      <c r="BO586" s="250"/>
      <c r="BP586" s="250"/>
      <c r="BQ586" s="250"/>
      <c r="BR586" s="250"/>
      <c r="BS586" s="250"/>
      <c r="BT586" s="250"/>
      <c r="BU586" s="250"/>
      <c r="BV586" s="250"/>
      <c r="BW586" s="250"/>
      <c r="BX586" s="250"/>
      <c r="BY586" s="319">
        <v>0</v>
      </c>
      <c r="BZ586" s="319"/>
      <c r="CA586" s="319"/>
      <c r="CB586" s="319">
        <v>0</v>
      </c>
      <c r="CC586" s="319"/>
      <c r="CD586" s="319"/>
      <c r="CE586" s="496">
        <v>0</v>
      </c>
      <c r="CF586" s="496"/>
      <c r="CG586" s="496"/>
      <c r="CH586" s="497"/>
      <c r="CI586" s="497"/>
      <c r="CJ586" s="497"/>
      <c r="CK586" s="319">
        <v>0</v>
      </c>
      <c r="CL586" s="288"/>
      <c r="CM586" s="288"/>
      <c r="CN586" s="288">
        <v>0</v>
      </c>
      <c r="CO586" s="288"/>
      <c r="CP586" s="288"/>
      <c r="CQ586" s="288"/>
      <c r="CR586" s="288"/>
      <c r="CS586" s="288"/>
      <c r="CT586" s="886">
        <f t="shared" si="315"/>
        <v>20000000</v>
      </c>
      <c r="CU586" s="25">
        <f t="shared" si="315"/>
        <v>19045948</v>
      </c>
      <c r="CV586" s="25">
        <f t="shared" si="315"/>
        <v>19045948</v>
      </c>
    </row>
    <row r="587" spans="1:100" s="27" customFormat="1" ht="98.25" customHeight="1" x14ac:dyDescent="0.25">
      <c r="A587" s="18"/>
      <c r="B587" s="19"/>
      <c r="C587" s="927" t="s">
        <v>702</v>
      </c>
      <c r="D587" s="919" t="s">
        <v>716</v>
      </c>
      <c r="E587" s="916">
        <v>10</v>
      </c>
      <c r="F587" s="916" t="s">
        <v>717</v>
      </c>
      <c r="G587" s="28"/>
      <c r="H587" s="927">
        <v>144</v>
      </c>
      <c r="I587" s="928" t="s">
        <v>718</v>
      </c>
      <c r="J587" s="929">
        <v>5</v>
      </c>
      <c r="K587" s="929">
        <v>5</v>
      </c>
      <c r="L587" s="514">
        <v>5</v>
      </c>
      <c r="M587" s="1021" t="s">
        <v>670</v>
      </c>
      <c r="N587" s="1017" t="s">
        <v>719</v>
      </c>
      <c r="O587" s="1020" t="s">
        <v>720</v>
      </c>
      <c r="P587" s="929" t="s">
        <v>38</v>
      </c>
      <c r="Q587" s="25">
        <v>0</v>
      </c>
      <c r="R587" s="25"/>
      <c r="S587" s="25"/>
      <c r="T587" s="25">
        <v>0</v>
      </c>
      <c r="U587" s="25"/>
      <c r="V587" s="25"/>
      <c r="W587" s="25">
        <v>0</v>
      </c>
      <c r="X587" s="25"/>
      <c r="Y587" s="25"/>
      <c r="Z587" s="25">
        <v>0</v>
      </c>
      <c r="AA587" s="25"/>
      <c r="AB587" s="25"/>
      <c r="AC587" s="25">
        <v>0</v>
      </c>
      <c r="AD587" s="25"/>
      <c r="AE587" s="25"/>
      <c r="AF587" s="25">
        <v>0</v>
      </c>
      <c r="AG587" s="25"/>
      <c r="AH587" s="25"/>
      <c r="AI587" s="25">
        <v>0</v>
      </c>
      <c r="AJ587" s="25"/>
      <c r="AK587" s="25"/>
      <c r="AL587" s="13">
        <f>145101159+25000000</f>
        <v>170101159</v>
      </c>
      <c r="AM587" s="13">
        <v>146822135</v>
      </c>
      <c r="AN587" s="13">
        <v>144027000</v>
      </c>
      <c r="AO587" s="13"/>
      <c r="AP587" s="13"/>
      <c r="AQ587" s="13"/>
      <c r="AR587" s="13"/>
      <c r="AS587" s="13"/>
      <c r="AT587" s="13"/>
      <c r="AU587" s="25">
        <f>24000000</f>
        <v>24000000</v>
      </c>
      <c r="AV587" s="25">
        <v>24000000</v>
      </c>
      <c r="AW587" s="25">
        <v>19540135</v>
      </c>
      <c r="AX587" s="25"/>
      <c r="AY587" s="25"/>
      <c r="AZ587" s="25"/>
      <c r="BA587" s="25">
        <v>0</v>
      </c>
      <c r="BB587" s="25"/>
      <c r="BC587" s="25"/>
      <c r="BD587" s="76"/>
      <c r="BE587" s="76"/>
      <c r="BF587" s="76"/>
      <c r="BG587" s="25"/>
      <c r="BH587" s="25"/>
      <c r="BI587" s="25"/>
      <c r="BJ587" s="25"/>
      <c r="BK587" s="25"/>
      <c r="BL587" s="25"/>
      <c r="BM587" s="25"/>
      <c r="BN587" s="25"/>
      <c r="BO587" s="25"/>
      <c r="BP587" s="25"/>
      <c r="BQ587" s="25"/>
      <c r="BR587" s="25"/>
      <c r="BS587" s="25"/>
      <c r="BT587" s="25"/>
      <c r="BU587" s="25"/>
      <c r="BV587" s="25"/>
      <c r="BW587" s="25"/>
      <c r="BX587" s="25"/>
      <c r="BY587" s="25">
        <v>0</v>
      </c>
      <c r="BZ587" s="25"/>
      <c r="CA587" s="25"/>
      <c r="CB587" s="25">
        <v>0</v>
      </c>
      <c r="CC587" s="25"/>
      <c r="CD587" s="25"/>
      <c r="CE587" s="110">
        <v>0</v>
      </c>
      <c r="CF587" s="110"/>
      <c r="CG587" s="110"/>
      <c r="CH587" s="37"/>
      <c r="CI587" s="37"/>
      <c r="CJ587" s="37"/>
      <c r="CK587" s="25">
        <v>0</v>
      </c>
      <c r="CL587" s="25"/>
      <c r="CM587" s="25"/>
      <c r="CN587" s="25">
        <v>238136825</v>
      </c>
      <c r="CO587" s="25">
        <v>12710390</v>
      </c>
      <c r="CP587" s="25">
        <v>12710390</v>
      </c>
      <c r="CQ587" s="25"/>
      <c r="CR587" s="25"/>
      <c r="CS587" s="25"/>
      <c r="CT587" s="886">
        <f t="shared" si="315"/>
        <v>432237984</v>
      </c>
      <c r="CU587" s="25">
        <f t="shared" si="315"/>
        <v>183532525</v>
      </c>
      <c r="CV587" s="25">
        <f t="shared" si="315"/>
        <v>176277525</v>
      </c>
    </row>
    <row r="588" spans="1:100" ht="91.5" customHeight="1" x14ac:dyDescent="0.25">
      <c r="A588" s="18"/>
      <c r="B588" s="19"/>
      <c r="C588" s="927" t="s">
        <v>702</v>
      </c>
      <c r="D588" s="928" t="s">
        <v>721</v>
      </c>
      <c r="E588" s="929" t="s">
        <v>722</v>
      </c>
      <c r="F588" s="79">
        <v>0.8</v>
      </c>
      <c r="G588" s="28"/>
      <c r="H588" s="927">
        <v>145</v>
      </c>
      <c r="I588" s="928" t="s">
        <v>723</v>
      </c>
      <c r="J588" s="38" t="s">
        <v>30</v>
      </c>
      <c r="K588" s="52">
        <v>1</v>
      </c>
      <c r="L588" s="667">
        <v>1</v>
      </c>
      <c r="M588" s="1022"/>
      <c r="N588" s="1019"/>
      <c r="O588" s="1013"/>
      <c r="P588" s="929" t="s">
        <v>38</v>
      </c>
      <c r="Q588" s="25">
        <v>0</v>
      </c>
      <c r="R588" s="25"/>
      <c r="S588" s="25"/>
      <c r="T588" s="25">
        <v>0</v>
      </c>
      <c r="U588" s="25"/>
      <c r="V588" s="25"/>
      <c r="W588" s="25">
        <v>0</v>
      </c>
      <c r="X588" s="25"/>
      <c r="Y588" s="25"/>
      <c r="Z588" s="25">
        <v>0</v>
      </c>
      <c r="AA588" s="25"/>
      <c r="AB588" s="25"/>
      <c r="AC588" s="25">
        <v>0</v>
      </c>
      <c r="AD588" s="25"/>
      <c r="AE588" s="25"/>
      <c r="AF588" s="25">
        <v>0</v>
      </c>
      <c r="AG588" s="25"/>
      <c r="AH588" s="25"/>
      <c r="AI588" s="25">
        <v>0</v>
      </c>
      <c r="AJ588" s="25"/>
      <c r="AK588" s="25"/>
      <c r="AL588" s="13">
        <v>88395537.9969109</v>
      </c>
      <c r="AM588" s="13">
        <v>77840000</v>
      </c>
      <c r="AN588" s="13">
        <v>77840000</v>
      </c>
      <c r="AO588" s="13"/>
      <c r="AP588" s="13"/>
      <c r="AQ588" s="13"/>
      <c r="AR588" s="13"/>
      <c r="AS588" s="13"/>
      <c r="AT588" s="13"/>
      <c r="AU588" s="319">
        <v>0</v>
      </c>
      <c r="AV588" s="319"/>
      <c r="AW588" s="319"/>
      <c r="AX588" s="319"/>
      <c r="AY588" s="319"/>
      <c r="AZ588" s="319"/>
      <c r="BA588" s="319">
        <v>0</v>
      </c>
      <c r="BB588" s="319"/>
      <c r="BC588" s="319"/>
      <c r="BD588" s="319">
        <v>0</v>
      </c>
      <c r="BE588" s="319"/>
      <c r="BF588" s="319"/>
      <c r="BG588" s="250"/>
      <c r="BH588" s="250"/>
      <c r="BI588" s="250"/>
      <c r="BJ588" s="250"/>
      <c r="BK588" s="250"/>
      <c r="BL588" s="250"/>
      <c r="BM588" s="250"/>
      <c r="BN588" s="250"/>
      <c r="BO588" s="250"/>
      <c r="BP588" s="250"/>
      <c r="BQ588" s="250"/>
      <c r="BR588" s="250"/>
      <c r="BS588" s="250"/>
      <c r="BT588" s="250"/>
      <c r="BU588" s="250"/>
      <c r="BV588" s="250"/>
      <c r="BW588" s="250"/>
      <c r="BX588" s="250"/>
      <c r="BY588" s="319">
        <v>0</v>
      </c>
      <c r="BZ588" s="319"/>
      <c r="CA588" s="319"/>
      <c r="CB588" s="319">
        <v>0</v>
      </c>
      <c r="CC588" s="319"/>
      <c r="CD588" s="319"/>
      <c r="CE588" s="496">
        <v>0</v>
      </c>
      <c r="CF588" s="496"/>
      <c r="CG588" s="496"/>
      <c r="CH588" s="497"/>
      <c r="CI588" s="497"/>
      <c r="CJ588" s="497"/>
      <c r="CK588" s="319">
        <v>0</v>
      </c>
      <c r="CL588" s="288"/>
      <c r="CM588" s="288"/>
      <c r="CN588" s="288">
        <v>0</v>
      </c>
      <c r="CO588" s="288"/>
      <c r="CP588" s="288"/>
      <c r="CQ588" s="288"/>
      <c r="CR588" s="288"/>
      <c r="CS588" s="288"/>
      <c r="CT588" s="886">
        <f t="shared" si="315"/>
        <v>88395537.9969109</v>
      </c>
      <c r="CU588" s="25">
        <f t="shared" si="315"/>
        <v>77840000</v>
      </c>
      <c r="CV588" s="25">
        <f t="shared" si="315"/>
        <v>77840000</v>
      </c>
    </row>
    <row r="589" spans="1:100" ht="86.25" customHeight="1" x14ac:dyDescent="0.25">
      <c r="A589" s="18"/>
      <c r="B589" s="19"/>
      <c r="C589" s="927" t="s">
        <v>702</v>
      </c>
      <c r="D589" s="928" t="s">
        <v>724</v>
      </c>
      <c r="E589" s="79">
        <v>0.68</v>
      </c>
      <c r="F589" s="79">
        <v>0.73</v>
      </c>
      <c r="G589" s="29"/>
      <c r="H589" s="927">
        <v>146</v>
      </c>
      <c r="I589" s="928" t="s">
        <v>725</v>
      </c>
      <c r="J589" s="929" t="s">
        <v>30</v>
      </c>
      <c r="K589" s="929">
        <v>1</v>
      </c>
      <c r="L589" s="501">
        <v>0.9</v>
      </c>
      <c r="M589" s="929" t="s">
        <v>670</v>
      </c>
      <c r="N589" s="36" t="s">
        <v>726</v>
      </c>
      <c r="O589" s="928" t="s">
        <v>727</v>
      </c>
      <c r="P589" s="929" t="s">
        <v>38</v>
      </c>
      <c r="Q589" s="25">
        <v>0</v>
      </c>
      <c r="R589" s="25"/>
      <c r="S589" s="25"/>
      <c r="T589" s="25">
        <v>0</v>
      </c>
      <c r="U589" s="25"/>
      <c r="V589" s="25"/>
      <c r="W589" s="25">
        <v>0</v>
      </c>
      <c r="X589" s="25"/>
      <c r="Y589" s="25"/>
      <c r="Z589" s="25">
        <v>0</v>
      </c>
      <c r="AA589" s="25"/>
      <c r="AB589" s="25"/>
      <c r="AC589" s="25">
        <v>0</v>
      </c>
      <c r="AD589" s="25"/>
      <c r="AE589" s="25"/>
      <c r="AF589" s="25">
        <v>0</v>
      </c>
      <c r="AG589" s="25"/>
      <c r="AH589" s="25"/>
      <c r="AI589" s="25">
        <v>0</v>
      </c>
      <c r="AJ589" s="25"/>
      <c r="AK589" s="25"/>
      <c r="AL589" s="3">
        <v>24590320</v>
      </c>
      <c r="AM589" s="3">
        <v>23760000</v>
      </c>
      <c r="AN589" s="3">
        <v>23760000</v>
      </c>
      <c r="AO589" s="13"/>
      <c r="AP589" s="13"/>
      <c r="AQ589" s="13"/>
      <c r="AR589" s="13"/>
      <c r="AS589" s="13"/>
      <c r="AT589" s="13"/>
      <c r="AU589" s="319"/>
      <c r="AV589" s="319"/>
      <c r="AW589" s="319"/>
      <c r="AX589" s="319"/>
      <c r="AY589" s="319"/>
      <c r="AZ589" s="319"/>
      <c r="BA589" s="319">
        <v>0</v>
      </c>
      <c r="BB589" s="319"/>
      <c r="BC589" s="319"/>
      <c r="BD589" s="319"/>
      <c r="BE589" s="319"/>
      <c r="BF589" s="319"/>
      <c r="BG589" s="250"/>
      <c r="BH589" s="250"/>
      <c r="BI589" s="250"/>
      <c r="BJ589" s="250"/>
      <c r="BK589" s="250"/>
      <c r="BL589" s="250"/>
      <c r="BM589" s="250"/>
      <c r="BN589" s="250"/>
      <c r="BO589" s="250"/>
      <c r="BP589" s="250"/>
      <c r="BQ589" s="250"/>
      <c r="BR589" s="250"/>
      <c r="BS589" s="250"/>
      <c r="BT589" s="250"/>
      <c r="BU589" s="250"/>
      <c r="BV589" s="250"/>
      <c r="BW589" s="250"/>
      <c r="BX589" s="250"/>
      <c r="BY589" s="319">
        <v>0</v>
      </c>
      <c r="BZ589" s="319"/>
      <c r="CA589" s="319"/>
      <c r="CB589" s="319">
        <v>0</v>
      </c>
      <c r="CC589" s="319"/>
      <c r="CD589" s="319"/>
      <c r="CE589" s="496">
        <v>0</v>
      </c>
      <c r="CF589" s="496"/>
      <c r="CG589" s="496"/>
      <c r="CH589" s="497"/>
      <c r="CI589" s="497"/>
      <c r="CJ589" s="497"/>
      <c r="CK589" s="319">
        <v>0</v>
      </c>
      <c r="CL589" s="288"/>
      <c r="CM589" s="288"/>
      <c r="CN589" s="26">
        <v>169295280</v>
      </c>
      <c r="CO589" s="26">
        <v>144673600</v>
      </c>
      <c r="CP589" s="26">
        <v>144673600</v>
      </c>
      <c r="CQ589" s="26"/>
      <c r="CR589" s="26"/>
      <c r="CS589" s="26"/>
      <c r="CT589" s="886">
        <f t="shared" si="315"/>
        <v>193885600</v>
      </c>
      <c r="CU589" s="25">
        <f t="shared" si="315"/>
        <v>168433600</v>
      </c>
      <c r="CV589" s="25">
        <f t="shared" si="315"/>
        <v>168433600</v>
      </c>
    </row>
    <row r="590" spans="1:100" ht="15" x14ac:dyDescent="0.25">
      <c r="A590" s="18"/>
      <c r="B590" s="19"/>
      <c r="C590" s="927"/>
      <c r="D590" s="153"/>
      <c r="E590" s="581"/>
      <c r="F590" s="581"/>
      <c r="G590" s="154"/>
      <c r="H590" s="155"/>
      <c r="I590" s="154"/>
      <c r="J590" s="155"/>
      <c r="K590" s="155"/>
      <c r="L590" s="155"/>
      <c r="M590" s="155"/>
      <c r="N590" s="157"/>
      <c r="O590" s="154"/>
      <c r="P590" s="155"/>
      <c r="Q590" s="158">
        <f t="shared" ref="Q590:CB590" si="316">SUM(Q585:Q589)</f>
        <v>0</v>
      </c>
      <c r="R590" s="158">
        <f t="shared" si="316"/>
        <v>0</v>
      </c>
      <c r="S590" s="158">
        <f t="shared" si="316"/>
        <v>0</v>
      </c>
      <c r="T590" s="158">
        <f t="shared" si="316"/>
        <v>0</v>
      </c>
      <c r="U590" s="158">
        <f t="shared" si="316"/>
        <v>0</v>
      </c>
      <c r="V590" s="158">
        <f t="shared" si="316"/>
        <v>0</v>
      </c>
      <c r="W590" s="158">
        <f t="shared" si="316"/>
        <v>0</v>
      </c>
      <c r="X590" s="158">
        <f t="shared" si="316"/>
        <v>0</v>
      </c>
      <c r="Y590" s="158">
        <f t="shared" si="316"/>
        <v>0</v>
      </c>
      <c r="Z590" s="158">
        <f t="shared" si="316"/>
        <v>0</v>
      </c>
      <c r="AA590" s="158">
        <f t="shared" si="316"/>
        <v>0</v>
      </c>
      <c r="AB590" s="158">
        <f t="shared" si="316"/>
        <v>0</v>
      </c>
      <c r="AC590" s="158">
        <f t="shared" si="316"/>
        <v>0</v>
      </c>
      <c r="AD590" s="158">
        <f t="shared" si="316"/>
        <v>0</v>
      </c>
      <c r="AE590" s="158">
        <f t="shared" si="316"/>
        <v>0</v>
      </c>
      <c r="AF590" s="158">
        <f t="shared" si="316"/>
        <v>0</v>
      </c>
      <c r="AG590" s="158">
        <f t="shared" si="316"/>
        <v>0</v>
      </c>
      <c r="AH590" s="158">
        <f t="shared" si="316"/>
        <v>0</v>
      </c>
      <c r="AI590" s="158">
        <f t="shared" si="316"/>
        <v>0</v>
      </c>
      <c r="AJ590" s="158">
        <f t="shared" si="316"/>
        <v>0</v>
      </c>
      <c r="AK590" s="158">
        <f t="shared" si="316"/>
        <v>0</v>
      </c>
      <c r="AL590" s="158">
        <f t="shared" si="316"/>
        <v>289234596.99691093</v>
      </c>
      <c r="AM590" s="158">
        <f t="shared" si="316"/>
        <v>248422135</v>
      </c>
      <c r="AN590" s="158">
        <f t="shared" si="316"/>
        <v>245627000</v>
      </c>
      <c r="AO590" s="158">
        <f t="shared" si="316"/>
        <v>0</v>
      </c>
      <c r="AP590" s="158">
        <f t="shared" si="316"/>
        <v>0</v>
      </c>
      <c r="AQ590" s="158">
        <f t="shared" si="316"/>
        <v>0</v>
      </c>
      <c r="AR590" s="158">
        <f t="shared" si="316"/>
        <v>0</v>
      </c>
      <c r="AS590" s="158">
        <f t="shared" si="316"/>
        <v>0</v>
      </c>
      <c r="AT590" s="158">
        <f t="shared" si="316"/>
        <v>0</v>
      </c>
      <c r="AU590" s="158">
        <f t="shared" si="316"/>
        <v>100000000</v>
      </c>
      <c r="AV590" s="158">
        <f t="shared" si="316"/>
        <v>96170948</v>
      </c>
      <c r="AW590" s="158">
        <f t="shared" si="316"/>
        <v>91711083</v>
      </c>
      <c r="AX590" s="158">
        <f t="shared" si="316"/>
        <v>0</v>
      </c>
      <c r="AY590" s="158">
        <f t="shared" si="316"/>
        <v>0</v>
      </c>
      <c r="AZ590" s="158">
        <f t="shared" si="316"/>
        <v>0</v>
      </c>
      <c r="BA590" s="158">
        <f t="shared" si="316"/>
        <v>0</v>
      </c>
      <c r="BB590" s="158">
        <f t="shared" si="316"/>
        <v>0</v>
      </c>
      <c r="BC590" s="158">
        <f t="shared" si="316"/>
        <v>0</v>
      </c>
      <c r="BD590" s="158">
        <f t="shared" si="316"/>
        <v>0</v>
      </c>
      <c r="BE590" s="158">
        <f t="shared" si="316"/>
        <v>0</v>
      </c>
      <c r="BF590" s="158">
        <f t="shared" si="316"/>
        <v>0</v>
      </c>
      <c r="BG590" s="158">
        <f t="shared" si="316"/>
        <v>0</v>
      </c>
      <c r="BH590" s="158">
        <f t="shared" si="316"/>
        <v>0</v>
      </c>
      <c r="BI590" s="158">
        <f t="shared" si="316"/>
        <v>0</v>
      </c>
      <c r="BJ590" s="158">
        <f t="shared" si="316"/>
        <v>0</v>
      </c>
      <c r="BK590" s="158">
        <f t="shared" si="316"/>
        <v>0</v>
      </c>
      <c r="BL590" s="158">
        <f t="shared" si="316"/>
        <v>0</v>
      </c>
      <c r="BM590" s="158">
        <f t="shared" si="316"/>
        <v>0</v>
      </c>
      <c r="BN590" s="158">
        <f t="shared" si="316"/>
        <v>0</v>
      </c>
      <c r="BO590" s="158">
        <f t="shared" si="316"/>
        <v>0</v>
      </c>
      <c r="BP590" s="158">
        <f t="shared" si="316"/>
        <v>0</v>
      </c>
      <c r="BQ590" s="158">
        <f t="shared" si="316"/>
        <v>0</v>
      </c>
      <c r="BR590" s="158">
        <f t="shared" si="316"/>
        <v>0</v>
      </c>
      <c r="BS590" s="158">
        <f t="shared" si="316"/>
        <v>0</v>
      </c>
      <c r="BT590" s="158">
        <f t="shared" si="316"/>
        <v>0</v>
      </c>
      <c r="BU590" s="158">
        <f t="shared" si="316"/>
        <v>0</v>
      </c>
      <c r="BV590" s="158">
        <f t="shared" si="316"/>
        <v>0</v>
      </c>
      <c r="BW590" s="158">
        <f t="shared" si="316"/>
        <v>0</v>
      </c>
      <c r="BX590" s="158">
        <f t="shared" si="316"/>
        <v>0</v>
      </c>
      <c r="BY590" s="158">
        <f t="shared" si="316"/>
        <v>0</v>
      </c>
      <c r="BZ590" s="158">
        <f t="shared" si="316"/>
        <v>0</v>
      </c>
      <c r="CA590" s="158">
        <f t="shared" si="316"/>
        <v>0</v>
      </c>
      <c r="CB590" s="158">
        <f t="shared" si="316"/>
        <v>0</v>
      </c>
      <c r="CC590" s="158">
        <f t="shared" ref="CC590:CS590" si="317">SUM(CC585:CC589)</f>
        <v>0</v>
      </c>
      <c r="CD590" s="158">
        <f t="shared" si="317"/>
        <v>0</v>
      </c>
      <c r="CE590" s="158">
        <f t="shared" si="317"/>
        <v>0</v>
      </c>
      <c r="CF590" s="158">
        <f t="shared" si="317"/>
        <v>0</v>
      </c>
      <c r="CG590" s="158">
        <f t="shared" si="317"/>
        <v>0</v>
      </c>
      <c r="CH590" s="158">
        <f t="shared" si="317"/>
        <v>0</v>
      </c>
      <c r="CI590" s="158">
        <f t="shared" si="317"/>
        <v>0</v>
      </c>
      <c r="CJ590" s="158">
        <f t="shared" si="317"/>
        <v>0</v>
      </c>
      <c r="CK590" s="158">
        <f t="shared" si="317"/>
        <v>0</v>
      </c>
      <c r="CL590" s="158">
        <f t="shared" si="317"/>
        <v>0</v>
      </c>
      <c r="CM590" s="158">
        <f t="shared" si="317"/>
        <v>0</v>
      </c>
      <c r="CN590" s="158">
        <f t="shared" si="317"/>
        <v>407432105</v>
      </c>
      <c r="CO590" s="158">
        <f t="shared" si="317"/>
        <v>157383990</v>
      </c>
      <c r="CP590" s="158">
        <f t="shared" si="317"/>
        <v>157383990</v>
      </c>
      <c r="CQ590" s="158">
        <f t="shared" si="317"/>
        <v>0</v>
      </c>
      <c r="CR590" s="158">
        <f t="shared" si="317"/>
        <v>0</v>
      </c>
      <c r="CS590" s="158">
        <f t="shared" si="317"/>
        <v>0</v>
      </c>
      <c r="CT590" s="394">
        <f>SUM(CT585:CT589)</f>
        <v>796666701.99691093</v>
      </c>
      <c r="CU590" s="158">
        <f>SUM(CU585:CU589)</f>
        <v>501977073</v>
      </c>
      <c r="CV590" s="158">
        <f>SUM(CV585:CV589)</f>
        <v>494722073</v>
      </c>
    </row>
    <row r="591" spans="1:100" ht="15" x14ac:dyDescent="0.25">
      <c r="A591" s="18"/>
      <c r="B591" s="19"/>
      <c r="C591" s="949"/>
      <c r="D591" s="177"/>
      <c r="E591" s="949"/>
      <c r="F591" s="949"/>
      <c r="G591" s="177"/>
      <c r="H591" s="949"/>
      <c r="I591" s="177"/>
      <c r="J591" s="949"/>
      <c r="K591" s="949"/>
      <c r="L591" s="930"/>
      <c r="M591" s="930"/>
      <c r="N591" s="230"/>
      <c r="O591" s="221"/>
      <c r="P591" s="949"/>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0"/>
      <c r="BS591" s="180"/>
      <c r="BT591" s="180"/>
      <c r="BU591" s="180"/>
      <c r="BV591" s="180"/>
      <c r="BW591" s="180"/>
      <c r="BX591" s="180"/>
      <c r="BY591" s="180"/>
      <c r="BZ591" s="180"/>
      <c r="CA591" s="180"/>
      <c r="CB591" s="180"/>
      <c r="CC591" s="180"/>
      <c r="CD591" s="180"/>
      <c r="CE591" s="182"/>
      <c r="CF591" s="182"/>
      <c r="CG591" s="182"/>
      <c r="CH591" s="183"/>
      <c r="CI591" s="183"/>
      <c r="CJ591" s="183"/>
      <c r="CK591" s="180"/>
      <c r="CL591" s="180"/>
      <c r="CM591" s="180"/>
      <c r="CN591" s="180"/>
      <c r="CO591" s="180"/>
      <c r="CP591" s="180"/>
      <c r="CQ591" s="180"/>
      <c r="CR591" s="180"/>
      <c r="CS591" s="180"/>
      <c r="CT591" s="886"/>
      <c r="CU591" s="516"/>
      <c r="CV591" s="516"/>
    </row>
    <row r="592" spans="1:100" ht="15" x14ac:dyDescent="0.25">
      <c r="A592" s="18"/>
      <c r="B592" s="19"/>
      <c r="C592" s="949"/>
      <c r="D592" s="153"/>
      <c r="E592" s="581"/>
      <c r="F592" s="581"/>
      <c r="G592" s="339">
        <v>41</v>
      </c>
      <c r="H592" s="189" t="s">
        <v>728</v>
      </c>
      <c r="I592" s="189"/>
      <c r="J592" s="189"/>
      <c r="K592" s="189"/>
      <c r="L592" s="189"/>
      <c r="M592" s="189"/>
      <c r="N592" s="189"/>
      <c r="O592" s="189"/>
      <c r="P592" s="189"/>
      <c r="Q592" s="189"/>
      <c r="R592" s="922"/>
      <c r="S592" s="922"/>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c r="BU592" s="189"/>
      <c r="BV592" s="189"/>
      <c r="BW592" s="189"/>
      <c r="BX592" s="189"/>
      <c r="BY592" s="189"/>
      <c r="BZ592" s="189"/>
      <c r="CA592" s="189"/>
      <c r="CB592" s="189"/>
      <c r="CC592" s="189"/>
      <c r="CD592" s="189"/>
      <c r="CE592" s="190"/>
      <c r="CF592" s="190"/>
      <c r="CG592" s="190"/>
      <c r="CH592" s="189"/>
      <c r="CI592" s="189"/>
      <c r="CJ592" s="189"/>
      <c r="CK592" s="189"/>
      <c r="CL592" s="189"/>
      <c r="CM592" s="189"/>
      <c r="CN592" s="189"/>
      <c r="CO592" s="189"/>
      <c r="CP592" s="189"/>
      <c r="CQ592" s="189"/>
      <c r="CR592" s="189"/>
      <c r="CS592" s="189"/>
      <c r="CT592" s="673"/>
      <c r="CU592" s="522"/>
      <c r="CV592" s="522"/>
    </row>
    <row r="593" spans="1:100" ht="51.75" customHeight="1" x14ac:dyDescent="0.25">
      <c r="A593" s="18"/>
      <c r="B593" s="19"/>
      <c r="C593" s="1067">
        <v>28</v>
      </c>
      <c r="D593" s="1090" t="s">
        <v>906</v>
      </c>
      <c r="E593" s="1092">
        <v>0.5</v>
      </c>
      <c r="F593" s="1092">
        <v>1</v>
      </c>
      <c r="G593" s="1094"/>
      <c r="H593" s="927">
        <v>147</v>
      </c>
      <c r="I593" s="928" t="s">
        <v>729</v>
      </c>
      <c r="J593" s="929">
        <v>14</v>
      </c>
      <c r="K593" s="929">
        <v>14</v>
      </c>
      <c r="L593" s="929">
        <v>0</v>
      </c>
      <c r="M593" s="1021" t="s">
        <v>670</v>
      </c>
      <c r="N593" s="1017" t="s">
        <v>730</v>
      </c>
      <c r="O593" s="1012" t="s">
        <v>731</v>
      </c>
      <c r="P593" s="929" t="s">
        <v>38</v>
      </c>
      <c r="Q593" s="25">
        <v>0</v>
      </c>
      <c r="R593" s="25"/>
      <c r="S593" s="25"/>
      <c r="T593" s="25">
        <v>0</v>
      </c>
      <c r="U593" s="25"/>
      <c r="V593" s="25"/>
      <c r="W593" s="25">
        <v>0</v>
      </c>
      <c r="X593" s="25"/>
      <c r="Y593" s="25"/>
      <c r="Z593" s="25">
        <v>0</v>
      </c>
      <c r="AA593" s="25"/>
      <c r="AB593" s="25"/>
      <c r="AC593" s="25">
        <v>0</v>
      </c>
      <c r="AD593" s="25"/>
      <c r="AE593" s="25"/>
      <c r="AF593" s="25">
        <v>0</v>
      </c>
      <c r="AG593" s="25"/>
      <c r="AH593" s="25"/>
      <c r="AI593" s="25">
        <v>0</v>
      </c>
      <c r="AJ593" s="25"/>
      <c r="AK593" s="25"/>
      <c r="AL593" s="3">
        <v>5150000</v>
      </c>
      <c r="AM593" s="3"/>
      <c r="AN593" s="3"/>
      <c r="AO593" s="13"/>
      <c r="AP593" s="13"/>
      <c r="AQ593" s="13"/>
      <c r="AR593" s="13"/>
      <c r="AS593" s="13"/>
      <c r="AT593" s="13"/>
      <c r="AU593" s="319">
        <v>0</v>
      </c>
      <c r="AV593" s="319"/>
      <c r="AW593" s="319"/>
      <c r="AX593" s="319"/>
      <c r="AY593" s="319"/>
      <c r="AZ593" s="319"/>
      <c r="BA593" s="319">
        <v>0</v>
      </c>
      <c r="BB593" s="319"/>
      <c r="BC593" s="319"/>
      <c r="BD593" s="319">
        <v>0</v>
      </c>
      <c r="BE593" s="319"/>
      <c r="BF593" s="319"/>
      <c r="BG593" s="250"/>
      <c r="BH593" s="250"/>
      <c r="BI593" s="250"/>
      <c r="BJ593" s="250"/>
      <c r="BK593" s="250"/>
      <c r="BL593" s="250"/>
      <c r="BM593" s="250"/>
      <c r="BN593" s="250"/>
      <c r="BO593" s="250"/>
      <c r="BP593" s="250"/>
      <c r="BQ593" s="250"/>
      <c r="BR593" s="250"/>
      <c r="BS593" s="250"/>
      <c r="BT593" s="250"/>
      <c r="BU593" s="250"/>
      <c r="BV593" s="250"/>
      <c r="BW593" s="250"/>
      <c r="BX593" s="250"/>
      <c r="BY593" s="319">
        <v>0</v>
      </c>
      <c r="BZ593" s="319"/>
      <c r="CA593" s="319"/>
      <c r="CB593" s="319">
        <v>0</v>
      </c>
      <c r="CC593" s="319"/>
      <c r="CD593" s="319"/>
      <c r="CE593" s="496">
        <v>0</v>
      </c>
      <c r="CF593" s="496"/>
      <c r="CG593" s="496"/>
      <c r="CH593" s="497"/>
      <c r="CI593" s="497"/>
      <c r="CJ593" s="497"/>
      <c r="CK593" s="319">
        <v>0</v>
      </c>
      <c r="CL593" s="288"/>
      <c r="CM593" s="288"/>
      <c r="CN593" s="288">
        <v>0</v>
      </c>
      <c r="CO593" s="288"/>
      <c r="CP593" s="288"/>
      <c r="CQ593" s="288"/>
      <c r="CR593" s="288"/>
      <c r="CS593" s="288"/>
      <c r="CT593" s="886">
        <f t="shared" ref="CT593:CV594" si="318">Q593+T593+W593+Z593+AC593+AF593+AI593+AL593+AO593+AR593+AU593+AX593+BA593+BD593+BG593+BJ593+BM593+BP593+BS593+BV593+BY593+CB593+CE593+CH593+CK593+CQ593+CN593</f>
        <v>5150000</v>
      </c>
      <c r="CU593" s="25">
        <f t="shared" si="318"/>
        <v>0</v>
      </c>
      <c r="CV593" s="25">
        <f t="shared" si="318"/>
        <v>0</v>
      </c>
    </row>
    <row r="594" spans="1:100" ht="62.25" customHeight="1" x14ac:dyDescent="0.25">
      <c r="A594" s="18"/>
      <c r="B594" s="19"/>
      <c r="C594" s="1069"/>
      <c r="D594" s="1091"/>
      <c r="E594" s="1093"/>
      <c r="F594" s="1093"/>
      <c r="G594" s="1095"/>
      <c r="H594" s="927">
        <v>148</v>
      </c>
      <c r="I594" s="928" t="s">
        <v>732</v>
      </c>
      <c r="J594" s="929" t="s">
        <v>30</v>
      </c>
      <c r="K594" s="929">
        <v>11</v>
      </c>
      <c r="L594" s="929">
        <v>0</v>
      </c>
      <c r="M594" s="1022"/>
      <c r="N594" s="1019"/>
      <c r="O594" s="1013"/>
      <c r="P594" s="929" t="s">
        <v>38</v>
      </c>
      <c r="Q594" s="25">
        <v>0</v>
      </c>
      <c r="R594" s="25"/>
      <c r="S594" s="25"/>
      <c r="T594" s="25">
        <v>0</v>
      </c>
      <c r="U594" s="25"/>
      <c r="V594" s="25"/>
      <c r="W594" s="25">
        <v>0</v>
      </c>
      <c r="X594" s="25"/>
      <c r="Y594" s="25"/>
      <c r="Z594" s="25">
        <v>0</v>
      </c>
      <c r="AA594" s="25"/>
      <c r="AB594" s="25"/>
      <c r="AC594" s="25">
        <v>0</v>
      </c>
      <c r="AD594" s="25"/>
      <c r="AE594" s="25"/>
      <c r="AF594" s="25">
        <v>0</v>
      </c>
      <c r="AG594" s="25"/>
      <c r="AH594" s="25"/>
      <c r="AI594" s="25">
        <v>0</v>
      </c>
      <c r="AJ594" s="25"/>
      <c r="AK594" s="25"/>
      <c r="AL594" s="3">
        <v>5150000</v>
      </c>
      <c r="AM594" s="3"/>
      <c r="AN594" s="3"/>
      <c r="AO594" s="13"/>
      <c r="AP594" s="13"/>
      <c r="AQ594" s="13"/>
      <c r="AR594" s="13"/>
      <c r="AS594" s="13"/>
      <c r="AT594" s="13"/>
      <c r="AU594" s="319">
        <v>0</v>
      </c>
      <c r="AV594" s="319"/>
      <c r="AW594" s="319"/>
      <c r="AX594" s="319"/>
      <c r="AY594" s="319"/>
      <c r="AZ594" s="319"/>
      <c r="BA594" s="319">
        <v>0</v>
      </c>
      <c r="BB594" s="319"/>
      <c r="BC594" s="319"/>
      <c r="BD594" s="319">
        <v>0</v>
      </c>
      <c r="BE594" s="319"/>
      <c r="BF594" s="319"/>
      <c r="BG594" s="250"/>
      <c r="BH594" s="250"/>
      <c r="BI594" s="250"/>
      <c r="BJ594" s="250"/>
      <c r="BK594" s="250"/>
      <c r="BL594" s="250"/>
      <c r="BM594" s="250"/>
      <c r="BN594" s="250"/>
      <c r="BO594" s="250"/>
      <c r="BP594" s="250"/>
      <c r="BQ594" s="250"/>
      <c r="BR594" s="250"/>
      <c r="BS594" s="250"/>
      <c r="BT594" s="250"/>
      <c r="BU594" s="250"/>
      <c r="BV594" s="250"/>
      <c r="BW594" s="250"/>
      <c r="BX594" s="250"/>
      <c r="BY594" s="319">
        <v>0</v>
      </c>
      <c r="BZ594" s="319"/>
      <c r="CA594" s="319"/>
      <c r="CB594" s="319">
        <v>0</v>
      </c>
      <c r="CC594" s="319"/>
      <c r="CD594" s="319"/>
      <c r="CE594" s="496">
        <v>0</v>
      </c>
      <c r="CF594" s="496"/>
      <c r="CG594" s="496"/>
      <c r="CH594" s="497"/>
      <c r="CI594" s="497"/>
      <c r="CJ594" s="497"/>
      <c r="CK594" s="319">
        <v>0</v>
      </c>
      <c r="CL594" s="288"/>
      <c r="CM594" s="288"/>
      <c r="CN594" s="288">
        <v>0</v>
      </c>
      <c r="CO594" s="288"/>
      <c r="CP594" s="288"/>
      <c r="CQ594" s="288"/>
      <c r="CR594" s="288"/>
      <c r="CS594" s="288"/>
      <c r="CT594" s="886">
        <f t="shared" si="318"/>
        <v>5150000</v>
      </c>
      <c r="CU594" s="25">
        <f t="shared" si="318"/>
        <v>0</v>
      </c>
      <c r="CV594" s="25">
        <f t="shared" si="318"/>
        <v>0</v>
      </c>
    </row>
    <row r="595" spans="1:100" ht="15" x14ac:dyDescent="0.25">
      <c r="A595" s="18"/>
      <c r="B595" s="19"/>
      <c r="C595" s="927"/>
      <c r="D595" s="153"/>
      <c r="E595" s="581"/>
      <c r="F595" s="581"/>
      <c r="G595" s="154"/>
      <c r="H595" s="155"/>
      <c r="I595" s="154"/>
      <c r="J595" s="155"/>
      <c r="K595" s="155"/>
      <c r="L595" s="155"/>
      <c r="M595" s="155"/>
      <c r="N595" s="157"/>
      <c r="O595" s="154"/>
      <c r="P595" s="155"/>
      <c r="Q595" s="158">
        <f t="shared" ref="Q595:CB595" si="319">SUM(Q593:Q594)</f>
        <v>0</v>
      </c>
      <c r="R595" s="158">
        <f t="shared" si="319"/>
        <v>0</v>
      </c>
      <c r="S595" s="158">
        <f t="shared" si="319"/>
        <v>0</v>
      </c>
      <c r="T595" s="158">
        <f t="shared" si="319"/>
        <v>0</v>
      </c>
      <c r="U595" s="158">
        <f t="shared" si="319"/>
        <v>0</v>
      </c>
      <c r="V595" s="158">
        <f t="shared" si="319"/>
        <v>0</v>
      </c>
      <c r="W595" s="158">
        <f t="shared" si="319"/>
        <v>0</v>
      </c>
      <c r="X595" s="158">
        <f t="shared" si="319"/>
        <v>0</v>
      </c>
      <c r="Y595" s="158">
        <f t="shared" si="319"/>
        <v>0</v>
      </c>
      <c r="Z595" s="158">
        <f t="shared" si="319"/>
        <v>0</v>
      </c>
      <c r="AA595" s="158">
        <f t="shared" si="319"/>
        <v>0</v>
      </c>
      <c r="AB595" s="158">
        <f t="shared" si="319"/>
        <v>0</v>
      </c>
      <c r="AC595" s="158">
        <f t="shared" si="319"/>
        <v>0</v>
      </c>
      <c r="AD595" s="158">
        <f t="shared" si="319"/>
        <v>0</v>
      </c>
      <c r="AE595" s="158">
        <f t="shared" si="319"/>
        <v>0</v>
      </c>
      <c r="AF595" s="158">
        <f t="shared" si="319"/>
        <v>0</v>
      </c>
      <c r="AG595" s="158">
        <f t="shared" si="319"/>
        <v>0</v>
      </c>
      <c r="AH595" s="158">
        <f t="shared" si="319"/>
        <v>0</v>
      </c>
      <c r="AI595" s="158">
        <f t="shared" si="319"/>
        <v>0</v>
      </c>
      <c r="AJ595" s="158">
        <f t="shared" si="319"/>
        <v>0</v>
      </c>
      <c r="AK595" s="158">
        <f t="shared" si="319"/>
        <v>0</v>
      </c>
      <c r="AL595" s="158">
        <f t="shared" si="319"/>
        <v>10300000</v>
      </c>
      <c r="AM595" s="158">
        <f t="shared" si="319"/>
        <v>0</v>
      </c>
      <c r="AN595" s="158">
        <f t="shared" si="319"/>
        <v>0</v>
      </c>
      <c r="AO595" s="158">
        <f t="shared" si="319"/>
        <v>0</v>
      </c>
      <c r="AP595" s="158">
        <f t="shared" si="319"/>
        <v>0</v>
      </c>
      <c r="AQ595" s="158">
        <f t="shared" si="319"/>
        <v>0</v>
      </c>
      <c r="AR595" s="158">
        <f t="shared" si="319"/>
        <v>0</v>
      </c>
      <c r="AS595" s="158">
        <f t="shared" si="319"/>
        <v>0</v>
      </c>
      <c r="AT595" s="158">
        <f t="shared" si="319"/>
        <v>0</v>
      </c>
      <c r="AU595" s="158">
        <f t="shared" si="319"/>
        <v>0</v>
      </c>
      <c r="AV595" s="158">
        <f t="shared" si="319"/>
        <v>0</v>
      </c>
      <c r="AW595" s="158">
        <f t="shared" si="319"/>
        <v>0</v>
      </c>
      <c r="AX595" s="158">
        <f t="shared" si="319"/>
        <v>0</v>
      </c>
      <c r="AY595" s="158">
        <f t="shared" si="319"/>
        <v>0</v>
      </c>
      <c r="AZ595" s="158">
        <f t="shared" si="319"/>
        <v>0</v>
      </c>
      <c r="BA595" s="158">
        <f t="shared" si="319"/>
        <v>0</v>
      </c>
      <c r="BB595" s="158">
        <f t="shared" si="319"/>
        <v>0</v>
      </c>
      <c r="BC595" s="158">
        <f t="shared" si="319"/>
        <v>0</v>
      </c>
      <c r="BD595" s="158">
        <f t="shared" si="319"/>
        <v>0</v>
      </c>
      <c r="BE595" s="158">
        <f t="shared" si="319"/>
        <v>0</v>
      </c>
      <c r="BF595" s="158">
        <f t="shared" si="319"/>
        <v>0</v>
      </c>
      <c r="BG595" s="158">
        <f t="shared" si="319"/>
        <v>0</v>
      </c>
      <c r="BH595" s="158">
        <f t="shared" si="319"/>
        <v>0</v>
      </c>
      <c r="BI595" s="158">
        <f t="shared" si="319"/>
        <v>0</v>
      </c>
      <c r="BJ595" s="158">
        <f t="shared" si="319"/>
        <v>0</v>
      </c>
      <c r="BK595" s="158">
        <f t="shared" si="319"/>
        <v>0</v>
      </c>
      <c r="BL595" s="158">
        <f t="shared" si="319"/>
        <v>0</v>
      </c>
      <c r="BM595" s="158">
        <f t="shared" si="319"/>
        <v>0</v>
      </c>
      <c r="BN595" s="158">
        <f t="shared" si="319"/>
        <v>0</v>
      </c>
      <c r="BO595" s="158">
        <f t="shared" si="319"/>
        <v>0</v>
      </c>
      <c r="BP595" s="158">
        <f t="shared" si="319"/>
        <v>0</v>
      </c>
      <c r="BQ595" s="158">
        <f t="shared" si="319"/>
        <v>0</v>
      </c>
      <c r="BR595" s="158">
        <f t="shared" si="319"/>
        <v>0</v>
      </c>
      <c r="BS595" s="158">
        <f t="shared" si="319"/>
        <v>0</v>
      </c>
      <c r="BT595" s="158">
        <f t="shared" si="319"/>
        <v>0</v>
      </c>
      <c r="BU595" s="158">
        <f t="shared" si="319"/>
        <v>0</v>
      </c>
      <c r="BV595" s="158">
        <f t="shared" si="319"/>
        <v>0</v>
      </c>
      <c r="BW595" s="158">
        <f t="shared" si="319"/>
        <v>0</v>
      </c>
      <c r="BX595" s="158">
        <f t="shared" si="319"/>
        <v>0</v>
      </c>
      <c r="BY595" s="158">
        <f t="shared" si="319"/>
        <v>0</v>
      </c>
      <c r="BZ595" s="158">
        <f t="shared" si="319"/>
        <v>0</v>
      </c>
      <c r="CA595" s="158">
        <f t="shared" si="319"/>
        <v>0</v>
      </c>
      <c r="CB595" s="158">
        <f t="shared" si="319"/>
        <v>0</v>
      </c>
      <c r="CC595" s="158">
        <f t="shared" ref="CC595:CS595" si="320">SUM(CC593:CC594)</f>
        <v>0</v>
      </c>
      <c r="CD595" s="158">
        <f t="shared" si="320"/>
        <v>0</v>
      </c>
      <c r="CE595" s="158">
        <f t="shared" si="320"/>
        <v>0</v>
      </c>
      <c r="CF595" s="158">
        <f t="shared" si="320"/>
        <v>0</v>
      </c>
      <c r="CG595" s="158">
        <f t="shared" si="320"/>
        <v>0</v>
      </c>
      <c r="CH595" s="158">
        <f t="shared" si="320"/>
        <v>0</v>
      </c>
      <c r="CI595" s="158">
        <f t="shared" si="320"/>
        <v>0</v>
      </c>
      <c r="CJ595" s="158">
        <f t="shared" si="320"/>
        <v>0</v>
      </c>
      <c r="CK595" s="158">
        <f t="shared" si="320"/>
        <v>0</v>
      </c>
      <c r="CL595" s="158">
        <f t="shared" si="320"/>
        <v>0</v>
      </c>
      <c r="CM595" s="158">
        <f t="shared" si="320"/>
        <v>0</v>
      </c>
      <c r="CN595" s="158">
        <f t="shared" si="320"/>
        <v>0</v>
      </c>
      <c r="CO595" s="158">
        <f t="shared" si="320"/>
        <v>0</v>
      </c>
      <c r="CP595" s="158">
        <f t="shared" si="320"/>
        <v>0</v>
      </c>
      <c r="CQ595" s="158">
        <f t="shared" si="320"/>
        <v>0</v>
      </c>
      <c r="CR595" s="158">
        <f t="shared" si="320"/>
        <v>0</v>
      </c>
      <c r="CS595" s="158">
        <f t="shared" si="320"/>
        <v>0</v>
      </c>
      <c r="CT595" s="394">
        <f>SUM(CT593:CT594)</f>
        <v>10300000</v>
      </c>
      <c r="CU595" s="158">
        <f>SUM(CU593:CU594)</f>
        <v>0</v>
      </c>
      <c r="CV595" s="158">
        <f>SUM(CV593:CV594)</f>
        <v>0</v>
      </c>
    </row>
    <row r="596" spans="1:100" ht="15" x14ac:dyDescent="0.25">
      <c r="A596" s="18"/>
      <c r="B596" s="19"/>
      <c r="C596" s="949"/>
      <c r="D596" s="177"/>
      <c r="E596" s="949"/>
      <c r="F596" s="949"/>
      <c r="G596" s="177"/>
      <c r="H596" s="949"/>
      <c r="I596" s="177"/>
      <c r="J596" s="949"/>
      <c r="K596" s="949"/>
      <c r="L596" s="930"/>
      <c r="M596" s="930"/>
      <c r="N596" s="230"/>
      <c r="O596" s="221"/>
      <c r="P596" s="949"/>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0"/>
      <c r="BS596" s="180"/>
      <c r="BT596" s="180"/>
      <c r="BU596" s="180"/>
      <c r="BV596" s="180"/>
      <c r="BW596" s="180"/>
      <c r="BX596" s="180"/>
      <c r="BY596" s="180"/>
      <c r="BZ596" s="180"/>
      <c r="CA596" s="180"/>
      <c r="CB596" s="180"/>
      <c r="CC596" s="180"/>
      <c r="CD596" s="180"/>
      <c r="CE596" s="182"/>
      <c r="CF596" s="182"/>
      <c r="CG596" s="182"/>
      <c r="CH596" s="183"/>
      <c r="CI596" s="183"/>
      <c r="CJ596" s="183"/>
      <c r="CK596" s="180"/>
      <c r="CL596" s="180"/>
      <c r="CM596" s="180"/>
      <c r="CN596" s="180"/>
      <c r="CO596" s="180"/>
      <c r="CP596" s="180"/>
      <c r="CQ596" s="180"/>
      <c r="CR596" s="180"/>
      <c r="CS596" s="180"/>
      <c r="CT596" s="886"/>
      <c r="CU596" s="516"/>
      <c r="CV596" s="516"/>
    </row>
    <row r="597" spans="1:100" ht="15" x14ac:dyDescent="0.25">
      <c r="A597" s="18"/>
      <c r="B597" s="19"/>
      <c r="C597" s="949"/>
      <c r="D597" s="153"/>
      <c r="E597" s="581"/>
      <c r="F597" s="581"/>
      <c r="G597" s="339">
        <v>42</v>
      </c>
      <c r="H597" s="189" t="s">
        <v>733</v>
      </c>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c r="BU597" s="189"/>
      <c r="BV597" s="189"/>
      <c r="BW597" s="189"/>
      <c r="BX597" s="189"/>
      <c r="BY597" s="189"/>
      <c r="BZ597" s="189"/>
      <c r="CA597" s="189"/>
      <c r="CB597" s="189"/>
      <c r="CC597" s="189"/>
      <c r="CD597" s="189"/>
      <c r="CE597" s="190"/>
      <c r="CF597" s="190"/>
      <c r="CG597" s="190"/>
      <c r="CH597" s="189"/>
      <c r="CI597" s="189"/>
      <c r="CJ597" s="189"/>
      <c r="CK597" s="189"/>
      <c r="CL597" s="189"/>
      <c r="CM597" s="189"/>
      <c r="CN597" s="189"/>
      <c r="CO597" s="189"/>
      <c r="CP597" s="189"/>
      <c r="CQ597" s="189"/>
      <c r="CR597" s="189"/>
      <c r="CS597" s="189"/>
      <c r="CT597" s="673"/>
      <c r="CU597" s="522"/>
      <c r="CV597" s="522"/>
    </row>
    <row r="598" spans="1:100" ht="66" customHeight="1" x14ac:dyDescent="0.25">
      <c r="A598" s="18"/>
      <c r="B598" s="19"/>
      <c r="C598" s="914" t="s">
        <v>702</v>
      </c>
      <c r="D598" s="988" t="s">
        <v>734</v>
      </c>
      <c r="E598" s="86" t="s">
        <v>735</v>
      </c>
      <c r="F598" s="86" t="s">
        <v>736</v>
      </c>
      <c r="G598" s="1096"/>
      <c r="H598" s="30">
        <v>149</v>
      </c>
      <c r="I598" s="928" t="s">
        <v>737</v>
      </c>
      <c r="J598" s="929" t="s">
        <v>30</v>
      </c>
      <c r="K598" s="929">
        <v>8</v>
      </c>
      <c r="L598" s="929">
        <v>9</v>
      </c>
      <c r="M598" s="1021" t="s">
        <v>670</v>
      </c>
      <c r="N598" s="1017" t="s">
        <v>738</v>
      </c>
      <c r="O598" s="1020" t="s">
        <v>739</v>
      </c>
      <c r="P598" s="929" t="s">
        <v>38</v>
      </c>
      <c r="Q598" s="25"/>
      <c r="R598" s="25"/>
      <c r="S598" s="25"/>
      <c r="T598" s="25"/>
      <c r="U598" s="25"/>
      <c r="V598" s="25"/>
      <c r="W598" s="25"/>
      <c r="X598" s="25"/>
      <c r="Y598" s="25"/>
      <c r="Z598" s="25"/>
      <c r="AA598" s="25"/>
      <c r="AB598" s="25"/>
      <c r="AC598" s="25"/>
      <c r="AD598" s="25"/>
      <c r="AE598" s="25"/>
      <c r="AF598" s="25"/>
      <c r="AG598" s="25"/>
      <c r="AH598" s="25"/>
      <c r="AI598" s="25"/>
      <c r="AJ598" s="25"/>
      <c r="AK598" s="25"/>
      <c r="AL598" s="3">
        <v>38625000</v>
      </c>
      <c r="AM598" s="3">
        <v>38573000</v>
      </c>
      <c r="AN598" s="3">
        <v>38573000</v>
      </c>
      <c r="AO598" s="13"/>
      <c r="AP598" s="13"/>
      <c r="AQ598" s="13"/>
      <c r="AR598" s="13"/>
      <c r="AS598" s="13"/>
      <c r="AT598" s="13"/>
      <c r="AU598" s="25"/>
      <c r="AV598" s="25"/>
      <c r="AW598" s="25"/>
      <c r="AX598" s="25"/>
      <c r="AY598" s="25"/>
      <c r="AZ598" s="25"/>
      <c r="BA598" s="25"/>
      <c r="BB598" s="25"/>
      <c r="BC598" s="25"/>
      <c r="BD598" s="25"/>
      <c r="BE598" s="25"/>
      <c r="BF598" s="25"/>
      <c r="BG598" s="250"/>
      <c r="BH598" s="250"/>
      <c r="BI598" s="250"/>
      <c r="BJ598" s="250"/>
      <c r="BK598" s="250"/>
      <c r="BL598" s="250"/>
      <c r="BM598" s="250"/>
      <c r="BN598" s="250"/>
      <c r="BO598" s="250"/>
      <c r="BP598" s="250"/>
      <c r="BQ598" s="250"/>
      <c r="BR598" s="250"/>
      <c r="BS598" s="250"/>
      <c r="BT598" s="250"/>
      <c r="BU598" s="250"/>
      <c r="BV598" s="250"/>
      <c r="BW598" s="250"/>
      <c r="BX598" s="250"/>
      <c r="BY598" s="25"/>
      <c r="BZ598" s="25"/>
      <c r="CA598" s="25"/>
      <c r="CB598" s="25"/>
      <c r="CC598" s="25"/>
      <c r="CD598" s="25"/>
      <c r="CE598" s="496"/>
      <c r="CF598" s="496"/>
      <c r="CG598" s="496"/>
      <c r="CH598" s="497"/>
      <c r="CI598" s="497"/>
      <c r="CJ598" s="497"/>
      <c r="CK598" s="319"/>
      <c r="CL598" s="288"/>
      <c r="CM598" s="288"/>
      <c r="CN598" s="288"/>
      <c r="CO598" s="288"/>
      <c r="CP598" s="288"/>
      <c r="CQ598" s="288"/>
      <c r="CR598" s="288"/>
      <c r="CS598" s="288"/>
      <c r="CT598" s="886">
        <f t="shared" ref="CT598:CV599" si="321">Q598+T598+W598+Z598+AC598+AF598+AI598+AL598+AO598+AR598+AU598+AX598+BA598+BD598+BG598+BJ598+BM598+BP598+BS598+BV598+BY598+CB598+CE598+CH598+CK598+CQ598+CN598</f>
        <v>38625000</v>
      </c>
      <c r="CU598" s="25">
        <f t="shared" si="321"/>
        <v>38573000</v>
      </c>
      <c r="CV598" s="25">
        <f t="shared" si="321"/>
        <v>38573000</v>
      </c>
    </row>
    <row r="599" spans="1:100" ht="94.5" customHeight="1" x14ac:dyDescent="0.25">
      <c r="A599" s="18"/>
      <c r="B599" s="19"/>
      <c r="C599" s="929">
        <v>28</v>
      </c>
      <c r="D599" s="988" t="s">
        <v>740</v>
      </c>
      <c r="E599" s="79">
        <v>0.5</v>
      </c>
      <c r="F599" s="79">
        <v>1</v>
      </c>
      <c r="G599" s="1097"/>
      <c r="H599" s="30">
        <v>150</v>
      </c>
      <c r="I599" s="928" t="s">
        <v>741</v>
      </c>
      <c r="J599" s="929">
        <v>0</v>
      </c>
      <c r="K599" s="929">
        <v>14</v>
      </c>
      <c r="L599" s="916">
        <v>9</v>
      </c>
      <c r="M599" s="1022"/>
      <c r="N599" s="1019"/>
      <c r="O599" s="1013"/>
      <c r="P599" s="929" t="s">
        <v>38</v>
      </c>
      <c r="Q599" s="25">
        <v>0</v>
      </c>
      <c r="R599" s="25"/>
      <c r="S599" s="25"/>
      <c r="T599" s="25">
        <v>0</v>
      </c>
      <c r="U599" s="25"/>
      <c r="V599" s="25"/>
      <c r="W599" s="25">
        <v>0</v>
      </c>
      <c r="X599" s="25"/>
      <c r="Y599" s="25"/>
      <c r="Z599" s="25">
        <v>0</v>
      </c>
      <c r="AA599" s="25"/>
      <c r="AB599" s="25"/>
      <c r="AC599" s="25">
        <v>0</v>
      </c>
      <c r="AD599" s="25"/>
      <c r="AE599" s="25"/>
      <c r="AF599" s="25">
        <v>0</v>
      </c>
      <c r="AG599" s="25"/>
      <c r="AH599" s="25"/>
      <c r="AI599" s="25">
        <v>0</v>
      </c>
      <c r="AJ599" s="25"/>
      <c r="AK599" s="25"/>
      <c r="AL599" s="3">
        <v>12875000</v>
      </c>
      <c r="AM599" s="3">
        <v>12875000</v>
      </c>
      <c r="AN599" s="3">
        <v>12875000</v>
      </c>
      <c r="AO599" s="13"/>
      <c r="AP599" s="13"/>
      <c r="AQ599" s="13"/>
      <c r="AR599" s="13"/>
      <c r="AS599" s="13"/>
      <c r="AT599" s="13"/>
      <c r="AU599" s="25">
        <v>0</v>
      </c>
      <c r="AV599" s="25"/>
      <c r="AW599" s="25"/>
      <c r="AX599" s="25"/>
      <c r="AY599" s="25"/>
      <c r="AZ599" s="25"/>
      <c r="BA599" s="25">
        <v>0</v>
      </c>
      <c r="BB599" s="25"/>
      <c r="BC599" s="25"/>
      <c r="BD599" s="25">
        <v>0</v>
      </c>
      <c r="BE599" s="25"/>
      <c r="BF599" s="25"/>
      <c r="BG599" s="250"/>
      <c r="BH599" s="250"/>
      <c r="BI599" s="250"/>
      <c r="BJ599" s="250"/>
      <c r="BK599" s="250"/>
      <c r="BL599" s="250"/>
      <c r="BM599" s="250"/>
      <c r="BN599" s="250"/>
      <c r="BO599" s="250"/>
      <c r="BP599" s="250"/>
      <c r="BQ599" s="250"/>
      <c r="BR599" s="250"/>
      <c r="BS599" s="250"/>
      <c r="BT599" s="250"/>
      <c r="BU599" s="250"/>
      <c r="BV599" s="250"/>
      <c r="BW599" s="250"/>
      <c r="BX599" s="250"/>
      <c r="BY599" s="25">
        <v>0</v>
      </c>
      <c r="BZ599" s="25"/>
      <c r="CA599" s="25"/>
      <c r="CB599" s="25">
        <v>0</v>
      </c>
      <c r="CC599" s="25"/>
      <c r="CD599" s="25"/>
      <c r="CE599" s="496">
        <v>0</v>
      </c>
      <c r="CF599" s="496"/>
      <c r="CG599" s="496"/>
      <c r="CH599" s="497"/>
      <c r="CI599" s="497"/>
      <c r="CJ599" s="497"/>
      <c r="CK599" s="319">
        <v>0</v>
      </c>
      <c r="CL599" s="288"/>
      <c r="CM599" s="288"/>
      <c r="CN599" s="288">
        <v>0</v>
      </c>
      <c r="CO599" s="288"/>
      <c r="CP599" s="288"/>
      <c r="CQ599" s="288"/>
      <c r="CR599" s="288"/>
      <c r="CS599" s="288"/>
      <c r="CT599" s="886">
        <f t="shared" si="321"/>
        <v>12875000</v>
      </c>
      <c r="CU599" s="25">
        <f t="shared" si="321"/>
        <v>12875000</v>
      </c>
      <c r="CV599" s="25">
        <f t="shared" si="321"/>
        <v>12875000</v>
      </c>
    </row>
    <row r="600" spans="1:100" ht="15" x14ac:dyDescent="0.25">
      <c r="A600" s="18"/>
      <c r="B600" s="19"/>
      <c r="C600" s="927"/>
      <c r="D600" s="928"/>
      <c r="E600" s="929"/>
      <c r="F600" s="929"/>
      <c r="G600" s="298"/>
      <c r="H600" s="311"/>
      <c r="I600" s="154"/>
      <c r="J600" s="155"/>
      <c r="K600" s="155"/>
      <c r="L600" s="155"/>
      <c r="M600" s="155"/>
      <c r="N600" s="157"/>
      <c r="O600" s="154"/>
      <c r="P600" s="155"/>
      <c r="Q600" s="158">
        <f t="shared" ref="Q600:CB600" si="322">SUM(Q598:Q599)</f>
        <v>0</v>
      </c>
      <c r="R600" s="158">
        <f t="shared" si="322"/>
        <v>0</v>
      </c>
      <c r="S600" s="158">
        <f t="shared" si="322"/>
        <v>0</v>
      </c>
      <c r="T600" s="158">
        <f t="shared" si="322"/>
        <v>0</v>
      </c>
      <c r="U600" s="158">
        <f t="shared" si="322"/>
        <v>0</v>
      </c>
      <c r="V600" s="158">
        <f t="shared" si="322"/>
        <v>0</v>
      </c>
      <c r="W600" s="158">
        <f t="shared" si="322"/>
        <v>0</v>
      </c>
      <c r="X600" s="158">
        <f t="shared" si="322"/>
        <v>0</v>
      </c>
      <c r="Y600" s="158">
        <f t="shared" si="322"/>
        <v>0</v>
      </c>
      <c r="Z600" s="158">
        <f t="shared" si="322"/>
        <v>0</v>
      </c>
      <c r="AA600" s="158">
        <f t="shared" si="322"/>
        <v>0</v>
      </c>
      <c r="AB600" s="158">
        <f t="shared" si="322"/>
        <v>0</v>
      </c>
      <c r="AC600" s="158">
        <f t="shared" si="322"/>
        <v>0</v>
      </c>
      <c r="AD600" s="158">
        <f t="shared" si="322"/>
        <v>0</v>
      </c>
      <c r="AE600" s="158">
        <f t="shared" si="322"/>
        <v>0</v>
      </c>
      <c r="AF600" s="158">
        <f t="shared" si="322"/>
        <v>0</v>
      </c>
      <c r="AG600" s="158">
        <f t="shared" si="322"/>
        <v>0</v>
      </c>
      <c r="AH600" s="158">
        <f t="shared" si="322"/>
        <v>0</v>
      </c>
      <c r="AI600" s="158">
        <f t="shared" si="322"/>
        <v>0</v>
      </c>
      <c r="AJ600" s="158">
        <f t="shared" si="322"/>
        <v>0</v>
      </c>
      <c r="AK600" s="158">
        <f t="shared" si="322"/>
        <v>0</v>
      </c>
      <c r="AL600" s="158">
        <f t="shared" si="322"/>
        <v>51500000</v>
      </c>
      <c r="AM600" s="158">
        <f t="shared" si="322"/>
        <v>51448000</v>
      </c>
      <c r="AN600" s="158">
        <f t="shared" si="322"/>
        <v>51448000</v>
      </c>
      <c r="AO600" s="158">
        <f t="shared" si="322"/>
        <v>0</v>
      </c>
      <c r="AP600" s="158">
        <f t="shared" si="322"/>
        <v>0</v>
      </c>
      <c r="AQ600" s="158">
        <f t="shared" si="322"/>
        <v>0</v>
      </c>
      <c r="AR600" s="158">
        <f t="shared" si="322"/>
        <v>0</v>
      </c>
      <c r="AS600" s="158">
        <f t="shared" si="322"/>
        <v>0</v>
      </c>
      <c r="AT600" s="158">
        <f t="shared" si="322"/>
        <v>0</v>
      </c>
      <c r="AU600" s="158">
        <f t="shared" si="322"/>
        <v>0</v>
      </c>
      <c r="AV600" s="158">
        <f t="shared" si="322"/>
        <v>0</v>
      </c>
      <c r="AW600" s="158">
        <f t="shared" si="322"/>
        <v>0</v>
      </c>
      <c r="AX600" s="158">
        <f t="shared" si="322"/>
        <v>0</v>
      </c>
      <c r="AY600" s="158">
        <f t="shared" si="322"/>
        <v>0</v>
      </c>
      <c r="AZ600" s="158">
        <f t="shared" si="322"/>
        <v>0</v>
      </c>
      <c r="BA600" s="158">
        <f t="shared" si="322"/>
        <v>0</v>
      </c>
      <c r="BB600" s="158">
        <f t="shared" si="322"/>
        <v>0</v>
      </c>
      <c r="BC600" s="158">
        <f t="shared" si="322"/>
        <v>0</v>
      </c>
      <c r="BD600" s="158">
        <f t="shared" si="322"/>
        <v>0</v>
      </c>
      <c r="BE600" s="158">
        <f t="shared" si="322"/>
        <v>0</v>
      </c>
      <c r="BF600" s="158">
        <f t="shared" si="322"/>
        <v>0</v>
      </c>
      <c r="BG600" s="158">
        <f t="shared" si="322"/>
        <v>0</v>
      </c>
      <c r="BH600" s="158">
        <f t="shared" si="322"/>
        <v>0</v>
      </c>
      <c r="BI600" s="158">
        <f t="shared" si="322"/>
        <v>0</v>
      </c>
      <c r="BJ600" s="158">
        <f t="shared" si="322"/>
        <v>0</v>
      </c>
      <c r="BK600" s="158">
        <f t="shared" si="322"/>
        <v>0</v>
      </c>
      <c r="BL600" s="158">
        <f t="shared" si="322"/>
        <v>0</v>
      </c>
      <c r="BM600" s="158">
        <f t="shared" si="322"/>
        <v>0</v>
      </c>
      <c r="BN600" s="158">
        <f t="shared" si="322"/>
        <v>0</v>
      </c>
      <c r="BO600" s="158">
        <f t="shared" si="322"/>
        <v>0</v>
      </c>
      <c r="BP600" s="158">
        <f t="shared" si="322"/>
        <v>0</v>
      </c>
      <c r="BQ600" s="158">
        <f t="shared" si="322"/>
        <v>0</v>
      </c>
      <c r="BR600" s="158">
        <f t="shared" si="322"/>
        <v>0</v>
      </c>
      <c r="BS600" s="158">
        <f t="shared" si="322"/>
        <v>0</v>
      </c>
      <c r="BT600" s="158">
        <f t="shared" si="322"/>
        <v>0</v>
      </c>
      <c r="BU600" s="158">
        <f t="shared" si="322"/>
        <v>0</v>
      </c>
      <c r="BV600" s="158">
        <f t="shared" si="322"/>
        <v>0</v>
      </c>
      <c r="BW600" s="158">
        <f t="shared" si="322"/>
        <v>0</v>
      </c>
      <c r="BX600" s="158">
        <f t="shared" si="322"/>
        <v>0</v>
      </c>
      <c r="BY600" s="158">
        <f t="shared" si="322"/>
        <v>0</v>
      </c>
      <c r="BZ600" s="158">
        <f t="shared" si="322"/>
        <v>0</v>
      </c>
      <c r="CA600" s="158">
        <f t="shared" si="322"/>
        <v>0</v>
      </c>
      <c r="CB600" s="158">
        <f t="shared" si="322"/>
        <v>0</v>
      </c>
      <c r="CC600" s="158">
        <f t="shared" ref="CC600:CS600" si="323">SUM(CC598:CC599)</f>
        <v>0</v>
      </c>
      <c r="CD600" s="158">
        <f t="shared" si="323"/>
        <v>0</v>
      </c>
      <c r="CE600" s="158">
        <f t="shared" si="323"/>
        <v>0</v>
      </c>
      <c r="CF600" s="158">
        <f t="shared" si="323"/>
        <v>0</v>
      </c>
      <c r="CG600" s="158">
        <f t="shared" si="323"/>
        <v>0</v>
      </c>
      <c r="CH600" s="158">
        <f t="shared" si="323"/>
        <v>0</v>
      </c>
      <c r="CI600" s="158">
        <f t="shared" si="323"/>
        <v>0</v>
      </c>
      <c r="CJ600" s="158">
        <f t="shared" si="323"/>
        <v>0</v>
      </c>
      <c r="CK600" s="158">
        <f t="shared" si="323"/>
        <v>0</v>
      </c>
      <c r="CL600" s="158">
        <f t="shared" si="323"/>
        <v>0</v>
      </c>
      <c r="CM600" s="158">
        <f t="shared" si="323"/>
        <v>0</v>
      </c>
      <c r="CN600" s="158">
        <f t="shared" si="323"/>
        <v>0</v>
      </c>
      <c r="CO600" s="158">
        <f t="shared" si="323"/>
        <v>0</v>
      </c>
      <c r="CP600" s="158">
        <f t="shared" si="323"/>
        <v>0</v>
      </c>
      <c r="CQ600" s="158">
        <f t="shared" si="323"/>
        <v>0</v>
      </c>
      <c r="CR600" s="158">
        <f t="shared" si="323"/>
        <v>0</v>
      </c>
      <c r="CS600" s="158">
        <f t="shared" si="323"/>
        <v>0</v>
      </c>
      <c r="CT600" s="394">
        <f>SUM(CT598:CT599)</f>
        <v>51500000</v>
      </c>
      <c r="CU600" s="158">
        <f>SUM(CU598:CU599)</f>
        <v>51448000</v>
      </c>
      <c r="CV600" s="158">
        <f>SUM(CV598:CV599)</f>
        <v>51448000</v>
      </c>
    </row>
    <row r="601" spans="1:100" ht="15" x14ac:dyDescent="0.25">
      <c r="A601" s="18"/>
      <c r="B601" s="19"/>
      <c r="C601" s="949"/>
      <c r="D601" s="177"/>
      <c r="E601" s="949"/>
      <c r="F601" s="949"/>
      <c r="G601" s="177"/>
      <c r="H601" s="949"/>
      <c r="I601" s="177"/>
      <c r="J601" s="949"/>
      <c r="K601" s="949"/>
      <c r="L601" s="930"/>
      <c r="M601" s="930"/>
      <c r="N601" s="230"/>
      <c r="O601" s="221"/>
      <c r="P601" s="949"/>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c r="BZ601" s="180"/>
      <c r="CA601" s="180"/>
      <c r="CB601" s="180"/>
      <c r="CC601" s="180"/>
      <c r="CD601" s="180"/>
      <c r="CE601" s="182"/>
      <c r="CF601" s="182"/>
      <c r="CG601" s="182"/>
      <c r="CH601" s="183"/>
      <c r="CI601" s="183"/>
      <c r="CJ601" s="183"/>
      <c r="CK601" s="180"/>
      <c r="CL601" s="180"/>
      <c r="CM601" s="180"/>
      <c r="CN601" s="180"/>
      <c r="CO601" s="180"/>
      <c r="CP601" s="180"/>
      <c r="CQ601" s="180"/>
      <c r="CR601" s="180"/>
      <c r="CS601" s="180"/>
      <c r="CT601" s="886"/>
      <c r="CU601" s="516"/>
      <c r="CV601" s="516"/>
    </row>
    <row r="602" spans="1:100" ht="15" x14ac:dyDescent="0.25">
      <c r="A602" s="18"/>
      <c r="B602" s="18"/>
      <c r="C602" s="914"/>
      <c r="D602" s="953"/>
      <c r="E602" s="944"/>
      <c r="F602" s="944"/>
      <c r="G602" s="339">
        <v>43</v>
      </c>
      <c r="H602" s="189" t="s">
        <v>742</v>
      </c>
      <c r="I602" s="189"/>
      <c r="J602" s="189"/>
      <c r="K602" s="189"/>
      <c r="L602" s="189"/>
      <c r="M602" s="189"/>
      <c r="N602" s="189"/>
      <c r="O602" s="189"/>
      <c r="P602" s="189"/>
      <c r="Q602" s="189"/>
      <c r="R602" s="922"/>
      <c r="S602" s="922"/>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c r="BU602" s="189"/>
      <c r="BV602" s="189"/>
      <c r="BW602" s="189"/>
      <c r="BX602" s="189"/>
      <c r="BY602" s="189"/>
      <c r="BZ602" s="189"/>
      <c r="CA602" s="189"/>
      <c r="CB602" s="189"/>
      <c r="CC602" s="189"/>
      <c r="CD602" s="189"/>
      <c r="CE602" s="190"/>
      <c r="CF602" s="190"/>
      <c r="CG602" s="190"/>
      <c r="CH602" s="189"/>
      <c r="CI602" s="189"/>
      <c r="CJ602" s="189"/>
      <c r="CK602" s="189"/>
      <c r="CL602" s="189"/>
      <c r="CM602" s="189"/>
      <c r="CN602" s="189"/>
      <c r="CO602" s="189"/>
      <c r="CP602" s="189"/>
      <c r="CQ602" s="189"/>
      <c r="CR602" s="189"/>
      <c r="CS602" s="189"/>
      <c r="CT602" s="673"/>
      <c r="CU602" s="522"/>
      <c r="CV602" s="522"/>
    </row>
    <row r="603" spans="1:100" ht="111" customHeight="1" x14ac:dyDescent="0.25">
      <c r="A603" s="18"/>
      <c r="B603" s="18"/>
      <c r="C603" s="915" t="s">
        <v>702</v>
      </c>
      <c r="D603" s="1084" t="s">
        <v>743</v>
      </c>
      <c r="E603" s="1085">
        <v>0</v>
      </c>
      <c r="F603" s="1085">
        <v>1</v>
      </c>
      <c r="G603" s="1032"/>
      <c r="H603" s="929">
        <v>151</v>
      </c>
      <c r="I603" s="928" t="s">
        <v>744</v>
      </c>
      <c r="J603" s="929" t="s">
        <v>30</v>
      </c>
      <c r="K603" s="929">
        <v>12</v>
      </c>
      <c r="L603" s="929">
        <v>12</v>
      </c>
      <c r="M603" s="1021" t="s">
        <v>670</v>
      </c>
      <c r="N603" s="1087" t="s">
        <v>745</v>
      </c>
      <c r="O603" s="1021" t="s">
        <v>746</v>
      </c>
      <c r="P603" s="56" t="s">
        <v>38</v>
      </c>
      <c r="Q603" s="25">
        <v>0</v>
      </c>
      <c r="R603" s="25"/>
      <c r="S603" s="25"/>
      <c r="T603" s="25">
        <v>0</v>
      </c>
      <c r="U603" s="25"/>
      <c r="V603" s="25"/>
      <c r="W603" s="25">
        <v>0</v>
      </c>
      <c r="X603" s="25"/>
      <c r="Y603" s="25"/>
      <c r="Z603" s="25">
        <v>0</v>
      </c>
      <c r="AA603" s="25"/>
      <c r="AB603" s="25"/>
      <c r="AC603" s="25">
        <v>0</v>
      </c>
      <c r="AD603" s="25"/>
      <c r="AE603" s="25"/>
      <c r="AF603" s="25">
        <v>0</v>
      </c>
      <c r="AG603" s="25"/>
      <c r="AH603" s="25"/>
      <c r="AI603" s="25">
        <v>0</v>
      </c>
      <c r="AJ603" s="108"/>
      <c r="AK603" s="108"/>
      <c r="AL603" s="108">
        <v>120837740</v>
      </c>
      <c r="AM603" s="108">
        <v>116573333.33</v>
      </c>
      <c r="AN603" s="108">
        <v>116573333.33</v>
      </c>
      <c r="AO603" s="108"/>
      <c r="AP603" s="108"/>
      <c r="AQ603" s="108"/>
      <c r="AR603" s="108"/>
      <c r="AS603" s="108"/>
      <c r="AT603" s="108"/>
      <c r="AU603" s="25">
        <v>0</v>
      </c>
      <c r="AV603" s="25"/>
      <c r="AW603" s="25"/>
      <c r="AX603" s="25"/>
      <c r="AY603" s="25"/>
      <c r="AZ603" s="25"/>
      <c r="BA603" s="250">
        <f>5339423-5339423</f>
        <v>0</v>
      </c>
      <c r="BB603" s="250"/>
      <c r="BC603" s="250"/>
      <c r="BD603" s="25">
        <v>0</v>
      </c>
      <c r="BE603" s="25"/>
      <c r="BF603" s="25"/>
      <c r="BG603" s="250"/>
      <c r="BH603" s="250"/>
      <c r="BI603" s="250"/>
      <c r="BJ603" s="250"/>
      <c r="BK603" s="250"/>
      <c r="BL603" s="250"/>
      <c r="BM603" s="250"/>
      <c r="BN603" s="250"/>
      <c r="BO603" s="250"/>
      <c r="BP603" s="250"/>
      <c r="BQ603" s="250"/>
      <c r="BR603" s="250"/>
      <c r="BS603" s="250"/>
      <c r="BT603" s="250"/>
      <c r="BU603" s="250"/>
      <c r="BV603" s="250"/>
      <c r="BW603" s="250"/>
      <c r="BX603" s="250"/>
      <c r="BY603" s="25">
        <v>0</v>
      </c>
      <c r="BZ603" s="25"/>
      <c r="CA603" s="25"/>
      <c r="CB603" s="25"/>
      <c r="CC603" s="25"/>
      <c r="CD603" s="25"/>
      <c r="CE603" s="114">
        <v>100000000</v>
      </c>
      <c r="CF603" s="114">
        <v>90400614</v>
      </c>
      <c r="CG603" s="114">
        <v>90400614</v>
      </c>
      <c r="CH603" s="3"/>
      <c r="CI603" s="3"/>
      <c r="CJ603" s="3"/>
      <c r="CK603" s="25">
        <v>0</v>
      </c>
      <c r="CL603" s="25"/>
      <c r="CM603" s="25"/>
      <c r="CN603" s="516"/>
      <c r="CO603" s="516"/>
      <c r="CP603" s="516"/>
      <c r="CQ603" s="516"/>
      <c r="CR603" s="516"/>
      <c r="CS603" s="516"/>
      <c r="CT603" s="886">
        <f t="shared" ref="CT603:CV605" si="324">Q603+T603+W603+Z603+AC603+AF603+AI603+AL603+AO603+AR603+AU603+AX603+BA603+BD603+BG603+BJ603+BM603+BP603+BS603+BV603+BY603+CB603+CE603+CH603+CK603+CQ603+CN603</f>
        <v>220837740</v>
      </c>
      <c r="CU603" s="25">
        <f t="shared" si="324"/>
        <v>206973947.32999998</v>
      </c>
      <c r="CV603" s="25">
        <f t="shared" si="324"/>
        <v>206973947.32999998</v>
      </c>
    </row>
    <row r="604" spans="1:100" ht="71.25" customHeight="1" x14ac:dyDescent="0.25">
      <c r="A604" s="18"/>
      <c r="B604" s="18"/>
      <c r="C604" s="915"/>
      <c r="D604" s="1013"/>
      <c r="E604" s="1086"/>
      <c r="F604" s="1086"/>
      <c r="G604" s="1038"/>
      <c r="H604" s="929">
        <v>152</v>
      </c>
      <c r="I604" s="480" t="s">
        <v>747</v>
      </c>
      <c r="J604" s="318" t="s">
        <v>30</v>
      </c>
      <c r="K604" s="929">
        <v>1</v>
      </c>
      <c r="L604" s="916">
        <v>1</v>
      </c>
      <c r="M604" s="1023"/>
      <c r="N604" s="1088"/>
      <c r="O604" s="1023"/>
      <c r="P604" s="56" t="s">
        <v>38</v>
      </c>
      <c r="Q604" s="25">
        <v>0</v>
      </c>
      <c r="R604" s="25"/>
      <c r="S604" s="25"/>
      <c r="T604" s="25">
        <v>0</v>
      </c>
      <c r="U604" s="25"/>
      <c r="V604" s="25"/>
      <c r="W604" s="25">
        <v>0</v>
      </c>
      <c r="X604" s="25"/>
      <c r="Y604" s="25"/>
      <c r="Z604" s="25">
        <v>0</v>
      </c>
      <c r="AA604" s="25"/>
      <c r="AB604" s="25"/>
      <c r="AC604" s="25">
        <v>0</v>
      </c>
      <c r="AD604" s="25"/>
      <c r="AE604" s="25"/>
      <c r="AF604" s="25">
        <v>0</v>
      </c>
      <c r="AG604" s="25"/>
      <c r="AH604" s="25"/>
      <c r="AI604" s="25">
        <v>0</v>
      </c>
      <c r="AJ604" s="25"/>
      <c r="AK604" s="25"/>
      <c r="AL604" s="3">
        <v>89020304</v>
      </c>
      <c r="AM604" s="3">
        <v>84960000</v>
      </c>
      <c r="AN604" s="3">
        <v>84960000</v>
      </c>
      <c r="AO604" s="13"/>
      <c r="AP604" s="13"/>
      <c r="AQ604" s="13"/>
      <c r="AR604" s="13"/>
      <c r="AS604" s="13"/>
      <c r="AT604" s="13"/>
      <c r="AU604" s="25">
        <v>0</v>
      </c>
      <c r="AV604" s="25"/>
      <c r="AW604" s="25"/>
      <c r="AX604" s="25"/>
      <c r="AY604" s="25"/>
      <c r="AZ604" s="25"/>
      <c r="BA604" s="25">
        <v>0</v>
      </c>
      <c r="BB604" s="25"/>
      <c r="BC604" s="25"/>
      <c r="BD604" s="25">
        <v>0</v>
      </c>
      <c r="BE604" s="25"/>
      <c r="BF604" s="25"/>
      <c r="BG604" s="250"/>
      <c r="BH604" s="250"/>
      <c r="BI604" s="250"/>
      <c r="BJ604" s="250"/>
      <c r="BK604" s="250"/>
      <c r="BL604" s="250"/>
      <c r="BM604" s="250"/>
      <c r="BN604" s="250"/>
      <c r="BO604" s="250"/>
      <c r="BP604" s="250"/>
      <c r="BQ604" s="250"/>
      <c r="BR604" s="250"/>
      <c r="BS604" s="250"/>
      <c r="BT604" s="250"/>
      <c r="BU604" s="250"/>
      <c r="BV604" s="250"/>
      <c r="BW604" s="250"/>
      <c r="BX604" s="250"/>
      <c r="BY604" s="25">
        <v>0</v>
      </c>
      <c r="BZ604" s="25"/>
      <c r="CA604" s="25"/>
      <c r="CB604" s="25"/>
      <c r="CC604" s="25"/>
      <c r="CD604" s="25"/>
      <c r="CE604" s="114"/>
      <c r="CF604" s="114"/>
      <c r="CG604" s="114"/>
      <c r="CH604" s="328"/>
      <c r="CI604" s="328"/>
      <c r="CJ604" s="328"/>
      <c r="CK604" s="25">
        <v>0</v>
      </c>
      <c r="CL604" s="26"/>
      <c r="CM604" s="26"/>
      <c r="CN604" s="288">
        <v>0</v>
      </c>
      <c r="CO604" s="288"/>
      <c r="CP604" s="288"/>
      <c r="CQ604" s="288"/>
      <c r="CR604" s="288"/>
      <c r="CS604" s="288"/>
      <c r="CT604" s="886">
        <f t="shared" si="324"/>
        <v>89020304</v>
      </c>
      <c r="CU604" s="25">
        <f t="shared" si="324"/>
        <v>84960000</v>
      </c>
      <c r="CV604" s="25">
        <f t="shared" si="324"/>
        <v>84960000</v>
      </c>
    </row>
    <row r="605" spans="1:100" ht="99.75" customHeight="1" x14ac:dyDescent="0.25">
      <c r="A605" s="18"/>
      <c r="B605" s="18"/>
      <c r="C605" s="915" t="s">
        <v>702</v>
      </c>
      <c r="D605" s="919" t="s">
        <v>884</v>
      </c>
      <c r="E605" s="937">
        <v>0</v>
      </c>
      <c r="F605" s="937">
        <v>1</v>
      </c>
      <c r="G605" s="920"/>
      <c r="H605" s="929">
        <v>153</v>
      </c>
      <c r="I605" s="928" t="s">
        <v>885</v>
      </c>
      <c r="J605" s="929" t="s">
        <v>30</v>
      </c>
      <c r="K605" s="929">
        <v>150</v>
      </c>
      <c r="L605" s="916">
        <v>186</v>
      </c>
      <c r="M605" s="1022"/>
      <c r="N605" s="1089"/>
      <c r="O605" s="1022"/>
      <c r="P605" s="56" t="s">
        <v>38</v>
      </c>
      <c r="Q605" s="25"/>
      <c r="R605" s="25"/>
      <c r="S605" s="25"/>
      <c r="T605" s="25"/>
      <c r="U605" s="25"/>
      <c r="V605" s="25"/>
      <c r="W605" s="25"/>
      <c r="X605" s="25"/>
      <c r="Y605" s="25"/>
      <c r="Z605" s="25"/>
      <c r="AA605" s="25"/>
      <c r="AB605" s="25"/>
      <c r="AC605" s="25"/>
      <c r="AD605" s="25"/>
      <c r="AE605" s="25"/>
      <c r="AF605" s="25"/>
      <c r="AG605" s="25"/>
      <c r="AH605" s="25"/>
      <c r="AI605" s="25"/>
      <c r="AJ605" s="25"/>
      <c r="AK605" s="25"/>
      <c r="AL605" s="3"/>
      <c r="AM605" s="3"/>
      <c r="AN605" s="3"/>
      <c r="AO605" s="13"/>
      <c r="AP605" s="13"/>
      <c r="AQ605" s="13"/>
      <c r="AR605" s="13"/>
      <c r="AS605" s="13"/>
      <c r="AT605" s="13"/>
      <c r="AU605" s="25"/>
      <c r="AV605" s="25"/>
      <c r="AW605" s="25"/>
      <c r="AX605" s="25"/>
      <c r="AY605" s="25"/>
      <c r="AZ605" s="25"/>
      <c r="BA605" s="886">
        <v>1375125452.1300001</v>
      </c>
      <c r="BB605" s="25">
        <v>969465315</v>
      </c>
      <c r="BC605" s="25">
        <v>909465315</v>
      </c>
      <c r="BD605" s="25"/>
      <c r="BE605" s="25"/>
      <c r="BF605" s="25"/>
      <c r="BG605" s="250"/>
      <c r="BH605" s="250"/>
      <c r="BI605" s="250"/>
      <c r="BJ605" s="250"/>
      <c r="BK605" s="250"/>
      <c r="BL605" s="250"/>
      <c r="BM605" s="250"/>
      <c r="BN605" s="250"/>
      <c r="BO605" s="250"/>
      <c r="BP605" s="250"/>
      <c r="BQ605" s="250"/>
      <c r="BR605" s="250"/>
      <c r="BS605" s="250"/>
      <c r="BT605" s="250"/>
      <c r="BU605" s="250"/>
      <c r="BV605" s="250"/>
      <c r="BW605" s="250"/>
      <c r="BX605" s="250"/>
      <c r="BY605" s="25"/>
      <c r="BZ605" s="25"/>
      <c r="CA605" s="25"/>
      <c r="CB605" s="25"/>
      <c r="CC605" s="25"/>
      <c r="CD605" s="25"/>
      <c r="CE605" s="114"/>
      <c r="CF605" s="114"/>
      <c r="CG605" s="114"/>
      <c r="CH605" s="328"/>
      <c r="CI605" s="328"/>
      <c r="CJ605" s="328"/>
      <c r="CK605" s="25"/>
      <c r="CL605" s="26"/>
      <c r="CM605" s="26"/>
      <c r="CN605" s="288"/>
      <c r="CO605" s="288"/>
      <c r="CP605" s="288"/>
      <c r="CQ605" s="288"/>
      <c r="CR605" s="288"/>
      <c r="CS605" s="288"/>
      <c r="CT605" s="886">
        <f t="shared" si="324"/>
        <v>1375125452.1300001</v>
      </c>
      <c r="CU605" s="25">
        <f t="shared" si="324"/>
        <v>969465315</v>
      </c>
      <c r="CV605" s="25">
        <f t="shared" si="324"/>
        <v>909465315</v>
      </c>
    </row>
    <row r="606" spans="1:100" ht="19.5" customHeight="1" x14ac:dyDescent="0.25">
      <c r="A606" s="18"/>
      <c r="B606" s="19"/>
      <c r="C606" s="927"/>
      <c r="D606" s="153"/>
      <c r="E606" s="581"/>
      <c r="F606" s="581"/>
      <c r="G606" s="154"/>
      <c r="H606" s="155"/>
      <c r="I606" s="154"/>
      <c r="J606" s="155"/>
      <c r="K606" s="311"/>
      <c r="L606" s="311"/>
      <c r="M606" s="311"/>
      <c r="N606" s="157"/>
      <c r="O606" s="154"/>
      <c r="P606" s="155"/>
      <c r="Q606" s="158">
        <f t="shared" ref="Q606:CB606" si="325">SUM(Q603:Q605)</f>
        <v>0</v>
      </c>
      <c r="R606" s="158">
        <f t="shared" si="325"/>
        <v>0</v>
      </c>
      <c r="S606" s="158">
        <f t="shared" si="325"/>
        <v>0</v>
      </c>
      <c r="T606" s="158">
        <f t="shared" si="325"/>
        <v>0</v>
      </c>
      <c r="U606" s="158">
        <f t="shared" si="325"/>
        <v>0</v>
      </c>
      <c r="V606" s="158">
        <f t="shared" si="325"/>
        <v>0</v>
      </c>
      <c r="W606" s="158">
        <f t="shared" si="325"/>
        <v>0</v>
      </c>
      <c r="X606" s="158">
        <f t="shared" si="325"/>
        <v>0</v>
      </c>
      <c r="Y606" s="158">
        <f t="shared" si="325"/>
        <v>0</v>
      </c>
      <c r="Z606" s="158">
        <f t="shared" si="325"/>
        <v>0</v>
      </c>
      <c r="AA606" s="158">
        <f t="shared" si="325"/>
        <v>0</v>
      </c>
      <c r="AB606" s="158">
        <f t="shared" si="325"/>
        <v>0</v>
      </c>
      <c r="AC606" s="158">
        <f t="shared" si="325"/>
        <v>0</v>
      </c>
      <c r="AD606" s="158">
        <f t="shared" si="325"/>
        <v>0</v>
      </c>
      <c r="AE606" s="158">
        <f t="shared" si="325"/>
        <v>0</v>
      </c>
      <c r="AF606" s="158">
        <f t="shared" si="325"/>
        <v>0</v>
      </c>
      <c r="AG606" s="158">
        <f t="shared" si="325"/>
        <v>0</v>
      </c>
      <c r="AH606" s="158">
        <f t="shared" si="325"/>
        <v>0</v>
      </c>
      <c r="AI606" s="158">
        <f t="shared" si="325"/>
        <v>0</v>
      </c>
      <c r="AJ606" s="158">
        <f t="shared" si="325"/>
        <v>0</v>
      </c>
      <c r="AK606" s="158">
        <f t="shared" si="325"/>
        <v>0</v>
      </c>
      <c r="AL606" s="158">
        <f t="shared" si="325"/>
        <v>209858044</v>
      </c>
      <c r="AM606" s="158">
        <f t="shared" si="325"/>
        <v>201533333.32999998</v>
      </c>
      <c r="AN606" s="158">
        <f t="shared" si="325"/>
        <v>201533333.32999998</v>
      </c>
      <c r="AO606" s="158">
        <f t="shared" si="325"/>
        <v>0</v>
      </c>
      <c r="AP606" s="158">
        <f t="shared" si="325"/>
        <v>0</v>
      </c>
      <c r="AQ606" s="158">
        <f t="shared" si="325"/>
        <v>0</v>
      </c>
      <c r="AR606" s="158">
        <f t="shared" si="325"/>
        <v>0</v>
      </c>
      <c r="AS606" s="158">
        <f t="shared" si="325"/>
        <v>0</v>
      </c>
      <c r="AT606" s="158">
        <f t="shared" si="325"/>
        <v>0</v>
      </c>
      <c r="AU606" s="158">
        <f t="shared" si="325"/>
        <v>0</v>
      </c>
      <c r="AV606" s="158">
        <f t="shared" si="325"/>
        <v>0</v>
      </c>
      <c r="AW606" s="158">
        <f t="shared" si="325"/>
        <v>0</v>
      </c>
      <c r="AX606" s="158">
        <f t="shared" si="325"/>
        <v>0</v>
      </c>
      <c r="AY606" s="158">
        <f t="shared" si="325"/>
        <v>0</v>
      </c>
      <c r="AZ606" s="158">
        <f t="shared" si="325"/>
        <v>0</v>
      </c>
      <c r="BA606" s="158">
        <f t="shared" si="325"/>
        <v>1375125452.1300001</v>
      </c>
      <c r="BB606" s="158">
        <f t="shared" si="325"/>
        <v>969465315</v>
      </c>
      <c r="BC606" s="158">
        <f t="shared" si="325"/>
        <v>909465315</v>
      </c>
      <c r="BD606" s="158">
        <f t="shared" si="325"/>
        <v>0</v>
      </c>
      <c r="BE606" s="158">
        <f t="shared" si="325"/>
        <v>0</v>
      </c>
      <c r="BF606" s="158">
        <f t="shared" si="325"/>
        <v>0</v>
      </c>
      <c r="BG606" s="158">
        <f t="shared" si="325"/>
        <v>0</v>
      </c>
      <c r="BH606" s="158">
        <f t="shared" si="325"/>
        <v>0</v>
      </c>
      <c r="BI606" s="158">
        <f t="shared" si="325"/>
        <v>0</v>
      </c>
      <c r="BJ606" s="158">
        <f t="shared" si="325"/>
        <v>0</v>
      </c>
      <c r="BK606" s="158">
        <f t="shared" si="325"/>
        <v>0</v>
      </c>
      <c r="BL606" s="158">
        <f t="shared" si="325"/>
        <v>0</v>
      </c>
      <c r="BM606" s="158">
        <f t="shared" si="325"/>
        <v>0</v>
      </c>
      <c r="BN606" s="158">
        <f t="shared" si="325"/>
        <v>0</v>
      </c>
      <c r="BO606" s="158">
        <f t="shared" si="325"/>
        <v>0</v>
      </c>
      <c r="BP606" s="158">
        <f t="shared" si="325"/>
        <v>0</v>
      </c>
      <c r="BQ606" s="158">
        <f t="shared" si="325"/>
        <v>0</v>
      </c>
      <c r="BR606" s="158">
        <f t="shared" si="325"/>
        <v>0</v>
      </c>
      <c r="BS606" s="158">
        <f t="shared" si="325"/>
        <v>0</v>
      </c>
      <c r="BT606" s="158">
        <f t="shared" si="325"/>
        <v>0</v>
      </c>
      <c r="BU606" s="158">
        <f t="shared" si="325"/>
        <v>0</v>
      </c>
      <c r="BV606" s="158">
        <f t="shared" si="325"/>
        <v>0</v>
      </c>
      <c r="BW606" s="158">
        <f t="shared" si="325"/>
        <v>0</v>
      </c>
      <c r="BX606" s="158">
        <f t="shared" si="325"/>
        <v>0</v>
      </c>
      <c r="BY606" s="158">
        <f t="shared" si="325"/>
        <v>0</v>
      </c>
      <c r="BZ606" s="158">
        <f t="shared" si="325"/>
        <v>0</v>
      </c>
      <c r="CA606" s="158">
        <f t="shared" si="325"/>
        <v>0</v>
      </c>
      <c r="CB606" s="158">
        <f t="shared" si="325"/>
        <v>0</v>
      </c>
      <c r="CC606" s="158">
        <f t="shared" ref="CC606:CS606" si="326">SUM(CC603:CC605)</f>
        <v>0</v>
      </c>
      <c r="CD606" s="158">
        <f t="shared" si="326"/>
        <v>0</v>
      </c>
      <c r="CE606" s="158">
        <f t="shared" si="326"/>
        <v>100000000</v>
      </c>
      <c r="CF606" s="158">
        <f t="shared" si="326"/>
        <v>90400614</v>
      </c>
      <c r="CG606" s="158">
        <f t="shared" si="326"/>
        <v>90400614</v>
      </c>
      <c r="CH606" s="158">
        <f t="shared" si="326"/>
        <v>0</v>
      </c>
      <c r="CI606" s="158">
        <f t="shared" si="326"/>
        <v>0</v>
      </c>
      <c r="CJ606" s="158">
        <f t="shared" si="326"/>
        <v>0</v>
      </c>
      <c r="CK606" s="158">
        <f t="shared" si="326"/>
        <v>0</v>
      </c>
      <c r="CL606" s="158">
        <f t="shared" si="326"/>
        <v>0</v>
      </c>
      <c r="CM606" s="158">
        <f t="shared" si="326"/>
        <v>0</v>
      </c>
      <c r="CN606" s="158">
        <f t="shared" si="326"/>
        <v>0</v>
      </c>
      <c r="CO606" s="158">
        <f t="shared" si="326"/>
        <v>0</v>
      </c>
      <c r="CP606" s="158">
        <f t="shared" si="326"/>
        <v>0</v>
      </c>
      <c r="CQ606" s="158">
        <f t="shared" si="326"/>
        <v>0</v>
      </c>
      <c r="CR606" s="158">
        <f t="shared" si="326"/>
        <v>0</v>
      </c>
      <c r="CS606" s="158">
        <f t="shared" si="326"/>
        <v>0</v>
      </c>
      <c r="CT606" s="394">
        <f>SUM(CT603:CT605)</f>
        <v>1684983496.1300001</v>
      </c>
      <c r="CU606" s="158">
        <f>SUM(CU603:CU605)</f>
        <v>1261399262.3299999</v>
      </c>
      <c r="CV606" s="158">
        <f>SUM(CV603:CV605)</f>
        <v>1201399262.3299999</v>
      </c>
    </row>
    <row r="607" spans="1:100" ht="22.5" customHeight="1" x14ac:dyDescent="0.25">
      <c r="A607" s="18"/>
      <c r="B607" s="19"/>
      <c r="C607" s="949"/>
      <c r="D607" s="177"/>
      <c r="E607" s="949"/>
      <c r="F607" s="949"/>
      <c r="G607" s="177"/>
      <c r="H607" s="949"/>
      <c r="I607" s="177"/>
      <c r="J607" s="949"/>
      <c r="K607" s="949"/>
      <c r="L607" s="930"/>
      <c r="M607" s="930"/>
      <c r="N607" s="230"/>
      <c r="O607" s="221"/>
      <c r="P607" s="949"/>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c r="AU607" s="180"/>
      <c r="AV607" s="180"/>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0"/>
      <c r="BS607" s="180"/>
      <c r="BT607" s="180"/>
      <c r="BU607" s="180"/>
      <c r="BV607" s="180"/>
      <c r="BW607" s="180"/>
      <c r="BX607" s="180"/>
      <c r="BY607" s="180"/>
      <c r="BZ607" s="180"/>
      <c r="CA607" s="180"/>
      <c r="CB607" s="180"/>
      <c r="CC607" s="180"/>
      <c r="CD607" s="180"/>
      <c r="CE607" s="182"/>
      <c r="CF607" s="182"/>
      <c r="CG607" s="182"/>
      <c r="CH607" s="183"/>
      <c r="CI607" s="183"/>
      <c r="CJ607" s="183"/>
      <c r="CK607" s="180"/>
      <c r="CL607" s="180"/>
      <c r="CM607" s="180"/>
      <c r="CN607" s="180"/>
      <c r="CO607" s="180"/>
      <c r="CP607" s="180"/>
      <c r="CQ607" s="180"/>
      <c r="CR607" s="180"/>
      <c r="CS607" s="180"/>
      <c r="CT607" s="886"/>
      <c r="CU607" s="516"/>
      <c r="CV607" s="516"/>
    </row>
    <row r="608" spans="1:100" ht="15" x14ac:dyDescent="0.25">
      <c r="A608" s="18"/>
      <c r="B608" s="19"/>
      <c r="C608" s="930"/>
      <c r="D608" s="953"/>
      <c r="E608" s="944"/>
      <c r="F608" s="944"/>
      <c r="G608" s="407">
        <v>44</v>
      </c>
      <c r="H608" s="189" t="s">
        <v>748</v>
      </c>
      <c r="I608" s="189"/>
      <c r="J608" s="189"/>
      <c r="K608" s="189"/>
      <c r="L608" s="189"/>
      <c r="M608" s="189"/>
      <c r="N608" s="189"/>
      <c r="O608" s="189"/>
      <c r="P608" s="189"/>
      <c r="Q608" s="189"/>
      <c r="R608" s="922"/>
      <c r="S608" s="922"/>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c r="BU608" s="189"/>
      <c r="BV608" s="189"/>
      <c r="BW608" s="189"/>
      <c r="BX608" s="189"/>
      <c r="BY608" s="189"/>
      <c r="BZ608" s="189"/>
      <c r="CA608" s="189"/>
      <c r="CB608" s="189"/>
      <c r="CC608" s="189"/>
      <c r="CD608" s="189"/>
      <c r="CE608" s="190"/>
      <c r="CF608" s="190"/>
      <c r="CG608" s="190"/>
      <c r="CH608" s="189"/>
      <c r="CI608" s="189"/>
      <c r="CJ608" s="189"/>
      <c r="CK608" s="189"/>
      <c r="CL608" s="189"/>
      <c r="CM608" s="189"/>
      <c r="CN608" s="189"/>
      <c r="CO608" s="189"/>
      <c r="CP608" s="189"/>
      <c r="CQ608" s="189"/>
      <c r="CR608" s="189"/>
      <c r="CS608" s="189"/>
      <c r="CT608" s="673"/>
      <c r="CU608" s="522"/>
      <c r="CV608" s="522"/>
    </row>
    <row r="609" spans="1:100" s="27" customFormat="1" ht="94.5" customHeight="1" x14ac:dyDescent="0.25">
      <c r="A609" s="18"/>
      <c r="B609" s="18"/>
      <c r="C609" s="929">
        <v>37</v>
      </c>
      <c r="D609" s="928" t="s">
        <v>663</v>
      </c>
      <c r="E609" s="929" t="s">
        <v>635</v>
      </c>
      <c r="F609" s="79">
        <v>0.6</v>
      </c>
      <c r="G609" s="86"/>
      <c r="H609" s="929">
        <v>154</v>
      </c>
      <c r="I609" s="928" t="s">
        <v>749</v>
      </c>
      <c r="J609" s="929" t="s">
        <v>30</v>
      </c>
      <c r="K609" s="30">
        <v>5</v>
      </c>
      <c r="L609" s="30">
        <v>4</v>
      </c>
      <c r="M609" s="1014" t="s">
        <v>670</v>
      </c>
      <c r="N609" s="1017" t="s">
        <v>750</v>
      </c>
      <c r="O609" s="1012" t="s">
        <v>751</v>
      </c>
      <c r="P609" s="929" t="s">
        <v>38</v>
      </c>
      <c r="Q609" s="25">
        <v>0</v>
      </c>
      <c r="R609" s="25"/>
      <c r="S609" s="25"/>
      <c r="T609" s="25">
        <v>0</v>
      </c>
      <c r="U609" s="25"/>
      <c r="V609" s="25"/>
      <c r="W609" s="25">
        <v>0</v>
      </c>
      <c r="X609" s="25"/>
      <c r="Y609" s="25"/>
      <c r="Z609" s="25">
        <v>0</v>
      </c>
      <c r="AA609" s="25"/>
      <c r="AB609" s="25"/>
      <c r="AC609" s="25">
        <v>0</v>
      </c>
      <c r="AD609" s="25"/>
      <c r="AE609" s="25"/>
      <c r="AF609" s="25">
        <v>0</v>
      </c>
      <c r="AG609" s="25"/>
      <c r="AH609" s="25"/>
      <c r="AI609" s="25">
        <v>0</v>
      </c>
      <c r="AJ609" s="25"/>
      <c r="AK609" s="25"/>
      <c r="AL609" s="13">
        <v>59500000</v>
      </c>
      <c r="AM609" s="13">
        <v>57810000</v>
      </c>
      <c r="AN609" s="13">
        <v>57810000</v>
      </c>
      <c r="AO609" s="13"/>
      <c r="AP609" s="13"/>
      <c r="AQ609" s="13"/>
      <c r="AR609" s="13"/>
      <c r="AS609" s="13"/>
      <c r="AT609" s="13"/>
      <c r="AU609" s="25">
        <v>0</v>
      </c>
      <c r="AV609" s="25"/>
      <c r="AW609" s="25"/>
      <c r="AX609" s="25"/>
      <c r="AY609" s="25"/>
      <c r="AZ609" s="25"/>
      <c r="BA609" s="25">
        <v>0</v>
      </c>
      <c r="BB609" s="25"/>
      <c r="BC609" s="25"/>
      <c r="BD609" s="25">
        <v>0</v>
      </c>
      <c r="BE609" s="25"/>
      <c r="BF609" s="25"/>
      <c r="BG609" s="25"/>
      <c r="BH609" s="25"/>
      <c r="BI609" s="25"/>
      <c r="BJ609" s="25"/>
      <c r="BK609" s="25"/>
      <c r="BL609" s="25"/>
      <c r="BM609" s="25"/>
      <c r="BN609" s="25"/>
      <c r="BO609" s="25"/>
      <c r="BP609" s="25"/>
      <c r="BQ609" s="25"/>
      <c r="BR609" s="25"/>
      <c r="BS609" s="25"/>
      <c r="BT609" s="25"/>
      <c r="BU609" s="25"/>
      <c r="BV609" s="25"/>
      <c r="BW609" s="25"/>
      <c r="BX609" s="25"/>
      <c r="BY609" s="25">
        <v>0</v>
      </c>
      <c r="BZ609" s="25"/>
      <c r="CA609" s="25"/>
      <c r="CB609" s="25">
        <v>0</v>
      </c>
      <c r="CC609" s="25"/>
      <c r="CD609" s="25"/>
      <c r="CE609" s="110">
        <v>100000000</v>
      </c>
      <c r="CF609" s="110">
        <v>100000000</v>
      </c>
      <c r="CG609" s="110">
        <v>100000000</v>
      </c>
      <c r="CH609" s="37"/>
      <c r="CI609" s="37"/>
      <c r="CJ609" s="37"/>
      <c r="CK609" s="25">
        <v>0</v>
      </c>
      <c r="CL609" s="26"/>
      <c r="CM609" s="26"/>
      <c r="CN609" s="26">
        <v>0</v>
      </c>
      <c r="CO609" s="26"/>
      <c r="CP609" s="26"/>
      <c r="CQ609" s="26"/>
      <c r="CR609" s="26"/>
      <c r="CS609" s="26"/>
      <c r="CT609" s="886">
        <f t="shared" ref="CT609:CV612" si="327">Q609+T609+W609+Z609+AC609+AF609+AI609+AL609+AO609+AR609+AU609+AX609+BA609+BD609+BG609+BJ609+BM609+BP609+BS609+BV609+BY609+CB609+CE609+CH609+CK609+CQ609+CN609</f>
        <v>159500000</v>
      </c>
      <c r="CU609" s="25">
        <f t="shared" si="327"/>
        <v>157810000</v>
      </c>
      <c r="CV609" s="25">
        <f t="shared" si="327"/>
        <v>157810000</v>
      </c>
    </row>
    <row r="610" spans="1:100" ht="89.25" customHeight="1" x14ac:dyDescent="0.25">
      <c r="A610" s="18"/>
      <c r="B610" s="18"/>
      <c r="C610" s="941">
        <v>13</v>
      </c>
      <c r="D610" s="959" t="s">
        <v>907</v>
      </c>
      <c r="E610" s="582">
        <v>71.040000000000006</v>
      </c>
      <c r="F610" s="476">
        <v>0.88170000000000004</v>
      </c>
      <c r="G610" s="86"/>
      <c r="H610" s="929">
        <v>155</v>
      </c>
      <c r="I610" s="928" t="s">
        <v>752</v>
      </c>
      <c r="J610" s="929">
        <v>0</v>
      </c>
      <c r="K610" s="30">
        <v>1</v>
      </c>
      <c r="L610" s="30">
        <v>0.8</v>
      </c>
      <c r="M610" s="1015"/>
      <c r="N610" s="1018"/>
      <c r="O610" s="1020"/>
      <c r="P610" s="56" t="s">
        <v>38</v>
      </c>
      <c r="Q610" s="25">
        <v>0</v>
      </c>
      <c r="R610" s="25"/>
      <c r="S610" s="25"/>
      <c r="T610" s="25">
        <v>0</v>
      </c>
      <c r="U610" s="25"/>
      <c r="V610" s="25"/>
      <c r="W610" s="25">
        <v>0</v>
      </c>
      <c r="X610" s="25"/>
      <c r="Y610" s="25"/>
      <c r="Z610" s="25">
        <v>0</v>
      </c>
      <c r="AA610" s="25"/>
      <c r="AB610" s="25"/>
      <c r="AC610" s="25">
        <v>0</v>
      </c>
      <c r="AD610" s="25"/>
      <c r="AE610" s="25"/>
      <c r="AF610" s="25">
        <v>0</v>
      </c>
      <c r="AG610" s="25"/>
      <c r="AH610" s="25"/>
      <c r="AI610" s="25">
        <v>0</v>
      </c>
      <c r="AJ610" s="25"/>
      <c r="AK610" s="25"/>
      <c r="AL610" s="3">
        <v>34000000</v>
      </c>
      <c r="AM610" s="3">
        <v>33940000</v>
      </c>
      <c r="AN610" s="3">
        <v>33940000</v>
      </c>
      <c r="AO610" s="13"/>
      <c r="AP610" s="13"/>
      <c r="AQ610" s="13"/>
      <c r="AR610" s="13"/>
      <c r="AS610" s="13"/>
      <c r="AT610" s="13"/>
      <c r="AU610" s="25">
        <v>0</v>
      </c>
      <c r="AV610" s="25"/>
      <c r="AW610" s="25"/>
      <c r="AX610" s="25"/>
      <c r="AY610" s="25"/>
      <c r="AZ610" s="25"/>
      <c r="BA610" s="25">
        <v>0</v>
      </c>
      <c r="BB610" s="25"/>
      <c r="BC610" s="25"/>
      <c r="BD610" s="25">
        <v>0</v>
      </c>
      <c r="BE610" s="25"/>
      <c r="BF610" s="25"/>
      <c r="BG610" s="250"/>
      <c r="BH610" s="250"/>
      <c r="BI610" s="250"/>
      <c r="BJ610" s="250"/>
      <c r="BK610" s="250"/>
      <c r="BL610" s="250"/>
      <c r="BM610" s="250"/>
      <c r="BN610" s="250"/>
      <c r="BO610" s="250"/>
      <c r="BP610" s="250"/>
      <c r="BQ610" s="250"/>
      <c r="BR610" s="250"/>
      <c r="BS610" s="250"/>
      <c r="BT610" s="250"/>
      <c r="BU610" s="250"/>
      <c r="BV610" s="250"/>
      <c r="BW610" s="250"/>
      <c r="BX610" s="250"/>
      <c r="BY610" s="25">
        <v>0</v>
      </c>
      <c r="BZ610" s="25"/>
      <c r="CA610" s="25"/>
      <c r="CB610" s="25">
        <v>0</v>
      </c>
      <c r="CC610" s="25"/>
      <c r="CD610" s="25"/>
      <c r="CE610" s="110">
        <v>0</v>
      </c>
      <c r="CF610" s="110"/>
      <c r="CG610" s="110"/>
      <c r="CH610" s="37"/>
      <c r="CI610" s="37"/>
      <c r="CJ610" s="37"/>
      <c r="CK610" s="25">
        <v>0</v>
      </c>
      <c r="CL610" s="26"/>
      <c r="CM610" s="26"/>
      <c r="CN610" s="288">
        <v>0</v>
      </c>
      <c r="CO610" s="288"/>
      <c r="CP610" s="288"/>
      <c r="CQ610" s="288"/>
      <c r="CR610" s="288"/>
      <c r="CS610" s="288"/>
      <c r="CT610" s="886">
        <f t="shared" si="327"/>
        <v>34000000</v>
      </c>
      <c r="CU610" s="25">
        <f t="shared" si="327"/>
        <v>33940000</v>
      </c>
      <c r="CV610" s="25">
        <f t="shared" si="327"/>
        <v>33940000</v>
      </c>
    </row>
    <row r="611" spans="1:100" ht="275.25" customHeight="1" x14ac:dyDescent="0.25">
      <c r="A611" s="18"/>
      <c r="B611" s="18"/>
      <c r="C611" s="941" t="s">
        <v>753</v>
      </c>
      <c r="D611" s="940" t="s">
        <v>754</v>
      </c>
      <c r="E611" s="941" t="s">
        <v>755</v>
      </c>
      <c r="F611" s="941" t="s">
        <v>756</v>
      </c>
      <c r="G611" s="100"/>
      <c r="H611" s="929">
        <v>156</v>
      </c>
      <c r="I611" s="928" t="s">
        <v>757</v>
      </c>
      <c r="J611" s="929">
        <v>12</v>
      </c>
      <c r="K611" s="30">
        <v>12</v>
      </c>
      <c r="L611" s="30">
        <v>8</v>
      </c>
      <c r="M611" s="1015"/>
      <c r="N611" s="1018"/>
      <c r="O611" s="1020"/>
      <c r="P611" s="56" t="s">
        <v>38</v>
      </c>
      <c r="Q611" s="25">
        <v>0</v>
      </c>
      <c r="R611" s="25"/>
      <c r="S611" s="25"/>
      <c r="T611" s="25">
        <v>0</v>
      </c>
      <c r="U611" s="25"/>
      <c r="V611" s="25"/>
      <c r="W611" s="25">
        <v>0</v>
      </c>
      <c r="X611" s="25"/>
      <c r="Y611" s="25"/>
      <c r="Z611" s="25">
        <v>0</v>
      </c>
      <c r="AA611" s="25"/>
      <c r="AB611" s="25"/>
      <c r="AC611" s="25">
        <v>0</v>
      </c>
      <c r="AD611" s="25"/>
      <c r="AE611" s="25"/>
      <c r="AF611" s="25">
        <v>0</v>
      </c>
      <c r="AG611" s="25"/>
      <c r="AH611" s="25"/>
      <c r="AI611" s="25">
        <v>0</v>
      </c>
      <c r="AJ611" s="25"/>
      <c r="AK611" s="25"/>
      <c r="AL611" s="25">
        <v>122208333.33</v>
      </c>
      <c r="AM611" s="250">
        <v>122208333.33</v>
      </c>
      <c r="AN611" s="250">
        <v>115725000</v>
      </c>
      <c r="AO611" s="25"/>
      <c r="AP611" s="25"/>
      <c r="AQ611" s="25"/>
      <c r="AR611" s="25"/>
      <c r="AS611" s="25"/>
      <c r="AT611" s="25"/>
      <c r="AU611" s="25">
        <v>0</v>
      </c>
      <c r="AV611" s="25"/>
      <c r="AW611" s="25"/>
      <c r="AX611" s="25"/>
      <c r="AY611" s="25"/>
      <c r="AZ611" s="25"/>
      <c r="BA611" s="25">
        <v>0</v>
      </c>
      <c r="BB611" s="25"/>
      <c r="BC611" s="25"/>
      <c r="BD611" s="25">
        <v>0</v>
      </c>
      <c r="BE611" s="25"/>
      <c r="BF611" s="25"/>
      <c r="BG611" s="250"/>
      <c r="BH611" s="250"/>
      <c r="BI611" s="250"/>
      <c r="BJ611" s="250"/>
      <c r="BK611" s="250"/>
      <c r="BL611" s="250"/>
      <c r="BM611" s="250"/>
      <c r="BN611" s="250"/>
      <c r="BO611" s="250"/>
      <c r="BP611" s="250"/>
      <c r="BQ611" s="250"/>
      <c r="BR611" s="250"/>
      <c r="BS611" s="250"/>
      <c r="BT611" s="250"/>
      <c r="BU611" s="250"/>
      <c r="BV611" s="250"/>
      <c r="BW611" s="250"/>
      <c r="BX611" s="250"/>
      <c r="BY611" s="25">
        <v>0</v>
      </c>
      <c r="BZ611" s="25"/>
      <c r="CA611" s="25"/>
      <c r="CB611" s="25">
        <v>0</v>
      </c>
      <c r="CC611" s="25"/>
      <c r="CD611" s="25"/>
      <c r="CE611" s="110">
        <v>19440000</v>
      </c>
      <c r="CF611" s="110">
        <v>19439999.670000002</v>
      </c>
      <c r="CG611" s="110">
        <v>11413333</v>
      </c>
      <c r="CH611" s="37"/>
      <c r="CI611" s="37"/>
      <c r="CJ611" s="37"/>
      <c r="CK611" s="25">
        <v>0</v>
      </c>
      <c r="CL611" s="26"/>
      <c r="CM611" s="26"/>
      <c r="CN611" s="288">
        <v>0</v>
      </c>
      <c r="CO611" s="288"/>
      <c r="CP611" s="288"/>
      <c r="CQ611" s="288"/>
      <c r="CR611" s="288"/>
      <c r="CS611" s="288"/>
      <c r="CT611" s="886">
        <f t="shared" si="327"/>
        <v>141648333.32999998</v>
      </c>
      <c r="CU611" s="25">
        <f t="shared" si="327"/>
        <v>141648333</v>
      </c>
      <c r="CV611" s="25">
        <f t="shared" si="327"/>
        <v>127138333</v>
      </c>
    </row>
    <row r="612" spans="1:100" ht="90.75" customHeight="1" x14ac:dyDescent="0.25">
      <c r="A612" s="18"/>
      <c r="B612" s="18"/>
      <c r="C612" s="4">
        <v>34</v>
      </c>
      <c r="D612" s="475" t="s">
        <v>993</v>
      </c>
      <c r="E612" s="582" t="s">
        <v>30</v>
      </c>
      <c r="F612" s="517">
        <v>0.4</v>
      </c>
      <c r="G612" s="100"/>
      <c r="H612" s="929">
        <v>157</v>
      </c>
      <c r="I612" s="928" t="s">
        <v>758</v>
      </c>
      <c r="J612" s="929">
        <v>12</v>
      </c>
      <c r="K612" s="30">
        <v>12</v>
      </c>
      <c r="L612" s="30">
        <v>12</v>
      </c>
      <c r="M612" s="1016"/>
      <c r="N612" s="1019"/>
      <c r="O612" s="1013"/>
      <c r="P612" s="56" t="s">
        <v>38</v>
      </c>
      <c r="Q612" s="25">
        <v>0</v>
      </c>
      <c r="R612" s="25"/>
      <c r="S612" s="25"/>
      <c r="T612" s="25">
        <v>0</v>
      </c>
      <c r="U612" s="25"/>
      <c r="V612" s="25"/>
      <c r="W612" s="25">
        <v>0</v>
      </c>
      <c r="X612" s="25"/>
      <c r="Y612" s="25"/>
      <c r="Z612" s="25">
        <v>0</v>
      </c>
      <c r="AA612" s="25"/>
      <c r="AB612" s="25"/>
      <c r="AC612" s="25">
        <v>0</v>
      </c>
      <c r="AD612" s="25"/>
      <c r="AE612" s="25"/>
      <c r="AF612" s="25">
        <v>0</v>
      </c>
      <c r="AG612" s="25"/>
      <c r="AH612" s="25"/>
      <c r="AI612" s="25">
        <v>0</v>
      </c>
      <c r="AJ612" s="25"/>
      <c r="AK612" s="25"/>
      <c r="AL612" s="25">
        <v>58599270.670000002</v>
      </c>
      <c r="AM612" s="25">
        <v>40464000</v>
      </c>
      <c r="AN612" s="25">
        <v>40464000</v>
      </c>
      <c r="AO612" s="13"/>
      <c r="AP612" s="13"/>
      <c r="AQ612" s="13"/>
      <c r="AR612" s="13"/>
      <c r="AS612" s="13"/>
      <c r="AT612" s="13"/>
      <c r="AU612" s="25">
        <v>0</v>
      </c>
      <c r="AV612" s="25"/>
      <c r="AW612" s="25"/>
      <c r="AX612" s="25"/>
      <c r="AY612" s="25"/>
      <c r="AZ612" s="25"/>
      <c r="BA612" s="25">
        <v>0</v>
      </c>
      <c r="BB612" s="25"/>
      <c r="BC612" s="25"/>
      <c r="BD612" s="25">
        <v>0</v>
      </c>
      <c r="BE612" s="25"/>
      <c r="BF612" s="25"/>
      <c r="BG612" s="250"/>
      <c r="BH612" s="250"/>
      <c r="BI612" s="250"/>
      <c r="BJ612" s="250"/>
      <c r="BK612" s="250"/>
      <c r="BL612" s="250"/>
      <c r="BM612" s="250"/>
      <c r="BN612" s="250"/>
      <c r="BO612" s="250"/>
      <c r="BP612" s="250"/>
      <c r="BQ612" s="250"/>
      <c r="BR612" s="250"/>
      <c r="BS612" s="250"/>
      <c r="BT612" s="250"/>
      <c r="BU612" s="250"/>
      <c r="BV612" s="250"/>
      <c r="BW612" s="250"/>
      <c r="BX612" s="250"/>
      <c r="BY612" s="25">
        <v>0</v>
      </c>
      <c r="BZ612" s="25"/>
      <c r="CA612" s="25"/>
      <c r="CB612" s="25">
        <v>0</v>
      </c>
      <c r="CC612" s="25"/>
      <c r="CD612" s="25"/>
      <c r="CE612" s="110">
        <v>10560000</v>
      </c>
      <c r="CF612" s="110">
        <v>10560000</v>
      </c>
      <c r="CG612" s="110">
        <v>10560000</v>
      </c>
      <c r="CH612" s="37"/>
      <c r="CI612" s="37"/>
      <c r="CJ612" s="37"/>
      <c r="CK612" s="25">
        <v>0</v>
      </c>
      <c r="CL612" s="26"/>
      <c r="CM612" s="26"/>
      <c r="CN612" s="288">
        <v>0</v>
      </c>
      <c r="CO612" s="288"/>
      <c r="CP612" s="288"/>
      <c r="CQ612" s="288"/>
      <c r="CR612" s="288"/>
      <c r="CS612" s="288"/>
      <c r="CT612" s="886">
        <f t="shared" si="327"/>
        <v>69159270.670000002</v>
      </c>
      <c r="CU612" s="25">
        <f t="shared" si="327"/>
        <v>51024000</v>
      </c>
      <c r="CV612" s="25">
        <f t="shared" si="327"/>
        <v>51024000</v>
      </c>
    </row>
    <row r="613" spans="1:100" ht="15" x14ac:dyDescent="0.25">
      <c r="A613" s="18"/>
      <c r="B613" s="19"/>
      <c r="C613" s="921"/>
      <c r="D613" s="954"/>
      <c r="E613" s="945"/>
      <c r="F613" s="945"/>
      <c r="G613" s="154"/>
      <c r="H613" s="155"/>
      <c r="I613" s="154"/>
      <c r="J613" s="155"/>
      <c r="K613" s="311"/>
      <c r="L613" s="311"/>
      <c r="M613" s="311"/>
      <c r="N613" s="157"/>
      <c r="O613" s="154"/>
      <c r="P613" s="155"/>
      <c r="Q613" s="158">
        <f t="shared" ref="Q613:CB613" si="328">SUM(Q609:Q612)</f>
        <v>0</v>
      </c>
      <c r="R613" s="158">
        <f t="shared" si="328"/>
        <v>0</v>
      </c>
      <c r="S613" s="158">
        <f t="shared" si="328"/>
        <v>0</v>
      </c>
      <c r="T613" s="158">
        <f t="shared" si="328"/>
        <v>0</v>
      </c>
      <c r="U613" s="158">
        <f t="shared" si="328"/>
        <v>0</v>
      </c>
      <c r="V613" s="158">
        <f t="shared" si="328"/>
        <v>0</v>
      </c>
      <c r="W613" s="158">
        <f t="shared" si="328"/>
        <v>0</v>
      </c>
      <c r="X613" s="158">
        <f t="shared" si="328"/>
        <v>0</v>
      </c>
      <c r="Y613" s="158">
        <f t="shared" si="328"/>
        <v>0</v>
      </c>
      <c r="Z613" s="158">
        <f t="shared" si="328"/>
        <v>0</v>
      </c>
      <c r="AA613" s="158">
        <f t="shared" si="328"/>
        <v>0</v>
      </c>
      <c r="AB613" s="158">
        <f t="shared" si="328"/>
        <v>0</v>
      </c>
      <c r="AC613" s="158">
        <f t="shared" si="328"/>
        <v>0</v>
      </c>
      <c r="AD613" s="158">
        <f t="shared" si="328"/>
        <v>0</v>
      </c>
      <c r="AE613" s="158">
        <f t="shared" si="328"/>
        <v>0</v>
      </c>
      <c r="AF613" s="158">
        <f t="shared" si="328"/>
        <v>0</v>
      </c>
      <c r="AG613" s="158">
        <f t="shared" si="328"/>
        <v>0</v>
      </c>
      <c r="AH613" s="158">
        <f t="shared" si="328"/>
        <v>0</v>
      </c>
      <c r="AI613" s="158">
        <f t="shared" si="328"/>
        <v>0</v>
      </c>
      <c r="AJ613" s="158">
        <f t="shared" si="328"/>
        <v>0</v>
      </c>
      <c r="AK613" s="158">
        <f t="shared" si="328"/>
        <v>0</v>
      </c>
      <c r="AL613" s="394">
        <f t="shared" si="328"/>
        <v>274307604</v>
      </c>
      <c r="AM613" s="158">
        <f t="shared" si="328"/>
        <v>254422333.32999998</v>
      </c>
      <c r="AN613" s="158">
        <f t="shared" si="328"/>
        <v>247939000</v>
      </c>
      <c r="AO613" s="158">
        <f t="shared" si="328"/>
        <v>0</v>
      </c>
      <c r="AP613" s="158">
        <f t="shared" si="328"/>
        <v>0</v>
      </c>
      <c r="AQ613" s="158">
        <f t="shared" si="328"/>
        <v>0</v>
      </c>
      <c r="AR613" s="158">
        <f t="shared" si="328"/>
        <v>0</v>
      </c>
      <c r="AS613" s="158">
        <f t="shared" si="328"/>
        <v>0</v>
      </c>
      <c r="AT613" s="158">
        <f t="shared" si="328"/>
        <v>0</v>
      </c>
      <c r="AU613" s="158">
        <f t="shared" si="328"/>
        <v>0</v>
      </c>
      <c r="AV613" s="158">
        <f t="shared" si="328"/>
        <v>0</v>
      </c>
      <c r="AW613" s="158">
        <f t="shared" si="328"/>
        <v>0</v>
      </c>
      <c r="AX613" s="158">
        <f t="shared" si="328"/>
        <v>0</v>
      </c>
      <c r="AY613" s="158">
        <f t="shared" si="328"/>
        <v>0</v>
      </c>
      <c r="AZ613" s="158">
        <f t="shared" si="328"/>
        <v>0</v>
      </c>
      <c r="BA613" s="158">
        <f t="shared" si="328"/>
        <v>0</v>
      </c>
      <c r="BB613" s="158">
        <f t="shared" si="328"/>
        <v>0</v>
      </c>
      <c r="BC613" s="158">
        <f t="shared" si="328"/>
        <v>0</v>
      </c>
      <c r="BD613" s="158">
        <f t="shared" si="328"/>
        <v>0</v>
      </c>
      <c r="BE613" s="158">
        <f t="shared" si="328"/>
        <v>0</v>
      </c>
      <c r="BF613" s="158">
        <f t="shared" si="328"/>
        <v>0</v>
      </c>
      <c r="BG613" s="158">
        <f t="shared" si="328"/>
        <v>0</v>
      </c>
      <c r="BH613" s="158">
        <f t="shared" si="328"/>
        <v>0</v>
      </c>
      <c r="BI613" s="158">
        <f t="shared" si="328"/>
        <v>0</v>
      </c>
      <c r="BJ613" s="158">
        <f t="shared" si="328"/>
        <v>0</v>
      </c>
      <c r="BK613" s="158">
        <f t="shared" si="328"/>
        <v>0</v>
      </c>
      <c r="BL613" s="158">
        <f t="shared" si="328"/>
        <v>0</v>
      </c>
      <c r="BM613" s="158">
        <f t="shared" si="328"/>
        <v>0</v>
      </c>
      <c r="BN613" s="158">
        <f t="shared" si="328"/>
        <v>0</v>
      </c>
      <c r="BO613" s="158">
        <f t="shared" si="328"/>
        <v>0</v>
      </c>
      <c r="BP613" s="158">
        <f t="shared" si="328"/>
        <v>0</v>
      </c>
      <c r="BQ613" s="158">
        <f t="shared" si="328"/>
        <v>0</v>
      </c>
      <c r="BR613" s="158">
        <f t="shared" si="328"/>
        <v>0</v>
      </c>
      <c r="BS613" s="158">
        <f t="shared" si="328"/>
        <v>0</v>
      </c>
      <c r="BT613" s="158">
        <f t="shared" si="328"/>
        <v>0</v>
      </c>
      <c r="BU613" s="158">
        <f t="shared" si="328"/>
        <v>0</v>
      </c>
      <c r="BV613" s="158">
        <f t="shared" si="328"/>
        <v>0</v>
      </c>
      <c r="BW613" s="158">
        <f t="shared" si="328"/>
        <v>0</v>
      </c>
      <c r="BX613" s="158">
        <f t="shared" si="328"/>
        <v>0</v>
      </c>
      <c r="BY613" s="158">
        <f t="shared" si="328"/>
        <v>0</v>
      </c>
      <c r="BZ613" s="158">
        <f t="shared" si="328"/>
        <v>0</v>
      </c>
      <c r="CA613" s="158">
        <f t="shared" si="328"/>
        <v>0</v>
      </c>
      <c r="CB613" s="158">
        <f t="shared" si="328"/>
        <v>0</v>
      </c>
      <c r="CC613" s="158">
        <f t="shared" ref="CC613:CS613" si="329">SUM(CC609:CC612)</f>
        <v>0</v>
      </c>
      <c r="CD613" s="158">
        <f t="shared" si="329"/>
        <v>0</v>
      </c>
      <c r="CE613" s="158">
        <f t="shared" si="329"/>
        <v>130000000</v>
      </c>
      <c r="CF613" s="158">
        <f t="shared" si="329"/>
        <v>129999999.67</v>
      </c>
      <c r="CG613" s="158">
        <f t="shared" si="329"/>
        <v>121973333</v>
      </c>
      <c r="CH613" s="158">
        <f t="shared" si="329"/>
        <v>0</v>
      </c>
      <c r="CI613" s="158">
        <f t="shared" si="329"/>
        <v>0</v>
      </c>
      <c r="CJ613" s="158">
        <f t="shared" si="329"/>
        <v>0</v>
      </c>
      <c r="CK613" s="158">
        <f t="shared" si="329"/>
        <v>0</v>
      </c>
      <c r="CL613" s="158">
        <f t="shared" si="329"/>
        <v>0</v>
      </c>
      <c r="CM613" s="158">
        <f t="shared" si="329"/>
        <v>0</v>
      </c>
      <c r="CN613" s="158">
        <f t="shared" si="329"/>
        <v>0</v>
      </c>
      <c r="CO613" s="158">
        <f t="shared" si="329"/>
        <v>0</v>
      </c>
      <c r="CP613" s="158">
        <f t="shared" si="329"/>
        <v>0</v>
      </c>
      <c r="CQ613" s="158">
        <f t="shared" si="329"/>
        <v>0</v>
      </c>
      <c r="CR613" s="158">
        <f t="shared" si="329"/>
        <v>0</v>
      </c>
      <c r="CS613" s="158">
        <f t="shared" si="329"/>
        <v>0</v>
      </c>
      <c r="CT613" s="394">
        <f>SUM(CT609:CT612)</f>
        <v>404307604</v>
      </c>
      <c r="CU613" s="158">
        <f>SUM(CU609:CU612)</f>
        <v>384422333</v>
      </c>
      <c r="CV613" s="158">
        <f>SUM(CV609:CV612)</f>
        <v>369912333</v>
      </c>
    </row>
    <row r="614" spans="1:100" ht="15" x14ac:dyDescent="0.25">
      <c r="A614" s="18"/>
      <c r="B614" s="19"/>
      <c r="C614" s="949"/>
      <c r="D614" s="177"/>
      <c r="E614" s="949"/>
      <c r="F614" s="949"/>
      <c r="G614" s="177"/>
      <c r="H614" s="949"/>
      <c r="I614" s="177"/>
      <c r="J614" s="949"/>
      <c r="K614" s="949"/>
      <c r="L614" s="930"/>
      <c r="M614" s="930"/>
      <c r="N614" s="230"/>
      <c r="O614" s="221"/>
      <c r="P614" s="949"/>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c r="AU614" s="180"/>
      <c r="AV614" s="180"/>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0"/>
      <c r="BS614" s="180"/>
      <c r="BT614" s="180"/>
      <c r="BU614" s="180"/>
      <c r="BV614" s="180"/>
      <c r="BW614" s="180"/>
      <c r="BX614" s="180"/>
      <c r="BY614" s="180"/>
      <c r="BZ614" s="180"/>
      <c r="CA614" s="180"/>
      <c r="CB614" s="180"/>
      <c r="CC614" s="180"/>
      <c r="CD614" s="180"/>
      <c r="CE614" s="182"/>
      <c r="CF614" s="182"/>
      <c r="CG614" s="182"/>
      <c r="CH614" s="183"/>
      <c r="CI614" s="183"/>
      <c r="CJ614" s="183"/>
      <c r="CK614" s="180"/>
      <c r="CL614" s="180"/>
      <c r="CM614" s="180"/>
      <c r="CN614" s="180"/>
      <c r="CO614" s="180"/>
      <c r="CP614" s="180"/>
      <c r="CQ614" s="180"/>
      <c r="CR614" s="180"/>
      <c r="CS614" s="180"/>
      <c r="CT614" s="886"/>
      <c r="CU614" s="516"/>
      <c r="CV614" s="516"/>
    </row>
    <row r="615" spans="1:100" ht="15" x14ac:dyDescent="0.25">
      <c r="A615" s="18"/>
      <c r="B615" s="19"/>
      <c r="C615" s="949"/>
      <c r="D615" s="153"/>
      <c r="E615" s="581"/>
      <c r="F615" s="581"/>
      <c r="G615" s="339">
        <v>45</v>
      </c>
      <c r="H615" s="189" t="s">
        <v>759</v>
      </c>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c r="BU615" s="189"/>
      <c r="BV615" s="189"/>
      <c r="BW615" s="189"/>
      <c r="BX615" s="189"/>
      <c r="BY615" s="189"/>
      <c r="BZ615" s="189"/>
      <c r="CA615" s="189"/>
      <c r="CB615" s="189"/>
      <c r="CC615" s="189"/>
      <c r="CD615" s="189"/>
      <c r="CE615" s="190"/>
      <c r="CF615" s="190"/>
      <c r="CG615" s="190"/>
      <c r="CH615" s="189"/>
      <c r="CI615" s="189"/>
      <c r="CJ615" s="189"/>
      <c r="CK615" s="189"/>
      <c r="CL615" s="189"/>
      <c r="CM615" s="189"/>
      <c r="CN615" s="189"/>
      <c r="CO615" s="189"/>
      <c r="CP615" s="189"/>
      <c r="CQ615" s="189"/>
      <c r="CR615" s="189"/>
      <c r="CS615" s="189"/>
      <c r="CT615" s="673"/>
      <c r="CU615" s="522"/>
      <c r="CV615" s="522"/>
    </row>
    <row r="616" spans="1:100" ht="95.25" customHeight="1" x14ac:dyDescent="0.25">
      <c r="A616" s="18"/>
      <c r="B616" s="19"/>
      <c r="C616" s="1082" t="s">
        <v>760</v>
      </c>
      <c r="D616" s="1012" t="s">
        <v>761</v>
      </c>
      <c r="E616" s="1021" t="s">
        <v>762</v>
      </c>
      <c r="F616" s="1021" t="s">
        <v>763</v>
      </c>
      <c r="G616" s="1014"/>
      <c r="H616" s="30">
        <v>158</v>
      </c>
      <c r="I616" s="928" t="s">
        <v>764</v>
      </c>
      <c r="J616" s="30" t="s">
        <v>30</v>
      </c>
      <c r="K616" s="929">
        <v>11</v>
      </c>
      <c r="L616" s="929">
        <v>11</v>
      </c>
      <c r="M616" s="1021" t="s">
        <v>670</v>
      </c>
      <c r="N616" s="1017" t="s">
        <v>765</v>
      </c>
      <c r="O616" s="1012" t="s">
        <v>766</v>
      </c>
      <c r="P616" s="929" t="s">
        <v>38</v>
      </c>
      <c r="Q616" s="25">
        <v>0</v>
      </c>
      <c r="R616" s="25"/>
      <c r="S616" s="25"/>
      <c r="T616" s="25">
        <v>0</v>
      </c>
      <c r="U616" s="25"/>
      <c r="V616" s="25"/>
      <c r="W616" s="25">
        <v>0</v>
      </c>
      <c r="X616" s="25"/>
      <c r="Y616" s="25"/>
      <c r="Z616" s="25">
        <v>0</v>
      </c>
      <c r="AA616" s="25"/>
      <c r="AB616" s="25"/>
      <c r="AC616" s="25">
        <v>0</v>
      </c>
      <c r="AD616" s="25"/>
      <c r="AE616" s="25"/>
      <c r="AF616" s="25">
        <v>0</v>
      </c>
      <c r="AG616" s="25"/>
      <c r="AH616" s="25"/>
      <c r="AI616" s="25">
        <v>0</v>
      </c>
      <c r="AJ616" s="25"/>
      <c r="AK616" s="25"/>
      <c r="AL616" s="25">
        <f>1396230607+100000000+4000000</f>
        <v>1500230607</v>
      </c>
      <c r="AM616" s="25">
        <v>1391132066</v>
      </c>
      <c r="AN616" s="25">
        <v>1123945666</v>
      </c>
      <c r="AO616" s="13"/>
      <c r="AP616" s="13"/>
      <c r="AQ616" s="13"/>
      <c r="AR616" s="13"/>
      <c r="AS616" s="13"/>
      <c r="AT616" s="13"/>
      <c r="AU616" s="319">
        <v>0</v>
      </c>
      <c r="AV616" s="319"/>
      <c r="AW616" s="319"/>
      <c r="AX616" s="319"/>
      <c r="AY616" s="319"/>
      <c r="AZ616" s="319"/>
      <c r="BA616" s="319">
        <v>0</v>
      </c>
      <c r="BB616" s="319"/>
      <c r="BC616" s="319"/>
      <c r="BD616" s="319">
        <v>0</v>
      </c>
      <c r="BE616" s="319"/>
      <c r="BF616" s="319"/>
      <c r="BG616" s="250"/>
      <c r="BH616" s="250"/>
      <c r="BI616" s="250"/>
      <c r="BJ616" s="250"/>
      <c r="BK616" s="250"/>
      <c r="BL616" s="250"/>
      <c r="BM616" s="250"/>
      <c r="BN616" s="250"/>
      <c r="BO616" s="250"/>
      <c r="BP616" s="250"/>
      <c r="BQ616" s="250"/>
      <c r="BR616" s="250"/>
      <c r="BS616" s="250"/>
      <c r="BT616" s="250"/>
      <c r="BU616" s="250"/>
      <c r="BV616" s="250"/>
      <c r="BW616" s="250"/>
      <c r="BX616" s="250"/>
      <c r="BY616" s="319">
        <v>0</v>
      </c>
      <c r="BZ616" s="319"/>
      <c r="CA616" s="319"/>
      <c r="CB616" s="319">
        <v>0</v>
      </c>
      <c r="CC616" s="319"/>
      <c r="CD616" s="319"/>
      <c r="CE616" s="496">
        <v>0</v>
      </c>
      <c r="CF616" s="496"/>
      <c r="CG616" s="496"/>
      <c r="CH616" s="497"/>
      <c r="CI616" s="497"/>
      <c r="CJ616" s="497"/>
      <c r="CK616" s="319">
        <v>0</v>
      </c>
      <c r="CL616" s="288"/>
      <c r="CM616" s="288"/>
      <c r="CN616" s="288">
        <v>0</v>
      </c>
      <c r="CO616" s="288"/>
      <c r="CP616" s="288"/>
      <c r="CQ616" s="288"/>
      <c r="CR616" s="288"/>
      <c r="CS616" s="288"/>
      <c r="CT616" s="886">
        <f t="shared" ref="CT616:CV617" si="330">Q616+T616+W616+Z616+AC616+AF616+AI616+AL616+AO616+AR616+AU616+AX616+BA616+BD616+BG616+BJ616+BM616+BP616+BS616+BV616+BY616+CB616+CE616+CH616+CK616+CQ616+CN616</f>
        <v>1500230607</v>
      </c>
      <c r="CU616" s="25">
        <f t="shared" si="330"/>
        <v>1391132066</v>
      </c>
      <c r="CV616" s="25">
        <f t="shared" si="330"/>
        <v>1123945666</v>
      </c>
    </row>
    <row r="617" spans="1:100" ht="265.5" customHeight="1" x14ac:dyDescent="0.25">
      <c r="A617" s="18"/>
      <c r="B617" s="19"/>
      <c r="C617" s="1083"/>
      <c r="D617" s="1013"/>
      <c r="E617" s="1022"/>
      <c r="F617" s="1022"/>
      <c r="G617" s="1016"/>
      <c r="H617" s="30">
        <v>159</v>
      </c>
      <c r="I617" s="928" t="s">
        <v>767</v>
      </c>
      <c r="J617" s="30" t="s">
        <v>30</v>
      </c>
      <c r="K617" s="929">
        <v>8</v>
      </c>
      <c r="L617" s="929">
        <v>11</v>
      </c>
      <c r="M617" s="1022"/>
      <c r="N617" s="1019"/>
      <c r="O617" s="1013"/>
      <c r="P617" s="929" t="s">
        <v>38</v>
      </c>
      <c r="Q617" s="25">
        <v>0</v>
      </c>
      <c r="R617" s="25"/>
      <c r="S617" s="25"/>
      <c r="T617" s="25">
        <v>0</v>
      </c>
      <c r="U617" s="25"/>
      <c r="V617" s="25"/>
      <c r="W617" s="25">
        <v>0</v>
      </c>
      <c r="X617" s="25"/>
      <c r="Y617" s="25"/>
      <c r="Z617" s="25">
        <v>0</v>
      </c>
      <c r="AA617" s="25"/>
      <c r="AB617" s="25"/>
      <c r="AC617" s="25">
        <v>0</v>
      </c>
      <c r="AD617" s="25"/>
      <c r="AE617" s="25"/>
      <c r="AF617" s="25">
        <v>0</v>
      </c>
      <c r="AG617" s="25"/>
      <c r="AH617" s="25"/>
      <c r="AI617" s="25">
        <v>0</v>
      </c>
      <c r="AJ617" s="25"/>
      <c r="AK617" s="25"/>
      <c r="AL617" s="250">
        <v>0</v>
      </c>
      <c r="AM617" s="250"/>
      <c r="AN617" s="250"/>
      <c r="AO617" s="25"/>
      <c r="AP617" s="25"/>
      <c r="AQ617" s="25"/>
      <c r="AR617" s="25"/>
      <c r="AS617" s="25"/>
      <c r="AT617" s="25"/>
      <c r="AU617" s="319">
        <v>0</v>
      </c>
      <c r="AV617" s="319"/>
      <c r="AW617" s="319"/>
      <c r="AX617" s="319"/>
      <c r="AY617" s="319"/>
      <c r="AZ617" s="319"/>
      <c r="BA617" s="319">
        <v>0</v>
      </c>
      <c r="BB617" s="319"/>
      <c r="BC617" s="319"/>
      <c r="BD617" s="319">
        <v>0</v>
      </c>
      <c r="BE617" s="319"/>
      <c r="BF617" s="319"/>
      <c r="BG617" s="250"/>
      <c r="BH617" s="250"/>
      <c r="BI617" s="250"/>
      <c r="BJ617" s="250"/>
      <c r="BK617" s="250"/>
      <c r="BL617" s="250"/>
      <c r="BM617" s="250"/>
      <c r="BN617" s="250"/>
      <c r="BO617" s="250"/>
      <c r="BP617" s="250"/>
      <c r="BQ617" s="250"/>
      <c r="BR617" s="250"/>
      <c r="BS617" s="250"/>
      <c r="BT617" s="250"/>
      <c r="BU617" s="250"/>
      <c r="BV617" s="250"/>
      <c r="BW617" s="250"/>
      <c r="BX617" s="250"/>
      <c r="BY617" s="319">
        <v>0</v>
      </c>
      <c r="BZ617" s="319"/>
      <c r="CA617" s="319"/>
      <c r="CB617" s="319">
        <v>0</v>
      </c>
      <c r="CC617" s="319"/>
      <c r="CD617" s="319"/>
      <c r="CE617" s="496">
        <v>0</v>
      </c>
      <c r="CF617" s="496"/>
      <c r="CG617" s="496"/>
      <c r="CH617" s="497"/>
      <c r="CI617" s="497"/>
      <c r="CJ617" s="497"/>
      <c r="CK617" s="319">
        <v>0</v>
      </c>
      <c r="CL617" s="288"/>
      <c r="CM617" s="288"/>
      <c r="CN617" s="288">
        <v>0</v>
      </c>
      <c r="CO617" s="288"/>
      <c r="CP617" s="288"/>
      <c r="CQ617" s="288"/>
      <c r="CR617" s="288"/>
      <c r="CS617" s="288"/>
      <c r="CT617" s="886">
        <f t="shared" si="330"/>
        <v>0</v>
      </c>
      <c r="CU617" s="25">
        <f t="shared" si="330"/>
        <v>0</v>
      </c>
      <c r="CV617" s="25">
        <f t="shared" si="330"/>
        <v>0</v>
      </c>
    </row>
    <row r="618" spans="1:100" ht="15" x14ac:dyDescent="0.25">
      <c r="A618" s="18"/>
      <c r="B618" s="19"/>
      <c r="C618" s="927"/>
      <c r="D618" s="153"/>
      <c r="E618" s="581"/>
      <c r="F618" s="581"/>
      <c r="G618" s="298"/>
      <c r="H618" s="311"/>
      <c r="I618" s="154"/>
      <c r="J618" s="311"/>
      <c r="K618" s="155"/>
      <c r="L618" s="155"/>
      <c r="M618" s="155"/>
      <c r="N618" s="157"/>
      <c r="O618" s="154"/>
      <c r="P618" s="155"/>
      <c r="Q618" s="158">
        <f t="shared" ref="Q618:CB618" si="331">SUM(Q616:Q617)</f>
        <v>0</v>
      </c>
      <c r="R618" s="158">
        <f t="shared" si="331"/>
        <v>0</v>
      </c>
      <c r="S618" s="158">
        <f t="shared" si="331"/>
        <v>0</v>
      </c>
      <c r="T618" s="158">
        <f t="shared" si="331"/>
        <v>0</v>
      </c>
      <c r="U618" s="158">
        <f t="shared" si="331"/>
        <v>0</v>
      </c>
      <c r="V618" s="158">
        <f t="shared" si="331"/>
        <v>0</v>
      </c>
      <c r="W618" s="158">
        <f t="shared" si="331"/>
        <v>0</v>
      </c>
      <c r="X618" s="158">
        <f t="shared" si="331"/>
        <v>0</v>
      </c>
      <c r="Y618" s="158">
        <f t="shared" si="331"/>
        <v>0</v>
      </c>
      <c r="Z618" s="158">
        <f t="shared" si="331"/>
        <v>0</v>
      </c>
      <c r="AA618" s="158">
        <f t="shared" si="331"/>
        <v>0</v>
      </c>
      <c r="AB618" s="158">
        <f t="shared" si="331"/>
        <v>0</v>
      </c>
      <c r="AC618" s="158">
        <f t="shared" si="331"/>
        <v>0</v>
      </c>
      <c r="AD618" s="158">
        <f t="shared" si="331"/>
        <v>0</v>
      </c>
      <c r="AE618" s="158">
        <f t="shared" si="331"/>
        <v>0</v>
      </c>
      <c r="AF618" s="158">
        <f t="shared" si="331"/>
        <v>0</v>
      </c>
      <c r="AG618" s="158">
        <f t="shared" si="331"/>
        <v>0</v>
      </c>
      <c r="AH618" s="158">
        <f t="shared" si="331"/>
        <v>0</v>
      </c>
      <c r="AI618" s="158">
        <f t="shared" si="331"/>
        <v>0</v>
      </c>
      <c r="AJ618" s="158">
        <f t="shared" si="331"/>
        <v>0</v>
      </c>
      <c r="AK618" s="158">
        <f t="shared" si="331"/>
        <v>0</v>
      </c>
      <c r="AL618" s="158">
        <f t="shared" si="331"/>
        <v>1500230607</v>
      </c>
      <c r="AM618" s="158">
        <f t="shared" si="331"/>
        <v>1391132066</v>
      </c>
      <c r="AN618" s="158">
        <f t="shared" si="331"/>
        <v>1123945666</v>
      </c>
      <c r="AO618" s="158">
        <f t="shared" si="331"/>
        <v>0</v>
      </c>
      <c r="AP618" s="158">
        <f t="shared" si="331"/>
        <v>0</v>
      </c>
      <c r="AQ618" s="158">
        <f t="shared" si="331"/>
        <v>0</v>
      </c>
      <c r="AR618" s="158">
        <f t="shared" si="331"/>
        <v>0</v>
      </c>
      <c r="AS618" s="158">
        <f t="shared" si="331"/>
        <v>0</v>
      </c>
      <c r="AT618" s="158">
        <f t="shared" si="331"/>
        <v>0</v>
      </c>
      <c r="AU618" s="158">
        <f t="shared" si="331"/>
        <v>0</v>
      </c>
      <c r="AV618" s="158">
        <f t="shared" si="331"/>
        <v>0</v>
      </c>
      <c r="AW618" s="158">
        <f t="shared" si="331"/>
        <v>0</v>
      </c>
      <c r="AX618" s="158">
        <f t="shared" si="331"/>
        <v>0</v>
      </c>
      <c r="AY618" s="158">
        <f t="shared" si="331"/>
        <v>0</v>
      </c>
      <c r="AZ618" s="158">
        <f t="shared" si="331"/>
        <v>0</v>
      </c>
      <c r="BA618" s="158">
        <f t="shared" si="331"/>
        <v>0</v>
      </c>
      <c r="BB618" s="158">
        <f t="shared" si="331"/>
        <v>0</v>
      </c>
      <c r="BC618" s="158">
        <f t="shared" si="331"/>
        <v>0</v>
      </c>
      <c r="BD618" s="158">
        <f t="shared" si="331"/>
        <v>0</v>
      </c>
      <c r="BE618" s="158">
        <f t="shared" si="331"/>
        <v>0</v>
      </c>
      <c r="BF618" s="158">
        <f t="shared" si="331"/>
        <v>0</v>
      </c>
      <c r="BG618" s="158">
        <f t="shared" si="331"/>
        <v>0</v>
      </c>
      <c r="BH618" s="158">
        <f t="shared" si="331"/>
        <v>0</v>
      </c>
      <c r="BI618" s="158">
        <f t="shared" si="331"/>
        <v>0</v>
      </c>
      <c r="BJ618" s="158">
        <f t="shared" si="331"/>
        <v>0</v>
      </c>
      <c r="BK618" s="158">
        <f t="shared" si="331"/>
        <v>0</v>
      </c>
      <c r="BL618" s="158">
        <f t="shared" si="331"/>
        <v>0</v>
      </c>
      <c r="BM618" s="158">
        <f t="shared" si="331"/>
        <v>0</v>
      </c>
      <c r="BN618" s="158">
        <f t="shared" si="331"/>
        <v>0</v>
      </c>
      <c r="BO618" s="158">
        <f t="shared" si="331"/>
        <v>0</v>
      </c>
      <c r="BP618" s="158">
        <f t="shared" si="331"/>
        <v>0</v>
      </c>
      <c r="BQ618" s="158">
        <f t="shared" si="331"/>
        <v>0</v>
      </c>
      <c r="BR618" s="158">
        <f t="shared" si="331"/>
        <v>0</v>
      </c>
      <c r="BS618" s="158">
        <f t="shared" si="331"/>
        <v>0</v>
      </c>
      <c r="BT618" s="158">
        <f t="shared" si="331"/>
        <v>0</v>
      </c>
      <c r="BU618" s="158">
        <f t="shared" si="331"/>
        <v>0</v>
      </c>
      <c r="BV618" s="158">
        <f t="shared" si="331"/>
        <v>0</v>
      </c>
      <c r="BW618" s="158">
        <f t="shared" si="331"/>
        <v>0</v>
      </c>
      <c r="BX618" s="158">
        <f t="shared" si="331"/>
        <v>0</v>
      </c>
      <c r="BY618" s="158">
        <f t="shared" si="331"/>
        <v>0</v>
      </c>
      <c r="BZ618" s="158">
        <f t="shared" si="331"/>
        <v>0</v>
      </c>
      <c r="CA618" s="158">
        <f t="shared" si="331"/>
        <v>0</v>
      </c>
      <c r="CB618" s="158">
        <f t="shared" si="331"/>
        <v>0</v>
      </c>
      <c r="CC618" s="158">
        <f t="shared" ref="CC618:CS618" si="332">SUM(CC616:CC617)</f>
        <v>0</v>
      </c>
      <c r="CD618" s="158">
        <f t="shared" si="332"/>
        <v>0</v>
      </c>
      <c r="CE618" s="158">
        <f t="shared" si="332"/>
        <v>0</v>
      </c>
      <c r="CF618" s="158">
        <f t="shared" si="332"/>
        <v>0</v>
      </c>
      <c r="CG618" s="158">
        <f t="shared" si="332"/>
        <v>0</v>
      </c>
      <c r="CH618" s="158">
        <f t="shared" si="332"/>
        <v>0</v>
      </c>
      <c r="CI618" s="158">
        <f t="shared" si="332"/>
        <v>0</v>
      </c>
      <c r="CJ618" s="158">
        <f t="shared" si="332"/>
        <v>0</v>
      </c>
      <c r="CK618" s="158">
        <f t="shared" si="332"/>
        <v>0</v>
      </c>
      <c r="CL618" s="158">
        <f t="shared" si="332"/>
        <v>0</v>
      </c>
      <c r="CM618" s="158">
        <f t="shared" si="332"/>
        <v>0</v>
      </c>
      <c r="CN618" s="158">
        <f t="shared" si="332"/>
        <v>0</v>
      </c>
      <c r="CO618" s="158">
        <f t="shared" si="332"/>
        <v>0</v>
      </c>
      <c r="CP618" s="158">
        <f t="shared" si="332"/>
        <v>0</v>
      </c>
      <c r="CQ618" s="158">
        <f t="shared" si="332"/>
        <v>0</v>
      </c>
      <c r="CR618" s="158">
        <f t="shared" si="332"/>
        <v>0</v>
      </c>
      <c r="CS618" s="158">
        <f t="shared" si="332"/>
        <v>0</v>
      </c>
      <c r="CT618" s="394">
        <f>SUM(CT616:CT617)</f>
        <v>1500230607</v>
      </c>
      <c r="CU618" s="158">
        <f>SUM(CU616:CU617)</f>
        <v>1391132066</v>
      </c>
      <c r="CV618" s="158">
        <f>SUM(CV616:CV617)</f>
        <v>1123945666</v>
      </c>
    </row>
    <row r="619" spans="1:100" ht="15" x14ac:dyDescent="0.25">
      <c r="A619" s="18"/>
      <c r="B619" s="19"/>
      <c r="C619" s="949"/>
      <c r="D619" s="177"/>
      <c r="E619" s="949"/>
      <c r="F619" s="949"/>
      <c r="G619" s="177"/>
      <c r="H619" s="949"/>
      <c r="I619" s="177"/>
      <c r="J619" s="949"/>
      <c r="K619" s="949"/>
      <c r="L619" s="930"/>
      <c r="M619" s="930"/>
      <c r="N619" s="230"/>
      <c r="O619" s="221"/>
      <c r="P619" s="949"/>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0"/>
      <c r="BS619" s="180"/>
      <c r="BT619" s="180"/>
      <c r="BU619" s="180"/>
      <c r="BV619" s="180"/>
      <c r="BW619" s="180"/>
      <c r="BX619" s="180"/>
      <c r="BY619" s="180"/>
      <c r="BZ619" s="180"/>
      <c r="CA619" s="180"/>
      <c r="CB619" s="180"/>
      <c r="CC619" s="180"/>
      <c r="CD619" s="180"/>
      <c r="CE619" s="182"/>
      <c r="CF619" s="182"/>
      <c r="CG619" s="182"/>
      <c r="CH619" s="183"/>
      <c r="CI619" s="183"/>
      <c r="CJ619" s="183"/>
      <c r="CK619" s="180"/>
      <c r="CL619" s="180"/>
      <c r="CM619" s="180"/>
      <c r="CN619" s="180"/>
      <c r="CO619" s="180"/>
      <c r="CP619" s="180"/>
      <c r="CQ619" s="180"/>
      <c r="CR619" s="180"/>
      <c r="CS619" s="180"/>
      <c r="CT619" s="886"/>
      <c r="CU619" s="516"/>
      <c r="CV619" s="516"/>
    </row>
    <row r="620" spans="1:100" ht="15" x14ac:dyDescent="0.25">
      <c r="A620" s="18"/>
      <c r="B620" s="19"/>
      <c r="C620" s="949"/>
      <c r="D620" s="153"/>
      <c r="E620" s="581"/>
      <c r="F620" s="581"/>
      <c r="G620" s="339">
        <v>46</v>
      </c>
      <c r="H620" s="189" t="s">
        <v>768</v>
      </c>
      <c r="I620" s="189"/>
      <c r="J620" s="189"/>
      <c r="K620" s="189"/>
      <c r="L620" s="189"/>
      <c r="M620" s="189"/>
      <c r="N620" s="189"/>
      <c r="O620" s="189"/>
      <c r="P620" s="189"/>
      <c r="Q620" s="189"/>
      <c r="R620" s="922"/>
      <c r="S620" s="922"/>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c r="BU620" s="189"/>
      <c r="BV620" s="189"/>
      <c r="BW620" s="189"/>
      <c r="BX620" s="189"/>
      <c r="BY620" s="189"/>
      <c r="BZ620" s="189"/>
      <c r="CA620" s="189"/>
      <c r="CB620" s="189"/>
      <c r="CC620" s="189"/>
      <c r="CD620" s="189"/>
      <c r="CE620" s="190"/>
      <c r="CF620" s="190"/>
      <c r="CG620" s="190"/>
      <c r="CH620" s="189"/>
      <c r="CI620" s="189"/>
      <c r="CJ620" s="189"/>
      <c r="CK620" s="189"/>
      <c r="CL620" s="189"/>
      <c r="CM620" s="189"/>
      <c r="CN620" s="189"/>
      <c r="CO620" s="189"/>
      <c r="CP620" s="189"/>
      <c r="CQ620" s="189"/>
      <c r="CR620" s="189"/>
      <c r="CS620" s="189"/>
      <c r="CT620" s="673"/>
      <c r="CU620" s="522"/>
      <c r="CV620" s="522"/>
    </row>
    <row r="621" spans="1:100" ht="64.5" customHeight="1" x14ac:dyDescent="0.25">
      <c r="A621" s="18"/>
      <c r="B621" s="19"/>
      <c r="C621" s="927">
        <v>26</v>
      </c>
      <c r="D621" s="919" t="s">
        <v>769</v>
      </c>
      <c r="E621" s="916" t="s">
        <v>708</v>
      </c>
      <c r="F621" s="916" t="s">
        <v>770</v>
      </c>
      <c r="G621" s="22"/>
      <c r="H621" s="929">
        <v>160</v>
      </c>
      <c r="I621" s="69" t="s">
        <v>771</v>
      </c>
      <c r="J621" s="929">
        <v>250</v>
      </c>
      <c r="K621" s="929">
        <v>300</v>
      </c>
      <c r="L621" s="929">
        <v>225</v>
      </c>
      <c r="M621" s="929" t="s">
        <v>670</v>
      </c>
      <c r="N621" s="36" t="s">
        <v>772</v>
      </c>
      <c r="O621" s="928" t="s">
        <v>773</v>
      </c>
      <c r="P621" s="929" t="s">
        <v>38</v>
      </c>
      <c r="Q621" s="25">
        <v>0</v>
      </c>
      <c r="R621" s="25"/>
      <c r="S621" s="25"/>
      <c r="T621" s="25">
        <v>0</v>
      </c>
      <c r="U621" s="25"/>
      <c r="V621" s="25"/>
      <c r="W621" s="25">
        <v>0</v>
      </c>
      <c r="X621" s="25"/>
      <c r="Y621" s="25"/>
      <c r="Z621" s="25">
        <v>0</v>
      </c>
      <c r="AA621" s="25"/>
      <c r="AB621" s="25"/>
      <c r="AC621" s="25">
        <v>0</v>
      </c>
      <c r="AD621" s="25"/>
      <c r="AE621" s="25"/>
      <c r="AF621" s="25">
        <v>0</v>
      </c>
      <c r="AG621" s="25"/>
      <c r="AH621" s="25"/>
      <c r="AI621" s="25">
        <v>0</v>
      </c>
      <c r="AJ621" s="25"/>
      <c r="AK621" s="25"/>
      <c r="AL621" s="25">
        <f>1021461289+229853919+8000000</f>
        <v>1259315208</v>
      </c>
      <c r="AM621" s="25">
        <v>1099479225</v>
      </c>
      <c r="AN621" s="25">
        <v>1077714225</v>
      </c>
      <c r="AO621" s="13"/>
      <c r="AP621" s="13"/>
      <c r="AQ621" s="13"/>
      <c r="AR621" s="13"/>
      <c r="AS621" s="13"/>
      <c r="AT621" s="13"/>
      <c r="AU621" s="25">
        <v>0</v>
      </c>
      <c r="AV621" s="25"/>
      <c r="AW621" s="25"/>
      <c r="AX621" s="25"/>
      <c r="AY621" s="25"/>
      <c r="AZ621" s="25"/>
      <c r="BA621" s="319">
        <v>0</v>
      </c>
      <c r="BB621" s="319"/>
      <c r="BC621" s="319"/>
      <c r="BD621" s="319">
        <v>0</v>
      </c>
      <c r="BE621" s="319"/>
      <c r="BF621" s="319"/>
      <c r="BG621" s="250"/>
      <c r="BH621" s="250"/>
      <c r="BI621" s="250"/>
      <c r="BJ621" s="250"/>
      <c r="BK621" s="250"/>
      <c r="BL621" s="250"/>
      <c r="BM621" s="250"/>
      <c r="BN621" s="250"/>
      <c r="BO621" s="250"/>
      <c r="BP621" s="250"/>
      <c r="BQ621" s="250"/>
      <c r="BR621" s="250"/>
      <c r="BS621" s="250"/>
      <c r="BT621" s="250"/>
      <c r="BU621" s="250"/>
      <c r="BV621" s="250"/>
      <c r="BW621" s="250"/>
      <c r="BX621" s="250"/>
      <c r="BY621" s="319">
        <v>0</v>
      </c>
      <c r="BZ621" s="319"/>
      <c r="CA621" s="319"/>
      <c r="CB621" s="319">
        <v>0</v>
      </c>
      <c r="CC621" s="319"/>
      <c r="CD621" s="319"/>
      <c r="CE621" s="496">
        <v>0</v>
      </c>
      <c r="CF621" s="496"/>
      <c r="CG621" s="496"/>
      <c r="CH621" s="497"/>
      <c r="CI621" s="497"/>
      <c r="CJ621" s="497"/>
      <c r="CK621" s="319">
        <v>0</v>
      </c>
      <c r="CL621" s="288"/>
      <c r="CM621" s="288"/>
      <c r="CN621" s="288">
        <v>0</v>
      </c>
      <c r="CO621" s="288"/>
      <c r="CP621" s="288"/>
      <c r="CQ621" s="288"/>
      <c r="CR621" s="288"/>
      <c r="CS621" s="288"/>
      <c r="CT621" s="886">
        <f t="shared" ref="CT621:CV623" si="333">Q621+T621+W621+Z621+AC621+AF621+AI621+AL621+AO621+AR621+AU621+AX621+BA621+BD621+BG621+BJ621+BM621+BP621+BS621+BV621+BY621+CB621+CE621+CH621+CK621+CQ621+CN621</f>
        <v>1259315208</v>
      </c>
      <c r="CU621" s="25">
        <f t="shared" si="333"/>
        <v>1099479225</v>
      </c>
      <c r="CV621" s="25">
        <f t="shared" si="333"/>
        <v>1077714225</v>
      </c>
    </row>
    <row r="622" spans="1:100" ht="57" x14ac:dyDescent="0.25">
      <c r="A622" s="18"/>
      <c r="B622" s="19"/>
      <c r="C622" s="1021" t="s">
        <v>774</v>
      </c>
      <c r="D622" s="1012" t="s">
        <v>775</v>
      </c>
      <c r="E622" s="1021" t="s">
        <v>776</v>
      </c>
      <c r="F622" s="1021" t="s">
        <v>777</v>
      </c>
      <c r="G622" s="28"/>
      <c r="H622" s="929">
        <v>161</v>
      </c>
      <c r="I622" s="928" t="s">
        <v>778</v>
      </c>
      <c r="J622" s="929">
        <v>90</v>
      </c>
      <c r="K622" s="929">
        <v>100</v>
      </c>
      <c r="L622" s="929">
        <v>118</v>
      </c>
      <c r="M622" s="1021" t="s">
        <v>670</v>
      </c>
      <c r="N622" s="1017" t="s">
        <v>779</v>
      </c>
      <c r="O622" s="1012" t="s">
        <v>780</v>
      </c>
      <c r="P622" s="929" t="s">
        <v>38</v>
      </c>
      <c r="Q622" s="25">
        <v>0</v>
      </c>
      <c r="R622" s="25"/>
      <c r="S622" s="25"/>
      <c r="T622" s="25">
        <v>0</v>
      </c>
      <c r="U622" s="25"/>
      <c r="V622" s="25"/>
      <c r="W622" s="25">
        <v>0</v>
      </c>
      <c r="X622" s="25"/>
      <c r="Y622" s="25"/>
      <c r="Z622" s="25">
        <v>0</v>
      </c>
      <c r="AA622" s="25"/>
      <c r="AB622" s="25"/>
      <c r="AC622" s="25">
        <v>0</v>
      </c>
      <c r="AD622" s="25"/>
      <c r="AE622" s="25"/>
      <c r="AF622" s="25">
        <v>0</v>
      </c>
      <c r="AG622" s="25"/>
      <c r="AH622" s="25"/>
      <c r="AI622" s="25">
        <v>0</v>
      </c>
      <c r="AJ622" s="25"/>
      <c r="AK622" s="25"/>
      <c r="AL622" s="25">
        <v>87500000</v>
      </c>
      <c r="AM622" s="25">
        <v>83340000</v>
      </c>
      <c r="AN622" s="25">
        <v>83340000</v>
      </c>
      <c r="AO622" s="13"/>
      <c r="AP622" s="13"/>
      <c r="AQ622" s="13"/>
      <c r="AR622" s="13"/>
      <c r="AS622" s="13"/>
      <c r="AT622" s="13"/>
      <c r="AU622" s="25">
        <v>0</v>
      </c>
      <c r="AV622" s="25"/>
      <c r="AW622" s="25"/>
      <c r="AX622" s="25"/>
      <c r="AY622" s="25"/>
      <c r="AZ622" s="25"/>
      <c r="BA622" s="319">
        <v>0</v>
      </c>
      <c r="BB622" s="319"/>
      <c r="BC622" s="319"/>
      <c r="BD622" s="319">
        <v>0</v>
      </c>
      <c r="BE622" s="319"/>
      <c r="BF622" s="319"/>
      <c r="BG622" s="250"/>
      <c r="BH622" s="250"/>
      <c r="BI622" s="250"/>
      <c r="BJ622" s="250"/>
      <c r="BK622" s="250"/>
      <c r="BL622" s="250"/>
      <c r="BM622" s="250"/>
      <c r="BN622" s="250"/>
      <c r="BO622" s="250"/>
      <c r="BP622" s="250"/>
      <c r="BQ622" s="250"/>
      <c r="BR622" s="250"/>
      <c r="BS622" s="250"/>
      <c r="BT622" s="250"/>
      <c r="BU622" s="250"/>
      <c r="BV622" s="250"/>
      <c r="BW622" s="250"/>
      <c r="BX622" s="250"/>
      <c r="BY622" s="319">
        <v>0</v>
      </c>
      <c r="BZ622" s="319"/>
      <c r="CA622" s="319"/>
      <c r="CB622" s="319">
        <v>0</v>
      </c>
      <c r="CC622" s="319"/>
      <c r="CD622" s="319"/>
      <c r="CE622" s="496">
        <v>0</v>
      </c>
      <c r="CF622" s="496"/>
      <c r="CG622" s="496"/>
      <c r="CH622" s="497"/>
      <c r="CI622" s="497"/>
      <c r="CJ622" s="497"/>
      <c r="CK622" s="319">
        <v>0</v>
      </c>
      <c r="CL622" s="288"/>
      <c r="CM622" s="288"/>
      <c r="CN622" s="288">
        <v>0</v>
      </c>
      <c r="CO622" s="288"/>
      <c r="CP622" s="288"/>
      <c r="CQ622" s="288"/>
      <c r="CR622" s="288"/>
      <c r="CS622" s="288"/>
      <c r="CT622" s="886">
        <f t="shared" si="333"/>
        <v>87500000</v>
      </c>
      <c r="CU622" s="25">
        <f t="shared" si="333"/>
        <v>83340000</v>
      </c>
      <c r="CV622" s="25">
        <f t="shared" si="333"/>
        <v>83340000</v>
      </c>
    </row>
    <row r="623" spans="1:100" ht="261.75" customHeight="1" x14ac:dyDescent="0.25">
      <c r="A623" s="18"/>
      <c r="B623" s="19"/>
      <c r="C623" s="1022"/>
      <c r="D623" s="1013"/>
      <c r="E623" s="1022"/>
      <c r="F623" s="1022"/>
      <c r="G623" s="29"/>
      <c r="H623" s="929">
        <v>162</v>
      </c>
      <c r="I623" s="928" t="s">
        <v>781</v>
      </c>
      <c r="J623" s="929">
        <v>83</v>
      </c>
      <c r="K623" s="929">
        <v>83</v>
      </c>
      <c r="L623" s="916">
        <v>77</v>
      </c>
      <c r="M623" s="1022"/>
      <c r="N623" s="1019"/>
      <c r="O623" s="1013"/>
      <c r="P623" s="929" t="s">
        <v>38</v>
      </c>
      <c r="Q623" s="25">
        <v>0</v>
      </c>
      <c r="R623" s="25"/>
      <c r="S623" s="25"/>
      <c r="T623" s="25">
        <v>0</v>
      </c>
      <c r="U623" s="25"/>
      <c r="V623" s="25"/>
      <c r="W623" s="25">
        <v>0</v>
      </c>
      <c r="X623" s="25"/>
      <c r="Y623" s="25"/>
      <c r="Z623" s="25">
        <v>0</v>
      </c>
      <c r="AA623" s="25"/>
      <c r="AB623" s="25"/>
      <c r="AC623" s="25">
        <v>0</v>
      </c>
      <c r="AD623" s="25"/>
      <c r="AE623" s="25"/>
      <c r="AF623" s="25">
        <v>0</v>
      </c>
      <c r="AG623" s="25"/>
      <c r="AH623" s="25"/>
      <c r="AI623" s="25">
        <v>0</v>
      </c>
      <c r="AJ623" s="25"/>
      <c r="AK623" s="25"/>
      <c r="AL623" s="250">
        <v>279309844</v>
      </c>
      <c r="AM623" s="250">
        <v>255885000</v>
      </c>
      <c r="AN623" s="250">
        <v>255885000</v>
      </c>
      <c r="AO623" s="13"/>
      <c r="AP623" s="13"/>
      <c r="AQ623" s="13"/>
      <c r="AR623" s="13"/>
      <c r="AS623" s="13"/>
      <c r="AT623" s="13"/>
      <c r="AU623" s="25">
        <v>0</v>
      </c>
      <c r="AV623" s="25"/>
      <c r="AW623" s="25"/>
      <c r="AX623" s="25"/>
      <c r="AY623" s="25"/>
      <c r="AZ623" s="25"/>
      <c r="BA623" s="319">
        <v>0</v>
      </c>
      <c r="BB623" s="319"/>
      <c r="BC623" s="319"/>
      <c r="BD623" s="319">
        <v>0</v>
      </c>
      <c r="BE623" s="319"/>
      <c r="BF623" s="319"/>
      <c r="BG623" s="250"/>
      <c r="BH623" s="250"/>
      <c r="BI623" s="250"/>
      <c r="BJ623" s="250"/>
      <c r="BK623" s="250"/>
      <c r="BL623" s="250"/>
      <c r="BM623" s="250"/>
      <c r="BN623" s="250"/>
      <c r="BO623" s="250"/>
      <c r="BP623" s="250"/>
      <c r="BQ623" s="250"/>
      <c r="BR623" s="250"/>
      <c r="BS623" s="250"/>
      <c r="BT623" s="250"/>
      <c r="BU623" s="250"/>
      <c r="BV623" s="250"/>
      <c r="BW623" s="250"/>
      <c r="BX623" s="250"/>
      <c r="BY623" s="319">
        <v>0</v>
      </c>
      <c r="BZ623" s="319"/>
      <c r="CA623" s="319"/>
      <c r="CB623" s="319">
        <v>0</v>
      </c>
      <c r="CC623" s="319"/>
      <c r="CD623" s="319"/>
      <c r="CE623" s="496">
        <v>0</v>
      </c>
      <c r="CF623" s="496"/>
      <c r="CG623" s="496"/>
      <c r="CH623" s="497"/>
      <c r="CI623" s="497"/>
      <c r="CJ623" s="497"/>
      <c r="CK623" s="319">
        <v>0</v>
      </c>
      <c r="CL623" s="288"/>
      <c r="CM623" s="288"/>
      <c r="CN623" s="288">
        <v>0</v>
      </c>
      <c r="CO623" s="288"/>
      <c r="CP623" s="288"/>
      <c r="CQ623" s="288"/>
      <c r="CR623" s="288"/>
      <c r="CS623" s="288"/>
      <c r="CT623" s="886">
        <f t="shared" si="333"/>
        <v>279309844</v>
      </c>
      <c r="CU623" s="25">
        <f t="shared" si="333"/>
        <v>255885000</v>
      </c>
      <c r="CV623" s="25">
        <f t="shared" si="333"/>
        <v>255885000</v>
      </c>
    </row>
    <row r="624" spans="1:100" ht="15" x14ac:dyDescent="0.25">
      <c r="A624" s="19"/>
      <c r="B624" s="152"/>
      <c r="C624" s="927"/>
      <c r="D624" s="153"/>
      <c r="E624" s="581"/>
      <c r="F624" s="581"/>
      <c r="G624" s="154"/>
      <c r="H624" s="155"/>
      <c r="I624" s="154"/>
      <c r="J624" s="155"/>
      <c r="K624" s="155"/>
      <c r="L624" s="155"/>
      <c r="M624" s="155"/>
      <c r="N624" s="157"/>
      <c r="O624" s="154"/>
      <c r="P624" s="155"/>
      <c r="Q624" s="158">
        <f>SUM(Q621:Q623)</f>
        <v>0</v>
      </c>
      <c r="R624" s="158">
        <f>SUM(R621:R623)</f>
        <v>0</v>
      </c>
      <c r="S624" s="158">
        <f>SUM(S621:S623)</f>
        <v>0</v>
      </c>
      <c r="T624" s="158">
        <f>SUM(T621:T623)</f>
        <v>0</v>
      </c>
      <c r="U624" s="158">
        <f t="shared" ref="U624:CF624" si="334">SUM(U621:U623)</f>
        <v>0</v>
      </c>
      <c r="V624" s="158">
        <f t="shared" si="334"/>
        <v>0</v>
      </c>
      <c r="W624" s="158">
        <f t="shared" si="334"/>
        <v>0</v>
      </c>
      <c r="X624" s="158">
        <f t="shared" si="334"/>
        <v>0</v>
      </c>
      <c r="Y624" s="158">
        <f t="shared" si="334"/>
        <v>0</v>
      </c>
      <c r="Z624" s="158">
        <f t="shared" si="334"/>
        <v>0</v>
      </c>
      <c r="AA624" s="158">
        <f t="shared" si="334"/>
        <v>0</v>
      </c>
      <c r="AB624" s="158">
        <f t="shared" si="334"/>
        <v>0</v>
      </c>
      <c r="AC624" s="158">
        <f t="shared" si="334"/>
        <v>0</v>
      </c>
      <c r="AD624" s="158">
        <f t="shared" si="334"/>
        <v>0</v>
      </c>
      <c r="AE624" s="158">
        <f t="shared" si="334"/>
        <v>0</v>
      </c>
      <c r="AF624" s="158">
        <f t="shared" si="334"/>
        <v>0</v>
      </c>
      <c r="AG624" s="158">
        <f t="shared" si="334"/>
        <v>0</v>
      </c>
      <c r="AH624" s="158">
        <f t="shared" si="334"/>
        <v>0</v>
      </c>
      <c r="AI624" s="158">
        <f t="shared" si="334"/>
        <v>0</v>
      </c>
      <c r="AJ624" s="158">
        <f t="shared" si="334"/>
        <v>0</v>
      </c>
      <c r="AK624" s="158">
        <f t="shared" si="334"/>
        <v>0</v>
      </c>
      <c r="AL624" s="158">
        <f t="shared" si="334"/>
        <v>1626125052</v>
      </c>
      <c r="AM624" s="158">
        <f t="shared" si="334"/>
        <v>1438704225</v>
      </c>
      <c r="AN624" s="158">
        <f t="shared" si="334"/>
        <v>1416939225</v>
      </c>
      <c r="AO624" s="158">
        <f t="shared" si="334"/>
        <v>0</v>
      </c>
      <c r="AP624" s="158">
        <f t="shared" si="334"/>
        <v>0</v>
      </c>
      <c r="AQ624" s="158">
        <f t="shared" si="334"/>
        <v>0</v>
      </c>
      <c r="AR624" s="158">
        <f t="shared" si="334"/>
        <v>0</v>
      </c>
      <c r="AS624" s="158">
        <f t="shared" si="334"/>
        <v>0</v>
      </c>
      <c r="AT624" s="158">
        <f t="shared" si="334"/>
        <v>0</v>
      </c>
      <c r="AU624" s="158">
        <f t="shared" si="334"/>
        <v>0</v>
      </c>
      <c r="AV624" s="158">
        <f t="shared" si="334"/>
        <v>0</v>
      </c>
      <c r="AW624" s="158">
        <f t="shared" si="334"/>
        <v>0</v>
      </c>
      <c r="AX624" s="158">
        <f t="shared" si="334"/>
        <v>0</v>
      </c>
      <c r="AY624" s="158">
        <f t="shared" si="334"/>
        <v>0</v>
      </c>
      <c r="AZ624" s="158">
        <f t="shared" si="334"/>
        <v>0</v>
      </c>
      <c r="BA624" s="158">
        <f t="shared" si="334"/>
        <v>0</v>
      </c>
      <c r="BB624" s="158">
        <f t="shared" si="334"/>
        <v>0</v>
      </c>
      <c r="BC624" s="158">
        <f t="shared" si="334"/>
        <v>0</v>
      </c>
      <c r="BD624" s="158">
        <f t="shared" si="334"/>
        <v>0</v>
      </c>
      <c r="BE624" s="158">
        <f t="shared" si="334"/>
        <v>0</v>
      </c>
      <c r="BF624" s="158">
        <f t="shared" si="334"/>
        <v>0</v>
      </c>
      <c r="BG624" s="158">
        <f t="shared" si="334"/>
        <v>0</v>
      </c>
      <c r="BH624" s="158">
        <f t="shared" si="334"/>
        <v>0</v>
      </c>
      <c r="BI624" s="158">
        <f t="shared" si="334"/>
        <v>0</v>
      </c>
      <c r="BJ624" s="158">
        <f t="shared" si="334"/>
        <v>0</v>
      </c>
      <c r="BK624" s="158">
        <f t="shared" si="334"/>
        <v>0</v>
      </c>
      <c r="BL624" s="158">
        <f t="shared" si="334"/>
        <v>0</v>
      </c>
      <c r="BM624" s="158">
        <f t="shared" si="334"/>
        <v>0</v>
      </c>
      <c r="BN624" s="158">
        <f t="shared" si="334"/>
        <v>0</v>
      </c>
      <c r="BO624" s="158">
        <f t="shared" si="334"/>
        <v>0</v>
      </c>
      <c r="BP624" s="158">
        <f t="shared" si="334"/>
        <v>0</v>
      </c>
      <c r="BQ624" s="158">
        <f t="shared" si="334"/>
        <v>0</v>
      </c>
      <c r="BR624" s="158">
        <f t="shared" si="334"/>
        <v>0</v>
      </c>
      <c r="BS624" s="158">
        <f t="shared" si="334"/>
        <v>0</v>
      </c>
      <c r="BT624" s="158">
        <f t="shared" si="334"/>
        <v>0</v>
      </c>
      <c r="BU624" s="158">
        <f t="shared" si="334"/>
        <v>0</v>
      </c>
      <c r="BV624" s="158">
        <f t="shared" si="334"/>
        <v>0</v>
      </c>
      <c r="BW624" s="158">
        <f t="shared" si="334"/>
        <v>0</v>
      </c>
      <c r="BX624" s="158">
        <f t="shared" si="334"/>
        <v>0</v>
      </c>
      <c r="BY624" s="158">
        <f t="shared" si="334"/>
        <v>0</v>
      </c>
      <c r="BZ624" s="158">
        <f t="shared" si="334"/>
        <v>0</v>
      </c>
      <c r="CA624" s="158">
        <f t="shared" si="334"/>
        <v>0</v>
      </c>
      <c r="CB624" s="158">
        <f t="shared" si="334"/>
        <v>0</v>
      </c>
      <c r="CC624" s="158">
        <f t="shared" si="334"/>
        <v>0</v>
      </c>
      <c r="CD624" s="158">
        <f t="shared" si="334"/>
        <v>0</v>
      </c>
      <c r="CE624" s="158">
        <f t="shared" si="334"/>
        <v>0</v>
      </c>
      <c r="CF624" s="158">
        <f t="shared" si="334"/>
        <v>0</v>
      </c>
      <c r="CG624" s="158">
        <f t="shared" ref="CG624:CS624" si="335">SUM(CG621:CG623)</f>
        <v>0</v>
      </c>
      <c r="CH624" s="158">
        <f t="shared" si="335"/>
        <v>0</v>
      </c>
      <c r="CI624" s="158">
        <f t="shared" si="335"/>
        <v>0</v>
      </c>
      <c r="CJ624" s="158">
        <f t="shared" si="335"/>
        <v>0</v>
      </c>
      <c r="CK624" s="158">
        <f t="shared" si="335"/>
        <v>0</v>
      </c>
      <c r="CL624" s="158">
        <f t="shared" si="335"/>
        <v>0</v>
      </c>
      <c r="CM624" s="158">
        <f t="shared" si="335"/>
        <v>0</v>
      </c>
      <c r="CN624" s="158">
        <f t="shared" si="335"/>
        <v>0</v>
      </c>
      <c r="CO624" s="158">
        <f t="shared" si="335"/>
        <v>0</v>
      </c>
      <c r="CP624" s="158">
        <f t="shared" si="335"/>
        <v>0</v>
      </c>
      <c r="CQ624" s="158">
        <f t="shared" si="335"/>
        <v>0</v>
      </c>
      <c r="CR624" s="158">
        <f t="shared" si="335"/>
        <v>0</v>
      </c>
      <c r="CS624" s="158">
        <f t="shared" si="335"/>
        <v>0</v>
      </c>
      <c r="CT624" s="394">
        <f>SUM(CT621:CT623)</f>
        <v>1626125052</v>
      </c>
      <c r="CU624" s="158">
        <f>SUM(CU621:CU623)</f>
        <v>1438704225</v>
      </c>
      <c r="CV624" s="158">
        <f>SUM(CV621:CV623)</f>
        <v>1416939225</v>
      </c>
    </row>
    <row r="625" spans="1:100" ht="15" x14ac:dyDescent="0.25">
      <c r="A625" s="19"/>
      <c r="B625" s="216"/>
      <c r="C625" s="162"/>
      <c r="D625" s="161"/>
      <c r="E625" s="162"/>
      <c r="F625" s="162"/>
      <c r="G625" s="161"/>
      <c r="H625" s="162"/>
      <c r="I625" s="161"/>
      <c r="J625" s="162"/>
      <c r="K625" s="162"/>
      <c r="L625" s="162"/>
      <c r="M625" s="162"/>
      <c r="N625" s="164"/>
      <c r="O625" s="161"/>
      <c r="P625" s="162"/>
      <c r="Q625" s="165">
        <f>Q624+Q618+Q613+Q606+Q600+Q595+Q590+Q582+Q576+Q570+Q563</f>
        <v>0</v>
      </c>
      <c r="R625" s="165">
        <f>R624+R618+R613+R606+R600+R595+R590+R582+R576+R570+R563</f>
        <v>0</v>
      </c>
      <c r="S625" s="165">
        <f>S624+S618+S613+S606+S600+S595+S590+S582+S576+S570+S563</f>
        <v>0</v>
      </c>
      <c r="T625" s="165">
        <f>T624+T618+T613+T606+T600+T595+T590+T582+T576+T570+T563</f>
        <v>0</v>
      </c>
      <c r="U625" s="165">
        <f t="shared" ref="U625:CF625" si="336">U624+U618+U613+U606+U600+U595+U590+U582+U576+U570+U563</f>
        <v>0</v>
      </c>
      <c r="V625" s="165">
        <f t="shared" si="336"/>
        <v>0</v>
      </c>
      <c r="W625" s="165">
        <f t="shared" si="336"/>
        <v>0</v>
      </c>
      <c r="X625" s="165">
        <f t="shared" si="336"/>
        <v>0</v>
      </c>
      <c r="Y625" s="165">
        <f t="shared" si="336"/>
        <v>0</v>
      </c>
      <c r="Z625" s="165">
        <f t="shared" si="336"/>
        <v>0</v>
      </c>
      <c r="AA625" s="165">
        <f t="shared" si="336"/>
        <v>0</v>
      </c>
      <c r="AB625" s="165">
        <f t="shared" si="336"/>
        <v>0</v>
      </c>
      <c r="AC625" s="165">
        <f t="shared" si="336"/>
        <v>0</v>
      </c>
      <c r="AD625" s="165">
        <f t="shared" si="336"/>
        <v>0</v>
      </c>
      <c r="AE625" s="165">
        <f t="shared" si="336"/>
        <v>0</v>
      </c>
      <c r="AF625" s="165">
        <f t="shared" si="336"/>
        <v>0</v>
      </c>
      <c r="AG625" s="165">
        <f t="shared" si="336"/>
        <v>0</v>
      </c>
      <c r="AH625" s="165">
        <f t="shared" si="336"/>
        <v>0</v>
      </c>
      <c r="AI625" s="165">
        <f t="shared" si="336"/>
        <v>0</v>
      </c>
      <c r="AJ625" s="165">
        <f t="shared" si="336"/>
        <v>0</v>
      </c>
      <c r="AK625" s="165">
        <f t="shared" si="336"/>
        <v>0</v>
      </c>
      <c r="AL625" s="165">
        <f t="shared" si="336"/>
        <v>4531555903.996911</v>
      </c>
      <c r="AM625" s="165">
        <f t="shared" si="336"/>
        <v>4110793092.6599998</v>
      </c>
      <c r="AN625" s="165">
        <f t="shared" si="336"/>
        <v>3805308224.3299999</v>
      </c>
      <c r="AO625" s="165">
        <f t="shared" si="336"/>
        <v>0</v>
      </c>
      <c r="AP625" s="165">
        <f t="shared" si="336"/>
        <v>0</v>
      </c>
      <c r="AQ625" s="165">
        <f t="shared" si="336"/>
        <v>0</v>
      </c>
      <c r="AR625" s="165">
        <f t="shared" si="336"/>
        <v>0</v>
      </c>
      <c r="AS625" s="165">
        <f t="shared" si="336"/>
        <v>0</v>
      </c>
      <c r="AT625" s="165">
        <f t="shared" si="336"/>
        <v>0</v>
      </c>
      <c r="AU625" s="165">
        <f t="shared" si="336"/>
        <v>100000000</v>
      </c>
      <c r="AV625" s="165">
        <f t="shared" si="336"/>
        <v>96170948</v>
      </c>
      <c r="AW625" s="165">
        <f t="shared" si="336"/>
        <v>91711083</v>
      </c>
      <c r="AX625" s="165">
        <f t="shared" si="336"/>
        <v>0</v>
      </c>
      <c r="AY625" s="165">
        <f t="shared" si="336"/>
        <v>0</v>
      </c>
      <c r="AZ625" s="165">
        <f t="shared" si="336"/>
        <v>0</v>
      </c>
      <c r="BA625" s="165">
        <f t="shared" si="336"/>
        <v>1375125452.1300001</v>
      </c>
      <c r="BB625" s="165">
        <f t="shared" si="336"/>
        <v>969465315</v>
      </c>
      <c r="BC625" s="165">
        <f t="shared" si="336"/>
        <v>909465315</v>
      </c>
      <c r="BD625" s="165">
        <f t="shared" si="336"/>
        <v>0</v>
      </c>
      <c r="BE625" s="165">
        <f t="shared" si="336"/>
        <v>0</v>
      </c>
      <c r="BF625" s="165">
        <f t="shared" si="336"/>
        <v>0</v>
      </c>
      <c r="BG625" s="165">
        <f t="shared" si="336"/>
        <v>0</v>
      </c>
      <c r="BH625" s="165">
        <f t="shared" si="336"/>
        <v>0</v>
      </c>
      <c r="BI625" s="165">
        <f t="shared" si="336"/>
        <v>0</v>
      </c>
      <c r="BJ625" s="165">
        <f t="shared" si="336"/>
        <v>0</v>
      </c>
      <c r="BK625" s="165">
        <f t="shared" si="336"/>
        <v>0</v>
      </c>
      <c r="BL625" s="165">
        <f t="shared" si="336"/>
        <v>0</v>
      </c>
      <c r="BM625" s="165">
        <f t="shared" si="336"/>
        <v>0</v>
      </c>
      <c r="BN625" s="165">
        <f t="shared" si="336"/>
        <v>0</v>
      </c>
      <c r="BO625" s="165">
        <f t="shared" si="336"/>
        <v>0</v>
      </c>
      <c r="BP625" s="165">
        <f t="shared" si="336"/>
        <v>0</v>
      </c>
      <c r="BQ625" s="165">
        <f t="shared" si="336"/>
        <v>0</v>
      </c>
      <c r="BR625" s="165">
        <f t="shared" si="336"/>
        <v>0</v>
      </c>
      <c r="BS625" s="165">
        <f t="shared" si="336"/>
        <v>0</v>
      </c>
      <c r="BT625" s="165">
        <f t="shared" si="336"/>
        <v>0</v>
      </c>
      <c r="BU625" s="165">
        <f t="shared" si="336"/>
        <v>0</v>
      </c>
      <c r="BV625" s="165">
        <f t="shared" si="336"/>
        <v>0</v>
      </c>
      <c r="BW625" s="165">
        <f t="shared" si="336"/>
        <v>0</v>
      </c>
      <c r="BX625" s="165">
        <f t="shared" si="336"/>
        <v>0</v>
      </c>
      <c r="BY625" s="165">
        <f t="shared" si="336"/>
        <v>0</v>
      </c>
      <c r="BZ625" s="165">
        <f t="shared" si="336"/>
        <v>0</v>
      </c>
      <c r="CA625" s="165">
        <f t="shared" si="336"/>
        <v>0</v>
      </c>
      <c r="CB625" s="165">
        <f t="shared" si="336"/>
        <v>0</v>
      </c>
      <c r="CC625" s="165">
        <f t="shared" si="336"/>
        <v>0</v>
      </c>
      <c r="CD625" s="165">
        <f t="shared" si="336"/>
        <v>0</v>
      </c>
      <c r="CE625" s="165">
        <f t="shared" si="336"/>
        <v>230000000</v>
      </c>
      <c r="CF625" s="165">
        <f t="shared" si="336"/>
        <v>220400613.67000002</v>
      </c>
      <c r="CG625" s="165">
        <f t="shared" ref="CG625:CS625" si="337">CG624+CG618+CG613+CG606+CG600+CG595+CG590+CG582+CG576+CG570+CG563</f>
        <v>212373947</v>
      </c>
      <c r="CH625" s="165">
        <f t="shared" si="337"/>
        <v>0</v>
      </c>
      <c r="CI625" s="165">
        <f t="shared" si="337"/>
        <v>0</v>
      </c>
      <c r="CJ625" s="165">
        <f t="shared" si="337"/>
        <v>0</v>
      </c>
      <c r="CK625" s="165">
        <f t="shared" si="337"/>
        <v>0</v>
      </c>
      <c r="CL625" s="165">
        <f t="shared" si="337"/>
        <v>0</v>
      </c>
      <c r="CM625" s="165">
        <f t="shared" si="337"/>
        <v>0</v>
      </c>
      <c r="CN625" s="165">
        <f t="shared" si="337"/>
        <v>407432105</v>
      </c>
      <c r="CO625" s="165">
        <f t="shared" si="337"/>
        <v>157383990</v>
      </c>
      <c r="CP625" s="165">
        <f t="shared" si="337"/>
        <v>157383990</v>
      </c>
      <c r="CQ625" s="165">
        <f t="shared" si="337"/>
        <v>0</v>
      </c>
      <c r="CR625" s="165">
        <f t="shared" si="337"/>
        <v>0</v>
      </c>
      <c r="CS625" s="165">
        <f t="shared" si="337"/>
        <v>0</v>
      </c>
      <c r="CT625" s="395">
        <f>CT624+CT618+CT613+CT606+CT600+CT595+CT590+CT582+CT576+CT570+CT563</f>
        <v>6644113461.1269112</v>
      </c>
      <c r="CU625" s="165">
        <f>CU624+CU618+CU613+CU606+CU600+CU595+CU590+CU582+CU576+CU570+CU563</f>
        <v>5554213959.3299999</v>
      </c>
      <c r="CV625" s="165">
        <f>CV624+CV618+CV613+CV606+CV600+CV595+CV590+CV582+CV576+CV570+CV563</f>
        <v>5176242559.3299999</v>
      </c>
    </row>
    <row r="626" spans="1:100" s="27" customFormat="1" ht="15" x14ac:dyDescent="0.25">
      <c r="A626" s="19"/>
      <c r="B626" s="177"/>
      <c r="C626" s="949"/>
      <c r="D626" s="177"/>
      <c r="E626" s="949"/>
      <c r="F626" s="949"/>
      <c r="G626" s="177"/>
      <c r="H626" s="949"/>
      <c r="I626" s="177"/>
      <c r="J626" s="949"/>
      <c r="K626" s="949"/>
      <c r="L626" s="930"/>
      <c r="M626" s="930"/>
      <c r="N626" s="230"/>
      <c r="O626" s="221"/>
      <c r="P626" s="949"/>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0"/>
      <c r="BS626" s="180"/>
      <c r="BT626" s="180"/>
      <c r="BU626" s="180"/>
      <c r="BV626" s="180"/>
      <c r="BW626" s="180"/>
      <c r="BX626" s="180"/>
      <c r="BY626" s="180"/>
      <c r="BZ626" s="180"/>
      <c r="CA626" s="180"/>
      <c r="CB626" s="180"/>
      <c r="CC626" s="180"/>
      <c r="CD626" s="180"/>
      <c r="CE626" s="182"/>
      <c r="CF626" s="182"/>
      <c r="CG626" s="182"/>
      <c r="CH626" s="180"/>
      <c r="CI626" s="180"/>
      <c r="CJ626" s="180"/>
      <c r="CK626" s="180"/>
      <c r="CL626" s="180"/>
      <c r="CM626" s="180"/>
      <c r="CN626" s="180"/>
      <c r="CO626" s="180"/>
      <c r="CP626" s="180"/>
      <c r="CQ626" s="180"/>
      <c r="CR626" s="180"/>
      <c r="CS626" s="180"/>
      <c r="CT626" s="886"/>
      <c r="CU626" s="76"/>
      <c r="CV626" s="76"/>
    </row>
    <row r="627" spans="1:100" s="27" customFormat="1" ht="15" x14ac:dyDescent="0.25">
      <c r="A627" s="19"/>
      <c r="B627" s="498">
        <v>13</v>
      </c>
      <c r="C627" s="145" t="s">
        <v>782</v>
      </c>
      <c r="D627" s="146"/>
      <c r="E627" s="146"/>
      <c r="F627" s="146"/>
      <c r="G627" s="146"/>
      <c r="H627" s="147"/>
      <c r="I627" s="146"/>
      <c r="J627" s="146"/>
      <c r="K627" s="146"/>
      <c r="L627" s="146"/>
      <c r="M627" s="146"/>
      <c r="N627" s="677"/>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c r="BI627" s="146"/>
      <c r="BJ627" s="146"/>
      <c r="BK627" s="146"/>
      <c r="BL627" s="146"/>
      <c r="BM627" s="146"/>
      <c r="BN627" s="146"/>
      <c r="BO627" s="146"/>
      <c r="BP627" s="146"/>
      <c r="BQ627" s="146"/>
      <c r="BR627" s="146"/>
      <c r="BS627" s="146"/>
      <c r="BT627" s="146"/>
      <c r="BU627" s="146"/>
      <c r="BV627" s="146"/>
      <c r="BW627" s="146"/>
      <c r="BX627" s="146"/>
      <c r="BY627" s="146"/>
      <c r="BZ627" s="146"/>
      <c r="CA627" s="146"/>
      <c r="CB627" s="146"/>
      <c r="CC627" s="146"/>
      <c r="CD627" s="146"/>
      <c r="CE627" s="148"/>
      <c r="CF627" s="148"/>
      <c r="CG627" s="148"/>
      <c r="CH627" s="146"/>
      <c r="CI627" s="146"/>
      <c r="CJ627" s="146"/>
      <c r="CK627" s="146"/>
      <c r="CL627" s="146"/>
      <c r="CM627" s="146"/>
      <c r="CN627" s="146"/>
      <c r="CO627" s="146"/>
      <c r="CP627" s="146"/>
      <c r="CQ627" s="146"/>
      <c r="CR627" s="146"/>
      <c r="CS627" s="146"/>
      <c r="CT627" s="674"/>
      <c r="CU627" s="526"/>
      <c r="CV627" s="526"/>
    </row>
    <row r="628" spans="1:100" s="27" customFormat="1" ht="15" x14ac:dyDescent="0.25">
      <c r="A628" s="18"/>
      <c r="B628" s="19"/>
      <c r="C628" s="949"/>
      <c r="D628" s="177"/>
      <c r="E628" s="949"/>
      <c r="F628" s="927"/>
      <c r="G628" s="368">
        <v>47</v>
      </c>
      <c r="H628" s="189" t="s">
        <v>783</v>
      </c>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c r="BU628" s="189"/>
      <c r="BV628" s="189"/>
      <c r="BW628" s="189"/>
      <c r="BX628" s="189"/>
      <c r="BY628" s="189"/>
      <c r="BZ628" s="189"/>
      <c r="CA628" s="189"/>
      <c r="CB628" s="189"/>
      <c r="CC628" s="189"/>
      <c r="CD628" s="189"/>
      <c r="CE628" s="190"/>
      <c r="CF628" s="190"/>
      <c r="CG628" s="190"/>
      <c r="CH628" s="189"/>
      <c r="CI628" s="189"/>
      <c r="CJ628" s="189"/>
      <c r="CK628" s="189"/>
      <c r="CL628" s="189"/>
      <c r="CM628" s="189"/>
      <c r="CN628" s="189"/>
      <c r="CO628" s="189"/>
      <c r="CP628" s="189"/>
      <c r="CQ628" s="189"/>
      <c r="CR628" s="189"/>
      <c r="CS628" s="189"/>
      <c r="CT628" s="673"/>
      <c r="CU628" s="522"/>
      <c r="CV628" s="522"/>
    </row>
    <row r="629" spans="1:100" ht="75.75" customHeight="1" x14ac:dyDescent="0.25">
      <c r="A629" s="18"/>
      <c r="B629" s="19"/>
      <c r="C629" s="469">
        <v>27</v>
      </c>
      <c r="D629" s="513" t="s">
        <v>784</v>
      </c>
      <c r="E629" s="476">
        <v>0.89949999999999997</v>
      </c>
      <c r="F629" s="517">
        <v>0.92</v>
      </c>
      <c r="G629" s="5"/>
      <c r="H629" s="4">
        <v>163</v>
      </c>
      <c r="I629" s="5" t="s">
        <v>785</v>
      </c>
      <c r="J629" s="4">
        <v>12</v>
      </c>
      <c r="K629" s="929">
        <v>12</v>
      </c>
      <c r="L629" s="929">
        <v>12</v>
      </c>
      <c r="M629" s="4" t="s">
        <v>670</v>
      </c>
      <c r="N629" s="36" t="s">
        <v>786</v>
      </c>
      <c r="O629" s="5" t="s">
        <v>787</v>
      </c>
      <c r="P629" s="929" t="s">
        <v>38</v>
      </c>
      <c r="Q629" s="25">
        <v>0</v>
      </c>
      <c r="R629" s="25"/>
      <c r="S629" s="25"/>
      <c r="T629" s="25">
        <v>0</v>
      </c>
      <c r="U629" s="25"/>
      <c r="V629" s="25"/>
      <c r="W629" s="25">
        <v>0</v>
      </c>
      <c r="X629" s="25"/>
      <c r="Y629" s="25"/>
      <c r="Z629" s="25">
        <v>0</v>
      </c>
      <c r="AA629" s="25"/>
      <c r="AB629" s="25"/>
      <c r="AC629" s="25">
        <v>0</v>
      </c>
      <c r="AD629" s="25"/>
      <c r="AE629" s="25"/>
      <c r="AF629" s="25">
        <v>0</v>
      </c>
      <c r="AG629" s="25"/>
      <c r="AH629" s="25"/>
      <c r="AI629" s="25">
        <v>0</v>
      </c>
      <c r="AJ629" s="25"/>
      <c r="AK629" s="25"/>
      <c r="AL629" s="25"/>
      <c r="AM629" s="25"/>
      <c r="AN629" s="25"/>
      <c r="AO629" s="25"/>
      <c r="AP629" s="25"/>
      <c r="AQ629" s="25"/>
      <c r="AR629" s="25"/>
      <c r="AS629" s="25"/>
      <c r="AT629" s="25"/>
      <c r="AU629" s="13">
        <v>29046000</v>
      </c>
      <c r="AV629" s="13">
        <v>0</v>
      </c>
      <c r="AW629" s="13">
        <v>0</v>
      </c>
      <c r="AX629" s="13"/>
      <c r="AY629" s="13"/>
      <c r="AZ629" s="13"/>
      <c r="BA629" s="25">
        <v>0</v>
      </c>
      <c r="BB629" s="25"/>
      <c r="BC629" s="25"/>
      <c r="BD629" s="319">
        <v>0</v>
      </c>
      <c r="BE629" s="319"/>
      <c r="BF629" s="319"/>
      <c r="BG629" s="250"/>
      <c r="BH629" s="250"/>
      <c r="BI629" s="250"/>
      <c r="BJ629" s="250"/>
      <c r="BK629" s="250"/>
      <c r="BL629" s="250"/>
      <c r="BM629" s="250"/>
      <c r="BN629" s="250"/>
      <c r="BO629" s="250"/>
      <c r="BP629" s="250"/>
      <c r="BQ629" s="250"/>
      <c r="BR629" s="250"/>
      <c r="BS629" s="250"/>
      <c r="BT629" s="250"/>
      <c r="BU629" s="250"/>
      <c r="BV629" s="250"/>
      <c r="BW629" s="250"/>
      <c r="BX629" s="250"/>
      <c r="BY629" s="319">
        <v>0</v>
      </c>
      <c r="BZ629" s="319"/>
      <c r="CA629" s="319"/>
      <c r="CB629" s="319">
        <v>0</v>
      </c>
      <c r="CC629" s="319"/>
      <c r="CD629" s="319"/>
      <c r="CE629" s="496">
        <v>0</v>
      </c>
      <c r="CF629" s="496"/>
      <c r="CG629" s="496"/>
      <c r="CH629" s="497"/>
      <c r="CI629" s="497"/>
      <c r="CJ629" s="497"/>
      <c r="CK629" s="319">
        <v>0</v>
      </c>
      <c r="CL629" s="288"/>
      <c r="CM629" s="288"/>
      <c r="CN629" s="288">
        <v>0</v>
      </c>
      <c r="CO629" s="288"/>
      <c r="CP629" s="288"/>
      <c r="CQ629" s="288"/>
      <c r="CR629" s="288"/>
      <c r="CS629" s="288"/>
      <c r="CT629" s="886">
        <f>Q629+T629+W629+Z629+AC629+AF629+AI629+AL629+AO629+AR629+AU629+AX629+BA629+BD629+BG629+BJ629+BM629+BP629+BS629+BV629+BY629+CB629+CE629+CH629+CK629+CQ629+CN629</f>
        <v>29046000</v>
      </c>
      <c r="CU629" s="25">
        <f>R629+U629+X629+AA629+AD629+AG629+AJ629+AM629+AP629+AS629+AV629+AY629+BB629+BE629+BH629+BK629+BN629+BQ629+BT629+BW629+BZ629+CC629+CF629+CI629+CL629+CR629+CO629</f>
        <v>0</v>
      </c>
      <c r="CV629" s="25">
        <f>S629+V629+Y629+AB629+AE629+AH629+AK629+AN629+AQ629+AT629+AW629+AZ629+BC629+BF629+BI629+BL629+BO629+BR629+BU629+BX629+CA629+CD629+CG629+CJ629+CM629+CS629+CP629</f>
        <v>0</v>
      </c>
    </row>
    <row r="630" spans="1:100" ht="15" x14ac:dyDescent="0.25">
      <c r="A630" s="18"/>
      <c r="B630" s="19"/>
      <c r="C630" s="921"/>
      <c r="D630" s="954"/>
      <c r="E630" s="945"/>
      <c r="F630" s="945"/>
      <c r="G630" s="154"/>
      <c r="H630" s="155"/>
      <c r="I630" s="154"/>
      <c r="J630" s="155"/>
      <c r="K630" s="155"/>
      <c r="L630" s="155"/>
      <c r="M630" s="155"/>
      <c r="N630" s="157"/>
      <c r="O630" s="155"/>
      <c r="P630" s="155"/>
      <c r="Q630" s="158">
        <f>SUM(Q629)</f>
        <v>0</v>
      </c>
      <c r="R630" s="158"/>
      <c r="S630" s="158"/>
      <c r="T630" s="158">
        <f>SUM(T629)</f>
        <v>0</v>
      </c>
      <c r="U630" s="158"/>
      <c r="V630" s="158"/>
      <c r="W630" s="158">
        <f>SUM(W629)</f>
        <v>0</v>
      </c>
      <c r="X630" s="158"/>
      <c r="Y630" s="158"/>
      <c r="Z630" s="158">
        <f>SUM(Z629)</f>
        <v>0</v>
      </c>
      <c r="AA630" s="158"/>
      <c r="AB630" s="158"/>
      <c r="AC630" s="158">
        <f>SUM(AC629)</f>
        <v>0</v>
      </c>
      <c r="AD630" s="158"/>
      <c r="AE630" s="158"/>
      <c r="AF630" s="158">
        <f>SUM(AF629)</f>
        <v>0</v>
      </c>
      <c r="AG630" s="158"/>
      <c r="AH630" s="158"/>
      <c r="AI630" s="158">
        <f>SUM(AI629)</f>
        <v>0</v>
      </c>
      <c r="AJ630" s="158"/>
      <c r="AK630" s="158"/>
      <c r="AL630" s="158">
        <f>SUM(AL629)</f>
        <v>0</v>
      </c>
      <c r="AM630" s="158"/>
      <c r="AN630" s="158"/>
      <c r="AO630" s="158"/>
      <c r="AP630" s="158"/>
      <c r="AQ630" s="158"/>
      <c r="AR630" s="158"/>
      <c r="AS630" s="158"/>
      <c r="AT630" s="158"/>
      <c r="AU630" s="158">
        <f>SUM(AU629)</f>
        <v>29046000</v>
      </c>
      <c r="AV630" s="158">
        <f>SUM(AV629)</f>
        <v>0</v>
      </c>
      <c r="AW630" s="158">
        <f>SUM(AW629)</f>
        <v>0</v>
      </c>
      <c r="AX630" s="158"/>
      <c r="AY630" s="158"/>
      <c r="AZ630" s="158"/>
      <c r="BA630" s="158">
        <f>SUM(BA629)</f>
        <v>0</v>
      </c>
      <c r="BB630" s="158"/>
      <c r="BC630" s="158"/>
      <c r="BD630" s="158">
        <f>SUM(BD629)</f>
        <v>0</v>
      </c>
      <c r="BE630" s="158"/>
      <c r="BF630" s="158"/>
      <c r="BG630" s="158">
        <f>SUM(BG629)</f>
        <v>0</v>
      </c>
      <c r="BH630" s="158"/>
      <c r="BI630" s="158"/>
      <c r="BJ630" s="158">
        <f>SUM(BJ629)</f>
        <v>0</v>
      </c>
      <c r="BK630" s="158"/>
      <c r="BL630" s="158"/>
      <c r="BM630" s="158"/>
      <c r="BN630" s="158"/>
      <c r="BO630" s="158"/>
      <c r="BP630" s="158">
        <f>SUM(BP629)</f>
        <v>0</v>
      </c>
      <c r="BQ630" s="158"/>
      <c r="BR630" s="158"/>
      <c r="BS630" s="158">
        <f>SUM(BS629)</f>
        <v>0</v>
      </c>
      <c r="BT630" s="158"/>
      <c r="BU630" s="158"/>
      <c r="BV630" s="158">
        <f>SUM(BV629)</f>
        <v>0</v>
      </c>
      <c r="BW630" s="158"/>
      <c r="BX630" s="158"/>
      <c r="BY630" s="158">
        <f>SUM(BY629)</f>
        <v>0</v>
      </c>
      <c r="BZ630" s="158"/>
      <c r="CA630" s="158"/>
      <c r="CB630" s="158">
        <f>SUM(CB629)</f>
        <v>0</v>
      </c>
      <c r="CC630" s="158"/>
      <c r="CD630" s="158"/>
      <c r="CE630" s="243">
        <f>SUM(CE629)</f>
        <v>0</v>
      </c>
      <c r="CF630" s="243"/>
      <c r="CG630" s="243"/>
      <c r="CH630" s="158"/>
      <c r="CI630" s="158"/>
      <c r="CJ630" s="158"/>
      <c r="CK630" s="158">
        <f>SUM(CK629)</f>
        <v>0</v>
      </c>
      <c r="CL630" s="158"/>
      <c r="CM630" s="158"/>
      <c r="CN630" s="158">
        <f>SUM(CN629)</f>
        <v>0</v>
      </c>
      <c r="CO630" s="158"/>
      <c r="CP630" s="158"/>
      <c r="CQ630" s="158">
        <f>SUM(CQ629)</f>
        <v>0</v>
      </c>
      <c r="CR630" s="158"/>
      <c r="CS630" s="158"/>
      <c r="CT630" s="394">
        <f>SUM(CT629)</f>
        <v>29046000</v>
      </c>
      <c r="CU630" s="158">
        <f>SUM(CU629)</f>
        <v>0</v>
      </c>
      <c r="CV630" s="158">
        <f>SUM(CV629)</f>
        <v>0</v>
      </c>
    </row>
    <row r="631" spans="1:100" ht="15" x14ac:dyDescent="0.25">
      <c r="A631" s="18"/>
      <c r="B631" s="19"/>
      <c r="C631" s="949"/>
      <c r="D631" s="177"/>
      <c r="E631" s="949"/>
      <c r="F631" s="949"/>
      <c r="G631" s="177"/>
      <c r="H631" s="949"/>
      <c r="I631" s="177"/>
      <c r="J631" s="949"/>
      <c r="K631" s="949"/>
      <c r="L631" s="930"/>
      <c r="M631" s="930"/>
      <c r="N631" s="230"/>
      <c r="O631" s="930"/>
      <c r="P631" s="949"/>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0"/>
      <c r="BS631" s="180"/>
      <c r="BT631" s="180"/>
      <c r="BU631" s="180"/>
      <c r="BV631" s="180"/>
      <c r="BW631" s="180"/>
      <c r="BX631" s="180"/>
      <c r="BY631" s="180"/>
      <c r="BZ631" s="180"/>
      <c r="CA631" s="180"/>
      <c r="CB631" s="180"/>
      <c r="CC631" s="180"/>
      <c r="CD631" s="180"/>
      <c r="CE631" s="182"/>
      <c r="CF631" s="182"/>
      <c r="CG631" s="182"/>
      <c r="CH631" s="183"/>
      <c r="CI631" s="183"/>
      <c r="CJ631" s="183"/>
      <c r="CK631" s="180"/>
      <c r="CL631" s="180"/>
      <c r="CM631" s="180"/>
      <c r="CN631" s="180"/>
      <c r="CO631" s="180"/>
      <c r="CP631" s="180"/>
      <c r="CQ631" s="180"/>
      <c r="CR631" s="180"/>
      <c r="CS631" s="180"/>
      <c r="CT631" s="886"/>
      <c r="CU631" s="516"/>
      <c r="CV631" s="516"/>
    </row>
    <row r="632" spans="1:100" ht="15" x14ac:dyDescent="0.25">
      <c r="A632" s="18"/>
      <c r="B632" s="19"/>
      <c r="C632" s="949"/>
      <c r="D632" s="153"/>
      <c r="E632" s="581"/>
      <c r="F632" s="581"/>
      <c r="G632" s="339">
        <v>48</v>
      </c>
      <c r="H632" s="189" t="s">
        <v>788</v>
      </c>
      <c r="I632" s="189"/>
      <c r="J632" s="189"/>
      <c r="K632" s="189"/>
      <c r="L632" s="189"/>
      <c r="M632" s="189"/>
      <c r="N632" s="684"/>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c r="BY632" s="189"/>
      <c r="BZ632" s="189"/>
      <c r="CA632" s="189"/>
      <c r="CB632" s="189"/>
      <c r="CC632" s="189"/>
      <c r="CD632" s="189"/>
      <c r="CE632" s="190"/>
      <c r="CF632" s="190"/>
      <c r="CG632" s="190"/>
      <c r="CH632" s="189"/>
      <c r="CI632" s="189"/>
      <c r="CJ632" s="189"/>
      <c r="CK632" s="189"/>
      <c r="CL632" s="189"/>
      <c r="CM632" s="189"/>
      <c r="CN632" s="189"/>
      <c r="CO632" s="189"/>
      <c r="CP632" s="189"/>
      <c r="CQ632" s="189"/>
      <c r="CR632" s="189"/>
      <c r="CS632" s="189"/>
      <c r="CT632" s="673"/>
      <c r="CU632" s="522"/>
      <c r="CV632" s="522"/>
    </row>
    <row r="633" spans="1:100" ht="93.75" customHeight="1" x14ac:dyDescent="0.25">
      <c r="A633" s="18"/>
      <c r="B633" s="19"/>
      <c r="C633" s="469">
        <v>27</v>
      </c>
      <c r="D633" s="513" t="s">
        <v>784</v>
      </c>
      <c r="E633" s="476">
        <v>0.89949999999999997</v>
      </c>
      <c r="F633" s="517">
        <v>0.92</v>
      </c>
      <c r="G633" s="5"/>
      <c r="H633" s="4">
        <v>164</v>
      </c>
      <c r="I633" s="5" t="s">
        <v>789</v>
      </c>
      <c r="J633" s="4">
        <v>12</v>
      </c>
      <c r="K633" s="929">
        <v>12</v>
      </c>
      <c r="L633" s="929">
        <v>12</v>
      </c>
      <c r="M633" s="4" t="s">
        <v>670</v>
      </c>
      <c r="N633" s="36" t="s">
        <v>786</v>
      </c>
      <c r="O633" s="5" t="s">
        <v>787</v>
      </c>
      <c r="P633" s="929" t="s">
        <v>38</v>
      </c>
      <c r="Q633" s="25">
        <v>0</v>
      </c>
      <c r="R633" s="25"/>
      <c r="S633" s="25"/>
      <c r="T633" s="25">
        <v>0</v>
      </c>
      <c r="U633" s="25"/>
      <c r="V633" s="25"/>
      <c r="W633" s="25">
        <v>0</v>
      </c>
      <c r="X633" s="25"/>
      <c r="Y633" s="25"/>
      <c r="Z633" s="25">
        <v>0</v>
      </c>
      <c r="AA633" s="25"/>
      <c r="AB633" s="25"/>
      <c r="AC633" s="25">
        <v>0</v>
      </c>
      <c r="AD633" s="25"/>
      <c r="AE633" s="25"/>
      <c r="AF633" s="25">
        <v>0</v>
      </c>
      <c r="AG633" s="25"/>
      <c r="AH633" s="25"/>
      <c r="AI633" s="25">
        <v>0</v>
      </c>
      <c r="AJ633" s="25"/>
      <c r="AK633" s="25"/>
      <c r="AL633" s="25">
        <v>0</v>
      </c>
      <c r="AM633" s="25"/>
      <c r="AN633" s="25"/>
      <c r="AO633" s="25">
        <v>0</v>
      </c>
      <c r="AP633" s="25"/>
      <c r="AQ633" s="25"/>
      <c r="AR633" s="25">
        <v>0</v>
      </c>
      <c r="AS633" s="25"/>
      <c r="AT633" s="25"/>
      <c r="AU633" s="25">
        <v>10685739425</v>
      </c>
      <c r="AV633" s="25">
        <v>10685739416.75</v>
      </c>
      <c r="AW633" s="25">
        <v>10685739416.75</v>
      </c>
      <c r="AX633" s="250">
        <v>0</v>
      </c>
      <c r="AY633" s="250"/>
      <c r="AZ633" s="250"/>
      <c r="BA633" s="250">
        <v>0</v>
      </c>
      <c r="BB633" s="250"/>
      <c r="BC633" s="250"/>
      <c r="BD633" s="25">
        <v>5158342835</v>
      </c>
      <c r="BE633" s="25">
        <v>4831035878</v>
      </c>
      <c r="BF633" s="25">
        <v>4831035878</v>
      </c>
      <c r="BG633" s="250">
        <v>0</v>
      </c>
      <c r="BH633" s="250"/>
      <c r="BI633" s="250"/>
      <c r="BJ633" s="250">
        <v>0</v>
      </c>
      <c r="BK633" s="250"/>
      <c r="BL633" s="250"/>
      <c r="BM633" s="250">
        <v>0</v>
      </c>
      <c r="BN633" s="250"/>
      <c r="BO633" s="250"/>
      <c r="BP633" s="250">
        <v>0</v>
      </c>
      <c r="BQ633" s="250"/>
      <c r="BR633" s="250"/>
      <c r="BS633" s="250">
        <v>0</v>
      </c>
      <c r="BT633" s="250"/>
      <c r="BU633" s="250"/>
      <c r="BV633" s="250">
        <v>0</v>
      </c>
      <c r="BW633" s="250"/>
      <c r="BX633" s="250"/>
      <c r="BY633" s="250">
        <v>0</v>
      </c>
      <c r="BZ633" s="250"/>
      <c r="CA633" s="250"/>
      <c r="CB633" s="319">
        <v>0</v>
      </c>
      <c r="CC633" s="319"/>
      <c r="CD633" s="319"/>
      <c r="CE633" s="496">
        <v>0</v>
      </c>
      <c r="CF633" s="496"/>
      <c r="CG633" s="496"/>
      <c r="CH633" s="497">
        <v>0</v>
      </c>
      <c r="CI633" s="497"/>
      <c r="CJ633" s="497"/>
      <c r="CK633" s="58">
        <v>515209</v>
      </c>
      <c r="CL633" s="288"/>
      <c r="CM633" s="26"/>
      <c r="CN633" s="58"/>
      <c r="CO633" s="58">
        <v>0</v>
      </c>
      <c r="CP633" s="58">
        <v>0</v>
      </c>
      <c r="CQ633" s="58"/>
      <c r="CR633" s="58"/>
      <c r="CS633" s="58"/>
      <c r="CT633" s="886">
        <f>Q633+T633+W633+Z633+AC633+AF633+AI633+AL633+AO633+AR633+AU633+AX633+BA633+BD633+BG633+BJ633+BM633+BP633+BS633+BV633+BY633+CB633+CE633+CH633+CK633+CQ633+CN633</f>
        <v>15844597469</v>
      </c>
      <c r="CU633" s="25">
        <f>R633+U633+X633+AA633+AD633+AG633+AJ633+AM633+AP633+AS633+AV633+AY633+BB633+BE633+BH633+BK633+BN633+BQ633+BT633+BW633+BZ633+CC633+CF633+CI633+CL633+CR633+CO633</f>
        <v>15516775294.75</v>
      </c>
      <c r="CV633" s="25">
        <f>S633+V633+Y633+AB633+AE633+AH633+AK633+AN633+AQ633+AT633+AW633+AZ633+BC633+BF633+BI633+BL633+BO633+BR633+BU633+BX633+CA633+CD633+CG633+CJ633+CM633+CS633+CP633</f>
        <v>15516775294.75</v>
      </c>
    </row>
    <row r="634" spans="1:100" ht="15" x14ac:dyDescent="0.25">
      <c r="A634" s="18"/>
      <c r="B634" s="19"/>
      <c r="C634" s="927"/>
      <c r="D634" s="153"/>
      <c r="E634" s="581"/>
      <c r="F634" s="581"/>
      <c r="G634" s="154"/>
      <c r="H634" s="155"/>
      <c r="I634" s="154"/>
      <c r="J634" s="155"/>
      <c r="K634" s="155"/>
      <c r="L634" s="155"/>
      <c r="M634" s="155"/>
      <c r="N634" s="157"/>
      <c r="O634" s="154"/>
      <c r="P634" s="155"/>
      <c r="Q634" s="158">
        <f>SUM(Q633)</f>
        <v>0</v>
      </c>
      <c r="R634" s="158"/>
      <c r="S634" s="158"/>
      <c r="T634" s="158">
        <f>SUM(T633)</f>
        <v>0</v>
      </c>
      <c r="U634" s="158"/>
      <c r="V634" s="158"/>
      <c r="W634" s="158">
        <f>SUM(W633)</f>
        <v>0</v>
      </c>
      <c r="X634" s="158"/>
      <c r="Y634" s="158"/>
      <c r="Z634" s="158">
        <f>SUM(Z633)</f>
        <v>0</v>
      </c>
      <c r="AA634" s="158"/>
      <c r="AB634" s="158"/>
      <c r="AC634" s="158">
        <f>SUM(AC633)</f>
        <v>0</v>
      </c>
      <c r="AD634" s="158"/>
      <c r="AE634" s="158"/>
      <c r="AF634" s="158">
        <f>SUM(AF633)</f>
        <v>0</v>
      </c>
      <c r="AG634" s="158"/>
      <c r="AH634" s="158"/>
      <c r="AI634" s="158">
        <f>SUM(AI633)</f>
        <v>0</v>
      </c>
      <c r="AJ634" s="158"/>
      <c r="AK634" s="158"/>
      <c r="AL634" s="158">
        <f>SUM(AL633)</f>
        <v>0</v>
      </c>
      <c r="AM634" s="158"/>
      <c r="AN634" s="158"/>
      <c r="AO634" s="158"/>
      <c r="AP634" s="158"/>
      <c r="AQ634" s="158"/>
      <c r="AR634" s="158"/>
      <c r="AS634" s="158"/>
      <c r="AT634" s="158"/>
      <c r="AU634" s="158">
        <f>SUM(AU633)</f>
        <v>10685739425</v>
      </c>
      <c r="AV634" s="158">
        <f>SUM(AV633)</f>
        <v>10685739416.75</v>
      </c>
      <c r="AW634" s="158">
        <f>SUM(AW633)</f>
        <v>10685739416.75</v>
      </c>
      <c r="AX634" s="158"/>
      <c r="AY634" s="158"/>
      <c r="AZ634" s="158"/>
      <c r="BA634" s="158">
        <f>SUM(BA633)</f>
        <v>0</v>
      </c>
      <c r="BB634" s="158"/>
      <c r="BC634" s="158"/>
      <c r="BD634" s="158">
        <f>SUM(BD633)</f>
        <v>5158342835</v>
      </c>
      <c r="BE634" s="158">
        <f>SUM(BE633)</f>
        <v>4831035878</v>
      </c>
      <c r="BF634" s="158">
        <f>SUM(BF633)</f>
        <v>4831035878</v>
      </c>
      <c r="BG634" s="158">
        <f>SUM(BG633)</f>
        <v>0</v>
      </c>
      <c r="BH634" s="158"/>
      <c r="BI634" s="158"/>
      <c r="BJ634" s="158">
        <f>SUM(BJ633)</f>
        <v>0</v>
      </c>
      <c r="BK634" s="158"/>
      <c r="BL634" s="158"/>
      <c r="BM634" s="158">
        <f>SUM(BM633)</f>
        <v>0</v>
      </c>
      <c r="BN634" s="158"/>
      <c r="BO634" s="158"/>
      <c r="BP634" s="158">
        <f>SUM(BP633)</f>
        <v>0</v>
      </c>
      <c r="BQ634" s="158"/>
      <c r="BR634" s="158"/>
      <c r="BS634" s="158">
        <f>SUM(BS633)</f>
        <v>0</v>
      </c>
      <c r="BT634" s="158"/>
      <c r="BU634" s="158"/>
      <c r="BV634" s="158">
        <f>SUM(BV633)</f>
        <v>0</v>
      </c>
      <c r="BW634" s="158"/>
      <c r="BX634" s="158"/>
      <c r="BY634" s="158">
        <f>SUM(BY633)</f>
        <v>0</v>
      </c>
      <c r="BZ634" s="158"/>
      <c r="CA634" s="158"/>
      <c r="CB634" s="158">
        <f>SUM(CB633)</f>
        <v>0</v>
      </c>
      <c r="CC634" s="158"/>
      <c r="CD634" s="158"/>
      <c r="CE634" s="243">
        <f>SUM(CE633)</f>
        <v>0</v>
      </c>
      <c r="CF634" s="243"/>
      <c r="CG634" s="243"/>
      <c r="CH634" s="243">
        <f>SUM(CH633)</f>
        <v>0</v>
      </c>
      <c r="CI634" s="243"/>
      <c r="CJ634" s="243"/>
      <c r="CK634" s="243">
        <f>SUM(CK633)</f>
        <v>515209</v>
      </c>
      <c r="CL634" s="243"/>
      <c r="CM634" s="243"/>
      <c r="CN634" s="158">
        <f>SUM(CN633)</f>
        <v>0</v>
      </c>
      <c r="CO634" s="158"/>
      <c r="CP634" s="158"/>
      <c r="CQ634" s="158">
        <f>SUM(CQ633)</f>
        <v>0</v>
      </c>
      <c r="CR634" s="158"/>
      <c r="CS634" s="158"/>
      <c r="CT634" s="394">
        <f>SUM(CT633)</f>
        <v>15844597469</v>
      </c>
      <c r="CU634" s="158">
        <f>SUM(CU633)</f>
        <v>15516775294.75</v>
      </c>
      <c r="CV634" s="158">
        <f>SUM(CV633)</f>
        <v>15516775294.75</v>
      </c>
    </row>
    <row r="635" spans="1:100" ht="15" x14ac:dyDescent="0.25">
      <c r="A635" s="18"/>
      <c r="B635" s="19"/>
      <c r="C635" s="949"/>
      <c r="D635" s="177"/>
      <c r="E635" s="949"/>
      <c r="F635" s="949"/>
      <c r="G635" s="177"/>
      <c r="H635" s="949"/>
      <c r="I635" s="177"/>
      <c r="J635" s="949"/>
      <c r="K635" s="949"/>
      <c r="L635" s="930"/>
      <c r="M635" s="930"/>
      <c r="N635" s="230"/>
      <c r="O635" s="221"/>
      <c r="P635" s="949"/>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c r="AU635" s="180"/>
      <c r="AV635" s="180"/>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0"/>
      <c r="BS635" s="180"/>
      <c r="BT635" s="180"/>
      <c r="BU635" s="180"/>
      <c r="BV635" s="180"/>
      <c r="BW635" s="180"/>
      <c r="BX635" s="180"/>
      <c r="BY635" s="180"/>
      <c r="BZ635" s="180"/>
      <c r="CA635" s="180"/>
      <c r="CB635" s="180"/>
      <c r="CC635" s="180"/>
      <c r="CD635" s="180"/>
      <c r="CE635" s="182"/>
      <c r="CF635" s="182"/>
      <c r="CG635" s="182"/>
      <c r="CH635" s="183"/>
      <c r="CI635" s="183"/>
      <c r="CJ635" s="183"/>
      <c r="CK635" s="180"/>
      <c r="CL635" s="180"/>
      <c r="CM635" s="180"/>
      <c r="CN635" s="180"/>
      <c r="CO635" s="180"/>
      <c r="CP635" s="180"/>
      <c r="CQ635" s="180"/>
      <c r="CR635" s="180"/>
      <c r="CS635" s="180"/>
      <c r="CT635" s="886"/>
      <c r="CU635" s="516"/>
      <c r="CV635" s="516"/>
    </row>
    <row r="636" spans="1:100" ht="15" x14ac:dyDescent="0.25">
      <c r="A636" s="18"/>
      <c r="B636" s="19"/>
      <c r="C636" s="949"/>
      <c r="D636" s="153"/>
      <c r="E636" s="581"/>
      <c r="F636" s="581"/>
      <c r="G636" s="339">
        <v>49</v>
      </c>
      <c r="H636" s="189" t="s">
        <v>790</v>
      </c>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c r="BU636" s="189"/>
      <c r="BV636" s="189"/>
      <c r="BW636" s="189"/>
      <c r="BX636" s="189"/>
      <c r="BY636" s="189"/>
      <c r="BZ636" s="189"/>
      <c r="CA636" s="189"/>
      <c r="CB636" s="189"/>
      <c r="CC636" s="189"/>
      <c r="CD636" s="189"/>
      <c r="CE636" s="190"/>
      <c r="CF636" s="190"/>
      <c r="CG636" s="190"/>
      <c r="CH636" s="189"/>
      <c r="CI636" s="189"/>
      <c r="CJ636" s="189"/>
      <c r="CK636" s="189"/>
      <c r="CL636" s="189"/>
      <c r="CM636" s="189"/>
      <c r="CN636" s="189"/>
      <c r="CO636" s="189"/>
      <c r="CP636" s="189"/>
      <c r="CQ636" s="189"/>
      <c r="CR636" s="189"/>
      <c r="CS636" s="189"/>
      <c r="CT636" s="673"/>
      <c r="CU636" s="522"/>
      <c r="CV636" s="522"/>
    </row>
    <row r="637" spans="1:100" ht="71.25" customHeight="1" x14ac:dyDescent="0.25">
      <c r="A637" s="18"/>
      <c r="B637" s="19"/>
      <c r="C637" s="469">
        <v>27</v>
      </c>
      <c r="D637" s="513" t="s">
        <v>784</v>
      </c>
      <c r="E637" s="476">
        <v>0.89949999999999997</v>
      </c>
      <c r="F637" s="517">
        <v>0.92</v>
      </c>
      <c r="G637" s="5"/>
      <c r="H637" s="4">
        <v>165</v>
      </c>
      <c r="I637" s="5" t="s">
        <v>791</v>
      </c>
      <c r="J637" s="518">
        <v>12</v>
      </c>
      <c r="K637" s="514">
        <v>12</v>
      </c>
      <c r="L637" s="514">
        <v>12</v>
      </c>
      <c r="M637" s="518" t="s">
        <v>670</v>
      </c>
      <c r="N637" s="36" t="s">
        <v>786</v>
      </c>
      <c r="O637" s="5" t="s">
        <v>787</v>
      </c>
      <c r="P637" s="929" t="s">
        <v>38</v>
      </c>
      <c r="Q637" s="25">
        <v>0</v>
      </c>
      <c r="R637" s="25"/>
      <c r="S637" s="25"/>
      <c r="T637" s="25">
        <v>0</v>
      </c>
      <c r="U637" s="25"/>
      <c r="V637" s="25"/>
      <c r="W637" s="25">
        <v>0</v>
      </c>
      <c r="X637" s="25"/>
      <c r="Y637" s="25"/>
      <c r="Z637" s="25">
        <v>0</v>
      </c>
      <c r="AA637" s="25"/>
      <c r="AB637" s="25"/>
      <c r="AC637" s="25">
        <v>0</v>
      </c>
      <c r="AD637" s="25"/>
      <c r="AE637" s="25"/>
      <c r="AF637" s="25">
        <v>0</v>
      </c>
      <c r="AG637" s="25"/>
      <c r="AH637" s="25"/>
      <c r="AI637" s="25">
        <v>0</v>
      </c>
      <c r="AJ637" s="25"/>
      <c r="AK637" s="25"/>
      <c r="AL637" s="25"/>
      <c r="AM637" s="25"/>
      <c r="AN637" s="25"/>
      <c r="AO637" s="25"/>
      <c r="AP637" s="25"/>
      <c r="AQ637" s="25"/>
      <c r="AR637" s="25"/>
      <c r="AS637" s="25"/>
      <c r="AT637" s="25"/>
      <c r="AU637" s="13">
        <v>20913120</v>
      </c>
      <c r="AV637" s="13">
        <v>0</v>
      </c>
      <c r="AW637" s="13">
        <v>0</v>
      </c>
      <c r="AX637" s="13"/>
      <c r="AY637" s="13"/>
      <c r="AZ637" s="13"/>
      <c r="BA637" s="25">
        <v>0</v>
      </c>
      <c r="BB637" s="25"/>
      <c r="BC637" s="25"/>
      <c r="BD637" s="319">
        <v>0</v>
      </c>
      <c r="BE637" s="319"/>
      <c r="BF637" s="319"/>
      <c r="BG637" s="250"/>
      <c r="BH637" s="250"/>
      <c r="BI637" s="250"/>
      <c r="BJ637" s="250"/>
      <c r="BK637" s="250"/>
      <c r="BL637" s="250"/>
      <c r="BM637" s="250"/>
      <c r="BN637" s="250"/>
      <c r="BO637" s="250"/>
      <c r="BP637" s="250"/>
      <c r="BQ637" s="250"/>
      <c r="BR637" s="250"/>
      <c r="BS637" s="250"/>
      <c r="BT637" s="250"/>
      <c r="BU637" s="250"/>
      <c r="BV637" s="250"/>
      <c r="BW637" s="250"/>
      <c r="BX637" s="250"/>
      <c r="BY637" s="319">
        <v>0</v>
      </c>
      <c r="BZ637" s="319"/>
      <c r="CA637" s="319"/>
      <c r="CB637" s="319">
        <v>0</v>
      </c>
      <c r="CC637" s="319"/>
      <c r="CD637" s="319"/>
      <c r="CE637" s="496">
        <v>0</v>
      </c>
      <c r="CF637" s="496"/>
      <c r="CG637" s="496"/>
      <c r="CH637" s="497"/>
      <c r="CI637" s="497"/>
      <c r="CJ637" s="497"/>
      <c r="CK637" s="319">
        <v>0</v>
      </c>
      <c r="CL637" s="288"/>
      <c r="CM637" s="288"/>
      <c r="CN637" s="288">
        <v>0</v>
      </c>
      <c r="CO637" s="288"/>
      <c r="CP637" s="288"/>
      <c r="CQ637" s="288"/>
      <c r="CR637" s="288"/>
      <c r="CS637" s="288"/>
      <c r="CT637" s="886">
        <f>Q637+T637+W637+Z637+AC637+AF637+AI637+AL637+AO637+AR637+AU637+AX637+BA637+BD637+BG637+BJ637+BM637+BP637+BS637+BV637+BY637+CB637+CE637+CH637+CK637+CQ637+CN637</f>
        <v>20913120</v>
      </c>
      <c r="CU637" s="25">
        <f>R637+U637+X637+AA637+AD637+AG637+AJ637+AM637+AP637+AS637+AV637+AY637+BB637+BE637+BH637+BK637+BN637+BQ637+BT637+BW637+BZ637+CC637+CF637+CI637+CL637+CR637+CO637</f>
        <v>0</v>
      </c>
      <c r="CV637" s="25">
        <f>S637+V637+Y637+AB637+AE637+AH637+AK637+AN637+AQ637+AT637+AW637+AZ637+BC637+BF637+BI637+BL637+BO637+BR637+BU637+BX637+CA637+CD637+CG637+CJ637+CM637+CS637+CP637</f>
        <v>0</v>
      </c>
    </row>
    <row r="638" spans="1:100" ht="15" x14ac:dyDescent="0.25">
      <c r="A638" s="18"/>
      <c r="B638" s="19"/>
      <c r="C638" s="927"/>
      <c r="D638" s="153"/>
      <c r="E638" s="581"/>
      <c r="F638" s="581"/>
      <c r="G638" s="154"/>
      <c r="H638" s="155"/>
      <c r="I638" s="154"/>
      <c r="J638" s="519"/>
      <c r="K638" s="519"/>
      <c r="L638" s="519"/>
      <c r="M638" s="519"/>
      <c r="N638" s="157"/>
      <c r="O638" s="154"/>
      <c r="P638" s="155"/>
      <c r="Q638" s="158">
        <f>SUM(Q637)</f>
        <v>0</v>
      </c>
      <c r="R638" s="158">
        <f>SUM(R637)</f>
        <v>0</v>
      </c>
      <c r="S638" s="158">
        <f>SUM(S637)</f>
        <v>0</v>
      </c>
      <c r="T638" s="158">
        <f>SUM(T637)</f>
        <v>0</v>
      </c>
      <c r="U638" s="158">
        <f t="shared" ref="U638:CF638" si="338">SUM(U637)</f>
        <v>0</v>
      </c>
      <c r="V638" s="158">
        <f t="shared" si="338"/>
        <v>0</v>
      </c>
      <c r="W638" s="158">
        <f t="shared" si="338"/>
        <v>0</v>
      </c>
      <c r="X638" s="158">
        <f t="shared" si="338"/>
        <v>0</v>
      </c>
      <c r="Y638" s="158">
        <f t="shared" si="338"/>
        <v>0</v>
      </c>
      <c r="Z638" s="158">
        <f t="shared" si="338"/>
        <v>0</v>
      </c>
      <c r="AA638" s="158">
        <f t="shared" si="338"/>
        <v>0</v>
      </c>
      <c r="AB638" s="158">
        <f t="shared" si="338"/>
        <v>0</v>
      </c>
      <c r="AC638" s="158">
        <f t="shared" si="338"/>
        <v>0</v>
      </c>
      <c r="AD638" s="158">
        <f t="shared" si="338"/>
        <v>0</v>
      </c>
      <c r="AE638" s="158">
        <f t="shared" si="338"/>
        <v>0</v>
      </c>
      <c r="AF638" s="158">
        <f t="shared" si="338"/>
        <v>0</v>
      </c>
      <c r="AG638" s="158">
        <f t="shared" si="338"/>
        <v>0</v>
      </c>
      <c r="AH638" s="158">
        <f t="shared" si="338"/>
        <v>0</v>
      </c>
      <c r="AI638" s="158">
        <f t="shared" si="338"/>
        <v>0</v>
      </c>
      <c r="AJ638" s="158">
        <f t="shared" si="338"/>
        <v>0</v>
      </c>
      <c r="AK638" s="158">
        <f t="shared" si="338"/>
        <v>0</v>
      </c>
      <c r="AL638" s="158">
        <f t="shared" si="338"/>
        <v>0</v>
      </c>
      <c r="AM638" s="158">
        <f t="shared" si="338"/>
        <v>0</v>
      </c>
      <c r="AN638" s="158">
        <f t="shared" si="338"/>
        <v>0</v>
      </c>
      <c r="AO638" s="158">
        <f t="shared" si="338"/>
        <v>0</v>
      </c>
      <c r="AP638" s="158">
        <f t="shared" si="338"/>
        <v>0</v>
      </c>
      <c r="AQ638" s="158">
        <f t="shared" si="338"/>
        <v>0</v>
      </c>
      <c r="AR638" s="158">
        <f t="shared" si="338"/>
        <v>0</v>
      </c>
      <c r="AS638" s="158">
        <f t="shared" si="338"/>
        <v>0</v>
      </c>
      <c r="AT638" s="158">
        <f t="shared" si="338"/>
        <v>0</v>
      </c>
      <c r="AU638" s="158">
        <f t="shared" si="338"/>
        <v>20913120</v>
      </c>
      <c r="AV638" s="158">
        <f t="shared" si="338"/>
        <v>0</v>
      </c>
      <c r="AW638" s="158">
        <f t="shared" si="338"/>
        <v>0</v>
      </c>
      <c r="AX638" s="158">
        <f t="shared" si="338"/>
        <v>0</v>
      </c>
      <c r="AY638" s="158">
        <f t="shared" si="338"/>
        <v>0</v>
      </c>
      <c r="AZ638" s="158">
        <f t="shared" si="338"/>
        <v>0</v>
      </c>
      <c r="BA638" s="158">
        <f t="shared" si="338"/>
        <v>0</v>
      </c>
      <c r="BB638" s="158">
        <f t="shared" si="338"/>
        <v>0</v>
      </c>
      <c r="BC638" s="158">
        <f t="shared" si="338"/>
        <v>0</v>
      </c>
      <c r="BD638" s="158">
        <f t="shared" si="338"/>
        <v>0</v>
      </c>
      <c r="BE638" s="158">
        <f t="shared" si="338"/>
        <v>0</v>
      </c>
      <c r="BF638" s="158">
        <f t="shared" si="338"/>
        <v>0</v>
      </c>
      <c r="BG638" s="158">
        <f t="shared" si="338"/>
        <v>0</v>
      </c>
      <c r="BH638" s="158">
        <f t="shared" si="338"/>
        <v>0</v>
      </c>
      <c r="BI638" s="158">
        <f t="shared" si="338"/>
        <v>0</v>
      </c>
      <c r="BJ638" s="158">
        <f t="shared" si="338"/>
        <v>0</v>
      </c>
      <c r="BK638" s="158">
        <f t="shared" si="338"/>
        <v>0</v>
      </c>
      <c r="BL638" s="158">
        <f t="shared" si="338"/>
        <v>0</v>
      </c>
      <c r="BM638" s="158">
        <f t="shared" si="338"/>
        <v>0</v>
      </c>
      <c r="BN638" s="158">
        <f t="shared" si="338"/>
        <v>0</v>
      </c>
      <c r="BO638" s="158">
        <f t="shared" si="338"/>
        <v>0</v>
      </c>
      <c r="BP638" s="158">
        <f t="shared" si="338"/>
        <v>0</v>
      </c>
      <c r="BQ638" s="158">
        <f t="shared" si="338"/>
        <v>0</v>
      </c>
      <c r="BR638" s="158">
        <f t="shared" si="338"/>
        <v>0</v>
      </c>
      <c r="BS638" s="158">
        <f t="shared" si="338"/>
        <v>0</v>
      </c>
      <c r="BT638" s="158">
        <f t="shared" si="338"/>
        <v>0</v>
      </c>
      <c r="BU638" s="158">
        <f t="shared" si="338"/>
        <v>0</v>
      </c>
      <c r="BV638" s="158">
        <f t="shared" si="338"/>
        <v>0</v>
      </c>
      <c r="BW638" s="158">
        <f t="shared" si="338"/>
        <v>0</v>
      </c>
      <c r="BX638" s="158">
        <f t="shared" si="338"/>
        <v>0</v>
      </c>
      <c r="BY638" s="158">
        <f t="shared" si="338"/>
        <v>0</v>
      </c>
      <c r="BZ638" s="158">
        <f t="shared" si="338"/>
        <v>0</v>
      </c>
      <c r="CA638" s="158">
        <f t="shared" si="338"/>
        <v>0</v>
      </c>
      <c r="CB638" s="158">
        <f t="shared" si="338"/>
        <v>0</v>
      </c>
      <c r="CC638" s="158">
        <f t="shared" si="338"/>
        <v>0</v>
      </c>
      <c r="CD638" s="158">
        <f t="shared" si="338"/>
        <v>0</v>
      </c>
      <c r="CE638" s="158">
        <f t="shared" si="338"/>
        <v>0</v>
      </c>
      <c r="CF638" s="158">
        <f t="shared" si="338"/>
        <v>0</v>
      </c>
      <c r="CG638" s="158">
        <f t="shared" ref="CG638:CS638" si="339">SUM(CG637)</f>
        <v>0</v>
      </c>
      <c r="CH638" s="158">
        <f t="shared" si="339"/>
        <v>0</v>
      </c>
      <c r="CI638" s="158">
        <f t="shared" si="339"/>
        <v>0</v>
      </c>
      <c r="CJ638" s="158">
        <f t="shared" si="339"/>
        <v>0</v>
      </c>
      <c r="CK638" s="158">
        <f t="shared" si="339"/>
        <v>0</v>
      </c>
      <c r="CL638" s="158">
        <f t="shared" si="339"/>
        <v>0</v>
      </c>
      <c r="CM638" s="158">
        <f t="shared" si="339"/>
        <v>0</v>
      </c>
      <c r="CN638" s="158">
        <f t="shared" si="339"/>
        <v>0</v>
      </c>
      <c r="CO638" s="158">
        <f t="shared" si="339"/>
        <v>0</v>
      </c>
      <c r="CP638" s="158">
        <f t="shared" si="339"/>
        <v>0</v>
      </c>
      <c r="CQ638" s="158">
        <f t="shared" si="339"/>
        <v>0</v>
      </c>
      <c r="CR638" s="158">
        <f t="shared" si="339"/>
        <v>0</v>
      </c>
      <c r="CS638" s="158">
        <f t="shared" si="339"/>
        <v>0</v>
      </c>
      <c r="CT638" s="394">
        <f>SUM(CT637)</f>
        <v>20913120</v>
      </c>
      <c r="CU638" s="158">
        <f>SUM(CU637)</f>
        <v>0</v>
      </c>
      <c r="CV638" s="158">
        <f>SUM(CV637)</f>
        <v>0</v>
      </c>
    </row>
    <row r="639" spans="1:100" ht="15" x14ac:dyDescent="0.25">
      <c r="A639" s="19"/>
      <c r="B639" s="426"/>
      <c r="C639" s="162"/>
      <c r="D639" s="161"/>
      <c r="E639" s="162"/>
      <c r="F639" s="162"/>
      <c r="G639" s="161"/>
      <c r="H639" s="162"/>
      <c r="I639" s="161"/>
      <c r="J639" s="520"/>
      <c r="K639" s="520"/>
      <c r="L639" s="520"/>
      <c r="M639" s="520"/>
      <c r="N639" s="164"/>
      <c r="O639" s="161"/>
      <c r="P639" s="162"/>
      <c r="Q639" s="165">
        <f>Q638+Q634+Q630</f>
        <v>0</v>
      </c>
      <c r="R639" s="165">
        <f>R638+R634+R630</f>
        <v>0</v>
      </c>
      <c r="S639" s="165">
        <f>S638+S634+S630</f>
        <v>0</v>
      </c>
      <c r="T639" s="165">
        <f>T638+T634+T630</f>
        <v>0</v>
      </c>
      <c r="U639" s="165">
        <f t="shared" ref="U639:CF639" si="340">U638+U634+U630</f>
        <v>0</v>
      </c>
      <c r="V639" s="165">
        <f t="shared" si="340"/>
        <v>0</v>
      </c>
      <c r="W639" s="165">
        <f t="shared" si="340"/>
        <v>0</v>
      </c>
      <c r="X639" s="165">
        <f t="shared" si="340"/>
        <v>0</v>
      </c>
      <c r="Y639" s="165">
        <f t="shared" si="340"/>
        <v>0</v>
      </c>
      <c r="Z639" s="165">
        <f t="shared" si="340"/>
        <v>0</v>
      </c>
      <c r="AA639" s="165">
        <f t="shared" si="340"/>
        <v>0</v>
      </c>
      <c r="AB639" s="165">
        <f t="shared" si="340"/>
        <v>0</v>
      </c>
      <c r="AC639" s="165">
        <f t="shared" si="340"/>
        <v>0</v>
      </c>
      <c r="AD639" s="165">
        <f t="shared" si="340"/>
        <v>0</v>
      </c>
      <c r="AE639" s="165">
        <f t="shared" si="340"/>
        <v>0</v>
      </c>
      <c r="AF639" s="165">
        <f t="shared" si="340"/>
        <v>0</v>
      </c>
      <c r="AG639" s="165">
        <f t="shared" si="340"/>
        <v>0</v>
      </c>
      <c r="AH639" s="165">
        <f t="shared" si="340"/>
        <v>0</v>
      </c>
      <c r="AI639" s="165">
        <f t="shared" si="340"/>
        <v>0</v>
      </c>
      <c r="AJ639" s="165">
        <f t="shared" si="340"/>
        <v>0</v>
      </c>
      <c r="AK639" s="165">
        <f t="shared" si="340"/>
        <v>0</v>
      </c>
      <c r="AL639" s="165">
        <f t="shared" si="340"/>
        <v>0</v>
      </c>
      <c r="AM639" s="165">
        <f t="shared" si="340"/>
        <v>0</v>
      </c>
      <c r="AN639" s="165">
        <f t="shared" si="340"/>
        <v>0</v>
      </c>
      <c r="AO639" s="165">
        <f t="shared" si="340"/>
        <v>0</v>
      </c>
      <c r="AP639" s="165">
        <f t="shared" si="340"/>
        <v>0</v>
      </c>
      <c r="AQ639" s="165">
        <f t="shared" si="340"/>
        <v>0</v>
      </c>
      <c r="AR639" s="165">
        <f t="shared" si="340"/>
        <v>0</v>
      </c>
      <c r="AS639" s="165">
        <f t="shared" si="340"/>
        <v>0</v>
      </c>
      <c r="AT639" s="165">
        <f t="shared" si="340"/>
        <v>0</v>
      </c>
      <c r="AU639" s="165">
        <f t="shared" si="340"/>
        <v>10735698545</v>
      </c>
      <c r="AV639" s="165">
        <f t="shared" si="340"/>
        <v>10685739416.75</v>
      </c>
      <c r="AW639" s="165">
        <f t="shared" si="340"/>
        <v>10685739416.75</v>
      </c>
      <c r="AX639" s="165">
        <f t="shared" si="340"/>
        <v>0</v>
      </c>
      <c r="AY639" s="165">
        <f t="shared" si="340"/>
        <v>0</v>
      </c>
      <c r="AZ639" s="165">
        <f t="shared" si="340"/>
        <v>0</v>
      </c>
      <c r="BA639" s="165">
        <f t="shared" si="340"/>
        <v>0</v>
      </c>
      <c r="BB639" s="165">
        <f t="shared" si="340"/>
        <v>0</v>
      </c>
      <c r="BC639" s="165">
        <f t="shared" si="340"/>
        <v>0</v>
      </c>
      <c r="BD639" s="165">
        <f t="shared" si="340"/>
        <v>5158342835</v>
      </c>
      <c r="BE639" s="165">
        <f t="shared" si="340"/>
        <v>4831035878</v>
      </c>
      <c r="BF639" s="165">
        <f t="shared" si="340"/>
        <v>4831035878</v>
      </c>
      <c r="BG639" s="165">
        <f t="shared" si="340"/>
        <v>0</v>
      </c>
      <c r="BH639" s="165">
        <f t="shared" si="340"/>
        <v>0</v>
      </c>
      <c r="BI639" s="165">
        <f t="shared" si="340"/>
        <v>0</v>
      </c>
      <c r="BJ639" s="165">
        <f t="shared" si="340"/>
        <v>0</v>
      </c>
      <c r="BK639" s="165">
        <f t="shared" si="340"/>
        <v>0</v>
      </c>
      <c r="BL639" s="165">
        <f t="shared" si="340"/>
        <v>0</v>
      </c>
      <c r="BM639" s="165">
        <f t="shared" si="340"/>
        <v>0</v>
      </c>
      <c r="BN639" s="165">
        <f t="shared" si="340"/>
        <v>0</v>
      </c>
      <c r="BO639" s="165">
        <f t="shared" si="340"/>
        <v>0</v>
      </c>
      <c r="BP639" s="165">
        <f t="shared" si="340"/>
        <v>0</v>
      </c>
      <c r="BQ639" s="165">
        <f t="shared" si="340"/>
        <v>0</v>
      </c>
      <c r="BR639" s="165">
        <f t="shared" si="340"/>
        <v>0</v>
      </c>
      <c r="BS639" s="165">
        <f t="shared" si="340"/>
        <v>0</v>
      </c>
      <c r="BT639" s="165">
        <f t="shared" si="340"/>
        <v>0</v>
      </c>
      <c r="BU639" s="165">
        <f t="shared" si="340"/>
        <v>0</v>
      </c>
      <c r="BV639" s="165">
        <f t="shared" si="340"/>
        <v>0</v>
      </c>
      <c r="BW639" s="165">
        <f t="shared" si="340"/>
        <v>0</v>
      </c>
      <c r="BX639" s="165">
        <f t="shared" si="340"/>
        <v>0</v>
      </c>
      <c r="BY639" s="165">
        <f t="shared" si="340"/>
        <v>0</v>
      </c>
      <c r="BZ639" s="165">
        <f t="shared" si="340"/>
        <v>0</v>
      </c>
      <c r="CA639" s="165">
        <f t="shared" si="340"/>
        <v>0</v>
      </c>
      <c r="CB639" s="165">
        <f t="shared" si="340"/>
        <v>0</v>
      </c>
      <c r="CC639" s="165">
        <f t="shared" si="340"/>
        <v>0</v>
      </c>
      <c r="CD639" s="165">
        <f t="shared" si="340"/>
        <v>0</v>
      </c>
      <c r="CE639" s="165">
        <f t="shared" si="340"/>
        <v>0</v>
      </c>
      <c r="CF639" s="165">
        <f t="shared" si="340"/>
        <v>0</v>
      </c>
      <c r="CG639" s="165">
        <f t="shared" ref="CG639:CS639" si="341">CG638+CG634+CG630</f>
        <v>0</v>
      </c>
      <c r="CH639" s="165">
        <f t="shared" si="341"/>
        <v>0</v>
      </c>
      <c r="CI639" s="165">
        <f t="shared" si="341"/>
        <v>0</v>
      </c>
      <c r="CJ639" s="165">
        <f t="shared" si="341"/>
        <v>0</v>
      </c>
      <c r="CK639" s="165">
        <f t="shared" si="341"/>
        <v>515209</v>
      </c>
      <c r="CL639" s="165">
        <f t="shared" si="341"/>
        <v>0</v>
      </c>
      <c r="CM639" s="165">
        <f t="shared" si="341"/>
        <v>0</v>
      </c>
      <c r="CN639" s="165">
        <f t="shared" si="341"/>
        <v>0</v>
      </c>
      <c r="CO639" s="165">
        <f t="shared" si="341"/>
        <v>0</v>
      </c>
      <c r="CP639" s="165">
        <f t="shared" si="341"/>
        <v>0</v>
      </c>
      <c r="CQ639" s="165">
        <f t="shared" si="341"/>
        <v>0</v>
      </c>
      <c r="CR639" s="165">
        <f t="shared" si="341"/>
        <v>0</v>
      </c>
      <c r="CS639" s="165">
        <f t="shared" si="341"/>
        <v>0</v>
      </c>
      <c r="CT639" s="395">
        <f>CT638+CT634+CT630</f>
        <v>15894556589</v>
      </c>
      <c r="CU639" s="165">
        <f>CU638+CU634+CU630</f>
        <v>15516775294.75</v>
      </c>
      <c r="CV639" s="165">
        <f>CV638+CV634+CV630</f>
        <v>15516775294.75</v>
      </c>
    </row>
    <row r="640" spans="1:100" s="27" customFormat="1" ht="15" x14ac:dyDescent="0.25">
      <c r="A640" s="19"/>
      <c r="B640" s="177"/>
      <c r="C640" s="949"/>
      <c r="D640" s="177"/>
      <c r="E640" s="949"/>
      <c r="F640" s="949"/>
      <c r="G640" s="177"/>
      <c r="H640" s="949"/>
      <c r="I640" s="177"/>
      <c r="J640" s="949"/>
      <c r="K640" s="949"/>
      <c r="L640" s="930"/>
      <c r="M640" s="930"/>
      <c r="N640" s="230"/>
      <c r="O640" s="221"/>
      <c r="P640" s="949"/>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0"/>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0"/>
      <c r="BS640" s="180"/>
      <c r="BT640" s="180"/>
      <c r="BU640" s="180"/>
      <c r="BV640" s="180"/>
      <c r="BW640" s="180"/>
      <c r="BX640" s="180"/>
      <c r="BY640" s="180"/>
      <c r="BZ640" s="180"/>
      <c r="CA640" s="180"/>
      <c r="CB640" s="180"/>
      <c r="CC640" s="180"/>
      <c r="CD640" s="180"/>
      <c r="CE640" s="182"/>
      <c r="CF640" s="182"/>
      <c r="CG640" s="182"/>
      <c r="CH640" s="180"/>
      <c r="CI640" s="180"/>
      <c r="CJ640" s="180"/>
      <c r="CK640" s="180"/>
      <c r="CL640" s="180"/>
      <c r="CM640" s="180"/>
      <c r="CN640" s="180"/>
      <c r="CO640" s="180"/>
      <c r="CP640" s="180"/>
      <c r="CQ640" s="180"/>
      <c r="CR640" s="180"/>
      <c r="CS640" s="180"/>
      <c r="CT640" s="886"/>
      <c r="CU640" s="76"/>
      <c r="CV640" s="76"/>
    </row>
    <row r="641" spans="1:100" s="27" customFormat="1" ht="15" x14ac:dyDescent="0.25">
      <c r="A641" s="19"/>
      <c r="B641" s="521">
        <v>14</v>
      </c>
      <c r="C641" s="145" t="s">
        <v>792</v>
      </c>
      <c r="D641" s="146"/>
      <c r="E641" s="146"/>
      <c r="F641" s="146"/>
      <c r="G641" s="146"/>
      <c r="H641" s="147"/>
      <c r="I641" s="146"/>
      <c r="J641" s="146"/>
      <c r="K641" s="146"/>
      <c r="L641" s="146"/>
      <c r="M641" s="146"/>
      <c r="N641" s="677"/>
      <c r="O641" s="146"/>
      <c r="P641" s="146"/>
      <c r="Q641" s="146"/>
      <c r="R641" s="146"/>
      <c r="S641" s="146"/>
      <c r="T641" s="146"/>
      <c r="U641" s="146"/>
      <c r="V641" s="146"/>
      <c r="W641" s="146"/>
      <c r="X641" s="146"/>
      <c r="Y641" s="146"/>
      <c r="Z641" s="146"/>
      <c r="AA641" s="146"/>
      <c r="AB641" s="146"/>
      <c r="AC641" s="146"/>
      <c r="AD641" s="146"/>
      <c r="AE641" s="146"/>
      <c r="AF641" s="146"/>
      <c r="AG641" s="146"/>
      <c r="AH641" s="146"/>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c r="BI641" s="146"/>
      <c r="BJ641" s="146"/>
      <c r="BK641" s="146"/>
      <c r="BL641" s="146"/>
      <c r="BM641" s="146"/>
      <c r="BN641" s="146"/>
      <c r="BO641" s="146"/>
      <c r="BP641" s="146"/>
      <c r="BQ641" s="146"/>
      <c r="BR641" s="146"/>
      <c r="BS641" s="146"/>
      <c r="BT641" s="146"/>
      <c r="BU641" s="146"/>
      <c r="BV641" s="146"/>
      <c r="BW641" s="146"/>
      <c r="BX641" s="146"/>
      <c r="BY641" s="146"/>
      <c r="BZ641" s="146"/>
      <c r="CA641" s="146"/>
      <c r="CB641" s="146"/>
      <c r="CC641" s="146"/>
      <c r="CD641" s="146"/>
      <c r="CE641" s="148"/>
      <c r="CF641" s="148"/>
      <c r="CG641" s="148"/>
      <c r="CH641" s="146"/>
      <c r="CI641" s="146"/>
      <c r="CJ641" s="146"/>
      <c r="CK641" s="146"/>
      <c r="CL641" s="146"/>
      <c r="CM641" s="146"/>
      <c r="CN641" s="146"/>
      <c r="CO641" s="146"/>
      <c r="CP641" s="146"/>
      <c r="CQ641" s="146"/>
      <c r="CR641" s="146"/>
      <c r="CS641" s="146"/>
      <c r="CT641" s="674"/>
      <c r="CU641" s="526"/>
      <c r="CV641" s="526"/>
    </row>
    <row r="642" spans="1:100" s="27" customFormat="1" ht="15" x14ac:dyDescent="0.25">
      <c r="A642" s="18"/>
      <c r="B642" s="19"/>
      <c r="C642" s="949"/>
      <c r="D642" s="177"/>
      <c r="E642" s="949"/>
      <c r="F642" s="927"/>
      <c r="G642" s="339">
        <v>50</v>
      </c>
      <c r="H642" s="189" t="s">
        <v>793</v>
      </c>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c r="BY642" s="189"/>
      <c r="BZ642" s="189"/>
      <c r="CA642" s="189"/>
      <c r="CB642" s="189"/>
      <c r="CC642" s="189"/>
      <c r="CD642" s="189"/>
      <c r="CE642" s="190"/>
      <c r="CF642" s="190"/>
      <c r="CG642" s="190"/>
      <c r="CH642" s="189"/>
      <c r="CI642" s="189"/>
      <c r="CJ642" s="189"/>
      <c r="CK642" s="189"/>
      <c r="CL642" s="189"/>
      <c r="CM642" s="189"/>
      <c r="CN642" s="189"/>
      <c r="CO642" s="189"/>
      <c r="CP642" s="189"/>
      <c r="CQ642" s="189"/>
      <c r="CR642" s="189"/>
      <c r="CS642" s="189"/>
      <c r="CT642" s="673"/>
      <c r="CU642" s="522"/>
      <c r="CV642" s="522"/>
    </row>
    <row r="643" spans="1:100" ht="71.25" x14ac:dyDescent="0.25">
      <c r="A643" s="18"/>
      <c r="B643" s="918"/>
      <c r="C643" s="1067">
        <v>27</v>
      </c>
      <c r="D643" s="1070" t="s">
        <v>784</v>
      </c>
      <c r="E643" s="1073">
        <v>0.89949999999999997</v>
      </c>
      <c r="F643" s="1076">
        <v>0.92</v>
      </c>
      <c r="G643" s="1021"/>
      <c r="H643" s="4">
        <v>166</v>
      </c>
      <c r="I643" s="5" t="s">
        <v>794</v>
      </c>
      <c r="J643" s="518">
        <v>1</v>
      </c>
      <c r="K643" s="514">
        <v>0.8</v>
      </c>
      <c r="L643" s="501">
        <v>0.8</v>
      </c>
      <c r="M643" s="1079" t="s">
        <v>670</v>
      </c>
      <c r="N643" s="1017" t="s">
        <v>795</v>
      </c>
      <c r="O643" s="1012" t="s">
        <v>796</v>
      </c>
      <c r="P643" s="929" t="s">
        <v>38</v>
      </c>
      <c r="Q643" s="25">
        <v>0</v>
      </c>
      <c r="R643" s="25"/>
      <c r="S643" s="25"/>
      <c r="T643" s="25">
        <v>0</v>
      </c>
      <c r="U643" s="25"/>
      <c r="V643" s="25"/>
      <c r="W643" s="25">
        <v>0</v>
      </c>
      <c r="X643" s="25"/>
      <c r="Y643" s="25"/>
      <c r="Z643" s="25">
        <v>0</v>
      </c>
      <c r="AA643" s="25"/>
      <c r="AB643" s="25"/>
      <c r="AC643" s="25">
        <v>0</v>
      </c>
      <c r="AD643" s="25"/>
      <c r="AE643" s="25"/>
      <c r="AF643" s="250">
        <v>0</v>
      </c>
      <c r="AG643" s="250"/>
      <c r="AH643" s="250"/>
      <c r="AI643" s="250">
        <v>0</v>
      </c>
      <c r="AJ643" s="250"/>
      <c r="AK643" s="250"/>
      <c r="AL643" s="250"/>
      <c r="AM643" s="250"/>
      <c r="AN643" s="250"/>
      <c r="AO643" s="250"/>
      <c r="AP643" s="250"/>
      <c r="AQ643" s="250"/>
      <c r="AR643" s="250"/>
      <c r="AS643" s="250"/>
      <c r="AT643" s="250"/>
      <c r="AU643" s="250">
        <v>0</v>
      </c>
      <c r="AV643" s="250"/>
      <c r="AW643" s="250"/>
      <c r="AX643" s="250"/>
      <c r="AY643" s="250"/>
      <c r="AZ643" s="250"/>
      <c r="BA643" s="250">
        <v>0</v>
      </c>
      <c r="BB643" s="250"/>
      <c r="BC643" s="250"/>
      <c r="BD643" s="25">
        <v>0</v>
      </c>
      <c r="BE643" s="25"/>
      <c r="BF643" s="25"/>
      <c r="BG643" s="250"/>
      <c r="BH643" s="250"/>
      <c r="BI643" s="250"/>
      <c r="BJ643" s="250"/>
      <c r="BK643" s="250"/>
      <c r="BL643" s="250"/>
      <c r="BM643" s="250"/>
      <c r="BN643" s="250"/>
      <c r="BO643" s="250"/>
      <c r="BP643" s="250"/>
      <c r="BQ643" s="250"/>
      <c r="BR643" s="250"/>
      <c r="BS643" s="250"/>
      <c r="BT643" s="250"/>
      <c r="BU643" s="250"/>
      <c r="BV643" s="250"/>
      <c r="BW643" s="250"/>
      <c r="BX643" s="250"/>
      <c r="BY643" s="25">
        <v>0</v>
      </c>
      <c r="BZ643" s="25"/>
      <c r="CA643" s="25"/>
      <c r="CB643" s="319">
        <v>0</v>
      </c>
      <c r="CC643" s="319"/>
      <c r="CD643" s="319"/>
      <c r="CE643" s="496">
        <v>0</v>
      </c>
      <c r="CF643" s="496"/>
      <c r="CG643" s="496"/>
      <c r="CH643" s="497"/>
      <c r="CI643" s="497"/>
      <c r="CJ643" s="497"/>
      <c r="CK643" s="319">
        <v>0</v>
      </c>
      <c r="CL643" s="288"/>
      <c r="CM643" s="288"/>
      <c r="CN643" s="470">
        <v>0</v>
      </c>
      <c r="CO643" s="470"/>
      <c r="CP643" s="470"/>
      <c r="CQ643" s="470"/>
      <c r="CR643" s="470"/>
      <c r="CS643" s="470"/>
      <c r="CT643" s="886">
        <f t="shared" ref="CT643:CV645" si="342">Q643+T643+W643+Z643+AC643+AF643+AI643+AL643+AO643+AR643+AU643+AX643+BA643+BD643+BG643+BJ643+BM643+BP643+BS643+BV643+BY643+CB643+CE643+CH643+CK643+CQ643+CN643</f>
        <v>0</v>
      </c>
      <c r="CU643" s="25">
        <f t="shared" si="342"/>
        <v>0</v>
      </c>
      <c r="CV643" s="25">
        <f t="shared" si="342"/>
        <v>0</v>
      </c>
    </row>
    <row r="644" spans="1:100" s="27" customFormat="1" ht="42.75" x14ac:dyDescent="0.25">
      <c r="A644" s="18"/>
      <c r="B644" s="918"/>
      <c r="C644" s="1068"/>
      <c r="D644" s="1071"/>
      <c r="E644" s="1074"/>
      <c r="F644" s="1077"/>
      <c r="G644" s="1023"/>
      <c r="H644" s="929">
        <v>167</v>
      </c>
      <c r="I644" s="928" t="s">
        <v>797</v>
      </c>
      <c r="J644" s="514">
        <v>15</v>
      </c>
      <c r="K644" s="514">
        <v>15</v>
      </c>
      <c r="L644" s="514">
        <v>15</v>
      </c>
      <c r="M644" s="1080"/>
      <c r="N644" s="1018"/>
      <c r="O644" s="1020"/>
      <c r="P644" s="929" t="s">
        <v>38</v>
      </c>
      <c r="Q644" s="25">
        <v>0</v>
      </c>
      <c r="R644" s="25"/>
      <c r="S644" s="25"/>
      <c r="T644" s="25">
        <v>0</v>
      </c>
      <c r="U644" s="25"/>
      <c r="V644" s="25"/>
      <c r="W644" s="25">
        <v>0</v>
      </c>
      <c r="X644" s="25"/>
      <c r="Y644" s="25"/>
      <c r="Z644" s="25">
        <v>0</v>
      </c>
      <c r="AA644" s="25"/>
      <c r="AB644" s="25"/>
      <c r="AC644" s="25">
        <v>0</v>
      </c>
      <c r="AD644" s="25"/>
      <c r="AE644" s="25"/>
      <c r="AF644" s="25">
        <v>0</v>
      </c>
      <c r="AG644" s="25"/>
      <c r="AH644" s="25"/>
      <c r="AI644" s="26">
        <v>1839000000</v>
      </c>
      <c r="AJ644" s="26">
        <v>1669103318</v>
      </c>
      <c r="AK644" s="26">
        <v>1669103318</v>
      </c>
      <c r="AL644" s="25">
        <v>300000000</v>
      </c>
      <c r="AM644" s="25">
        <v>300000000</v>
      </c>
      <c r="AN644" s="25">
        <v>300000000</v>
      </c>
      <c r="AO644" s="25">
        <f>4499205411-724090968</f>
        <v>3775114443</v>
      </c>
      <c r="AP644" s="25">
        <v>3775114443</v>
      </c>
      <c r="AQ644" s="25">
        <v>3775114443</v>
      </c>
      <c r="AR644" s="25">
        <f>3001376249+1273669715+224955668+1439897889+35000000</f>
        <v>5974899521</v>
      </c>
      <c r="AS644" s="25">
        <f>+[2]Salud!$P$92+[2]Salud!$P$96</f>
        <v>5446738940</v>
      </c>
      <c r="AT644" s="25">
        <f>+[2]Salud!$Q$92+[2]Salud!$Q$96</f>
        <v>4789088940</v>
      </c>
      <c r="AU644" s="25">
        <v>6783036833</v>
      </c>
      <c r="AV644" s="25">
        <v>6333390106</v>
      </c>
      <c r="AW644" s="25">
        <v>6333390106</v>
      </c>
      <c r="AX644" s="25"/>
      <c r="AY644" s="25"/>
      <c r="AZ644" s="25"/>
      <c r="BA644" s="25"/>
      <c r="BB644" s="25"/>
      <c r="BC644" s="25"/>
      <c r="BD644" s="25">
        <v>2846900107</v>
      </c>
      <c r="BE644" s="25">
        <v>2846899607</v>
      </c>
      <c r="BF644" s="25">
        <v>2846899607</v>
      </c>
      <c r="BG644" s="25"/>
      <c r="BH644" s="25"/>
      <c r="BI644" s="25"/>
      <c r="BJ644" s="25"/>
      <c r="BK644" s="25"/>
      <c r="BL644" s="25"/>
      <c r="BM644" s="25"/>
      <c r="BN644" s="25"/>
      <c r="BO644" s="25"/>
      <c r="BP644" s="25"/>
      <c r="BQ644" s="25"/>
      <c r="BR644" s="25"/>
      <c r="BS644" s="25"/>
      <c r="BT644" s="25"/>
      <c r="BU644" s="25"/>
      <c r="BV644" s="25"/>
      <c r="BW644" s="25"/>
      <c r="BX644" s="25"/>
      <c r="BY644" s="25">
        <v>0</v>
      </c>
      <c r="BZ644" s="25"/>
      <c r="CA644" s="25"/>
      <c r="CB644" s="25">
        <v>0</v>
      </c>
      <c r="CC644" s="25"/>
      <c r="CD644" s="25"/>
      <c r="CE644" s="110">
        <v>600000000</v>
      </c>
      <c r="CF644" s="110">
        <v>600000000</v>
      </c>
      <c r="CG644" s="110">
        <v>600000000</v>
      </c>
      <c r="CH644" s="37"/>
      <c r="CI644" s="37"/>
      <c r="CJ644" s="37"/>
      <c r="CK644" s="25">
        <v>0</v>
      </c>
      <c r="CL644" s="26"/>
      <c r="CM644" s="26"/>
      <c r="CN644" s="26">
        <v>1815360145</v>
      </c>
      <c r="CO644" s="26">
        <v>1362334639</v>
      </c>
      <c r="CP644" s="26">
        <v>1305291639</v>
      </c>
      <c r="CQ644" s="26"/>
      <c r="CR644" s="26"/>
      <c r="CS644" s="26"/>
      <c r="CT644" s="886">
        <f t="shared" si="342"/>
        <v>23934311049</v>
      </c>
      <c r="CU644" s="25">
        <f t="shared" si="342"/>
        <v>22333581053</v>
      </c>
      <c r="CV644" s="25">
        <f t="shared" si="342"/>
        <v>21618888053</v>
      </c>
    </row>
    <row r="645" spans="1:100" ht="81.75" customHeight="1" x14ac:dyDescent="0.25">
      <c r="A645" s="18"/>
      <c r="B645" s="918"/>
      <c r="C645" s="1069"/>
      <c r="D645" s="1072"/>
      <c r="E645" s="1075"/>
      <c r="F645" s="1078"/>
      <c r="G645" s="1022"/>
      <c r="H645" s="4">
        <v>168</v>
      </c>
      <c r="I645" s="5" t="s">
        <v>798</v>
      </c>
      <c r="J645" s="518">
        <v>7</v>
      </c>
      <c r="K645" s="514">
        <v>14</v>
      </c>
      <c r="L645" s="514">
        <v>14</v>
      </c>
      <c r="M645" s="1081"/>
      <c r="N645" s="1019"/>
      <c r="O645" s="1013"/>
      <c r="P645" s="929" t="s">
        <v>38</v>
      </c>
      <c r="Q645" s="25">
        <v>0</v>
      </c>
      <c r="R645" s="25"/>
      <c r="S645" s="25"/>
      <c r="T645" s="25">
        <v>0</v>
      </c>
      <c r="U645" s="25"/>
      <c r="V645" s="25"/>
      <c r="W645" s="25">
        <v>0</v>
      </c>
      <c r="X645" s="25"/>
      <c r="Y645" s="25"/>
      <c r="Z645" s="25">
        <v>0</v>
      </c>
      <c r="AA645" s="25"/>
      <c r="AB645" s="25"/>
      <c r="AC645" s="25">
        <v>0</v>
      </c>
      <c r="AD645" s="25"/>
      <c r="AE645" s="25"/>
      <c r="AF645" s="250">
        <v>0</v>
      </c>
      <c r="AG645" s="250"/>
      <c r="AH645" s="250"/>
      <c r="AI645" s="250">
        <v>0</v>
      </c>
      <c r="AJ645" s="250"/>
      <c r="AK645" s="250"/>
      <c r="AL645" s="250"/>
      <c r="AM645" s="250"/>
      <c r="AN645" s="250"/>
      <c r="AO645" s="250"/>
      <c r="AP645" s="250"/>
      <c r="AQ645" s="250"/>
      <c r="AR645" s="250"/>
      <c r="AS645" s="250"/>
      <c r="AT645" s="250"/>
      <c r="AU645" s="250"/>
      <c r="AV645" s="250"/>
      <c r="AW645" s="250"/>
      <c r="AX645" s="250"/>
      <c r="AY645" s="250"/>
      <c r="AZ645" s="250"/>
      <c r="BA645" s="250">
        <v>0</v>
      </c>
      <c r="BB645" s="250"/>
      <c r="BC645" s="250"/>
      <c r="BD645" s="25">
        <v>0</v>
      </c>
      <c r="BE645" s="25"/>
      <c r="BF645" s="25"/>
      <c r="BG645" s="250"/>
      <c r="BH645" s="250"/>
      <c r="BI645" s="250"/>
      <c r="BJ645" s="250"/>
      <c r="BK645" s="250"/>
      <c r="BL645" s="250"/>
      <c r="BM645" s="250"/>
      <c r="BN645" s="250"/>
      <c r="BO645" s="250"/>
      <c r="BP645" s="250"/>
      <c r="BQ645" s="250"/>
      <c r="BR645" s="250"/>
      <c r="BS645" s="250"/>
      <c r="BT645" s="250"/>
      <c r="BU645" s="250"/>
      <c r="BV645" s="250"/>
      <c r="BW645" s="250"/>
      <c r="BX645" s="250"/>
      <c r="BY645" s="25">
        <v>0</v>
      </c>
      <c r="BZ645" s="25"/>
      <c r="CA645" s="25"/>
      <c r="CB645" s="319">
        <v>0</v>
      </c>
      <c r="CC645" s="319"/>
      <c r="CD645" s="319"/>
      <c r="CE645" s="496">
        <v>0</v>
      </c>
      <c r="CF645" s="496"/>
      <c r="CG645" s="496"/>
      <c r="CH645" s="497"/>
      <c r="CI645" s="497"/>
      <c r="CJ645" s="497"/>
      <c r="CK645" s="319">
        <v>0</v>
      </c>
      <c r="CL645" s="288"/>
      <c r="CM645" s="288"/>
      <c r="CN645" s="288">
        <v>0</v>
      </c>
      <c r="CO645" s="288"/>
      <c r="CP645" s="288"/>
      <c r="CQ645" s="288"/>
      <c r="CR645" s="288"/>
      <c r="CS645" s="288"/>
      <c r="CT645" s="886">
        <f t="shared" si="342"/>
        <v>0</v>
      </c>
      <c r="CU645" s="25">
        <f t="shared" si="342"/>
        <v>0</v>
      </c>
      <c r="CV645" s="25">
        <f t="shared" si="342"/>
        <v>0</v>
      </c>
    </row>
    <row r="646" spans="1:100" ht="15" x14ac:dyDescent="0.25">
      <c r="A646" s="18"/>
      <c r="B646" s="918"/>
      <c r="C646" s="927"/>
      <c r="D646" s="153"/>
      <c r="E646" s="581"/>
      <c r="F646" s="581"/>
      <c r="G646" s="154"/>
      <c r="H646" s="155"/>
      <c r="I646" s="154"/>
      <c r="J646" s="519"/>
      <c r="K646" s="519"/>
      <c r="L646" s="519"/>
      <c r="M646" s="519"/>
      <c r="N646" s="157"/>
      <c r="O646" s="154"/>
      <c r="P646" s="155"/>
      <c r="Q646" s="158">
        <f>SUM(Q643:Q645)</f>
        <v>0</v>
      </c>
      <c r="R646" s="158">
        <f>SUM(R643:R645)</f>
        <v>0</v>
      </c>
      <c r="S646" s="158">
        <f>SUM(S643:S645)</f>
        <v>0</v>
      </c>
      <c r="T646" s="158">
        <f>SUM(T643:T645)</f>
        <v>0</v>
      </c>
      <c r="U646" s="158">
        <f t="shared" ref="U646:CF646" si="343">SUM(U643:U645)</f>
        <v>0</v>
      </c>
      <c r="V646" s="158">
        <f t="shared" si="343"/>
        <v>0</v>
      </c>
      <c r="W646" s="158">
        <f t="shared" si="343"/>
        <v>0</v>
      </c>
      <c r="X646" s="158">
        <f t="shared" si="343"/>
        <v>0</v>
      </c>
      <c r="Y646" s="158">
        <f t="shared" si="343"/>
        <v>0</v>
      </c>
      <c r="Z646" s="158">
        <f t="shared" si="343"/>
        <v>0</v>
      </c>
      <c r="AA646" s="158">
        <f t="shared" si="343"/>
        <v>0</v>
      </c>
      <c r="AB646" s="158">
        <f t="shared" si="343"/>
        <v>0</v>
      </c>
      <c r="AC646" s="158">
        <f t="shared" si="343"/>
        <v>0</v>
      </c>
      <c r="AD646" s="158">
        <f t="shared" si="343"/>
        <v>0</v>
      </c>
      <c r="AE646" s="158">
        <f t="shared" si="343"/>
        <v>0</v>
      </c>
      <c r="AF646" s="158">
        <f t="shared" si="343"/>
        <v>0</v>
      </c>
      <c r="AG646" s="158">
        <f t="shared" si="343"/>
        <v>0</v>
      </c>
      <c r="AH646" s="158">
        <f t="shared" si="343"/>
        <v>0</v>
      </c>
      <c r="AI646" s="158">
        <f t="shared" si="343"/>
        <v>1839000000</v>
      </c>
      <c r="AJ646" s="158">
        <f t="shared" si="343"/>
        <v>1669103318</v>
      </c>
      <c r="AK646" s="158">
        <f t="shared" si="343"/>
        <v>1669103318</v>
      </c>
      <c r="AL646" s="158">
        <f t="shared" si="343"/>
        <v>300000000</v>
      </c>
      <c r="AM646" s="158">
        <f t="shared" si="343"/>
        <v>300000000</v>
      </c>
      <c r="AN646" s="158">
        <f t="shared" si="343"/>
        <v>300000000</v>
      </c>
      <c r="AO646" s="158">
        <f t="shared" si="343"/>
        <v>3775114443</v>
      </c>
      <c r="AP646" s="158">
        <f t="shared" si="343"/>
        <v>3775114443</v>
      </c>
      <c r="AQ646" s="158">
        <f t="shared" si="343"/>
        <v>3775114443</v>
      </c>
      <c r="AR646" s="158">
        <f t="shared" si="343"/>
        <v>5974899521</v>
      </c>
      <c r="AS646" s="158">
        <f t="shared" si="343"/>
        <v>5446738940</v>
      </c>
      <c r="AT646" s="158">
        <f t="shared" si="343"/>
        <v>4789088940</v>
      </c>
      <c r="AU646" s="158">
        <f t="shared" si="343"/>
        <v>6783036833</v>
      </c>
      <c r="AV646" s="158">
        <f t="shared" si="343"/>
        <v>6333390106</v>
      </c>
      <c r="AW646" s="158">
        <f t="shared" si="343"/>
        <v>6333390106</v>
      </c>
      <c r="AX646" s="158">
        <f t="shared" si="343"/>
        <v>0</v>
      </c>
      <c r="AY646" s="158">
        <f t="shared" si="343"/>
        <v>0</v>
      </c>
      <c r="AZ646" s="158">
        <f t="shared" si="343"/>
        <v>0</v>
      </c>
      <c r="BA646" s="158">
        <f t="shared" si="343"/>
        <v>0</v>
      </c>
      <c r="BB646" s="158">
        <f t="shared" si="343"/>
        <v>0</v>
      </c>
      <c r="BC646" s="158">
        <f t="shared" si="343"/>
        <v>0</v>
      </c>
      <c r="BD646" s="158">
        <f t="shared" si="343"/>
        <v>2846900107</v>
      </c>
      <c r="BE646" s="158">
        <f t="shared" si="343"/>
        <v>2846899607</v>
      </c>
      <c r="BF646" s="158">
        <f t="shared" si="343"/>
        <v>2846899607</v>
      </c>
      <c r="BG646" s="158">
        <f t="shared" si="343"/>
        <v>0</v>
      </c>
      <c r="BH646" s="158">
        <f t="shared" si="343"/>
        <v>0</v>
      </c>
      <c r="BI646" s="158">
        <f t="shared" si="343"/>
        <v>0</v>
      </c>
      <c r="BJ646" s="158">
        <f t="shared" si="343"/>
        <v>0</v>
      </c>
      <c r="BK646" s="158">
        <f t="shared" si="343"/>
        <v>0</v>
      </c>
      <c r="BL646" s="158">
        <f t="shared" si="343"/>
        <v>0</v>
      </c>
      <c r="BM646" s="158">
        <f t="shared" si="343"/>
        <v>0</v>
      </c>
      <c r="BN646" s="158">
        <f t="shared" si="343"/>
        <v>0</v>
      </c>
      <c r="BO646" s="158">
        <f t="shared" si="343"/>
        <v>0</v>
      </c>
      <c r="BP646" s="158">
        <f t="shared" si="343"/>
        <v>0</v>
      </c>
      <c r="BQ646" s="158">
        <f t="shared" si="343"/>
        <v>0</v>
      </c>
      <c r="BR646" s="158">
        <f t="shared" si="343"/>
        <v>0</v>
      </c>
      <c r="BS646" s="158">
        <f t="shared" si="343"/>
        <v>0</v>
      </c>
      <c r="BT646" s="158">
        <f t="shared" si="343"/>
        <v>0</v>
      </c>
      <c r="BU646" s="158">
        <f t="shared" si="343"/>
        <v>0</v>
      </c>
      <c r="BV646" s="158">
        <f t="shared" si="343"/>
        <v>0</v>
      </c>
      <c r="BW646" s="158">
        <f t="shared" si="343"/>
        <v>0</v>
      </c>
      <c r="BX646" s="158">
        <f t="shared" si="343"/>
        <v>0</v>
      </c>
      <c r="BY646" s="158">
        <f t="shared" si="343"/>
        <v>0</v>
      </c>
      <c r="BZ646" s="158">
        <f t="shared" si="343"/>
        <v>0</v>
      </c>
      <c r="CA646" s="158">
        <f t="shared" si="343"/>
        <v>0</v>
      </c>
      <c r="CB646" s="158">
        <f t="shared" si="343"/>
        <v>0</v>
      </c>
      <c r="CC646" s="158">
        <f t="shared" si="343"/>
        <v>0</v>
      </c>
      <c r="CD646" s="158">
        <f t="shared" si="343"/>
        <v>0</v>
      </c>
      <c r="CE646" s="158">
        <f t="shared" si="343"/>
        <v>600000000</v>
      </c>
      <c r="CF646" s="158">
        <f t="shared" si="343"/>
        <v>600000000</v>
      </c>
      <c r="CG646" s="158">
        <f t="shared" ref="CG646:CS646" si="344">SUM(CG643:CG645)</f>
        <v>600000000</v>
      </c>
      <c r="CH646" s="158">
        <f t="shared" si="344"/>
        <v>0</v>
      </c>
      <c r="CI646" s="158">
        <f t="shared" si="344"/>
        <v>0</v>
      </c>
      <c r="CJ646" s="158">
        <f t="shared" si="344"/>
        <v>0</v>
      </c>
      <c r="CK646" s="158">
        <f t="shared" si="344"/>
        <v>0</v>
      </c>
      <c r="CL646" s="158">
        <f t="shared" si="344"/>
        <v>0</v>
      </c>
      <c r="CM646" s="158">
        <f t="shared" si="344"/>
        <v>0</v>
      </c>
      <c r="CN646" s="158">
        <f t="shared" si="344"/>
        <v>1815360145</v>
      </c>
      <c r="CO646" s="158">
        <f t="shared" si="344"/>
        <v>1362334639</v>
      </c>
      <c r="CP646" s="158">
        <f t="shared" si="344"/>
        <v>1305291639</v>
      </c>
      <c r="CQ646" s="158">
        <f t="shared" si="344"/>
        <v>0</v>
      </c>
      <c r="CR646" s="158">
        <f t="shared" si="344"/>
        <v>0</v>
      </c>
      <c r="CS646" s="158">
        <f t="shared" si="344"/>
        <v>0</v>
      </c>
      <c r="CT646" s="394">
        <f>SUM(CT643:CT645)</f>
        <v>23934311049</v>
      </c>
      <c r="CU646" s="158">
        <f>SUM(CU643:CU645)</f>
        <v>22333581053</v>
      </c>
      <c r="CV646" s="158">
        <f>SUM(CV643:CV645)</f>
        <v>21618888053</v>
      </c>
    </row>
    <row r="647" spans="1:100" ht="15" x14ac:dyDescent="0.25">
      <c r="A647" s="18"/>
      <c r="B647" s="918"/>
      <c r="C647" s="949"/>
      <c r="D647" s="177"/>
      <c r="E647" s="949"/>
      <c r="F647" s="949"/>
      <c r="G647" s="177"/>
      <c r="H647" s="949"/>
      <c r="I647" s="177"/>
      <c r="J647" s="949"/>
      <c r="K647" s="949"/>
      <c r="L647" s="930"/>
      <c r="M647" s="930"/>
      <c r="N647" s="230"/>
      <c r="O647" s="221"/>
      <c r="P647" s="949"/>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0"/>
      <c r="BS647" s="180"/>
      <c r="BT647" s="180"/>
      <c r="BU647" s="180"/>
      <c r="BV647" s="180"/>
      <c r="BW647" s="180"/>
      <c r="BX647" s="180"/>
      <c r="BY647" s="180"/>
      <c r="BZ647" s="180"/>
      <c r="CA647" s="180"/>
      <c r="CB647" s="180"/>
      <c r="CC647" s="180"/>
      <c r="CD647" s="180"/>
      <c r="CE647" s="182"/>
      <c r="CF647" s="182"/>
      <c r="CG647" s="182"/>
      <c r="CH647" s="183"/>
      <c r="CI647" s="183"/>
      <c r="CJ647" s="183"/>
      <c r="CK647" s="180"/>
      <c r="CL647" s="180"/>
      <c r="CM647" s="180"/>
      <c r="CN647" s="180"/>
      <c r="CO647" s="180"/>
      <c r="CP647" s="180"/>
      <c r="CQ647" s="180"/>
      <c r="CR647" s="180"/>
      <c r="CS647" s="180"/>
      <c r="CT647" s="902"/>
      <c r="CU647" s="765"/>
      <c r="CV647" s="765"/>
    </row>
    <row r="648" spans="1:100" ht="15" x14ac:dyDescent="0.25">
      <c r="A648" s="18"/>
      <c r="B648" s="918"/>
      <c r="C648" s="949"/>
      <c r="D648" s="153"/>
      <c r="E648" s="581"/>
      <c r="F648" s="581"/>
      <c r="G648" s="339">
        <v>51</v>
      </c>
      <c r="H648" s="189" t="s">
        <v>799</v>
      </c>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c r="BU648" s="189"/>
      <c r="BV648" s="189"/>
      <c r="BW648" s="189"/>
      <c r="BX648" s="189"/>
      <c r="BY648" s="189"/>
      <c r="BZ648" s="189"/>
      <c r="CA648" s="189"/>
      <c r="CB648" s="189"/>
      <c r="CC648" s="189"/>
      <c r="CD648" s="189"/>
      <c r="CE648" s="190"/>
      <c r="CF648" s="190"/>
      <c r="CG648" s="190"/>
      <c r="CH648" s="189"/>
      <c r="CI648" s="189"/>
      <c r="CJ648" s="189"/>
      <c r="CK648" s="189"/>
      <c r="CL648" s="189"/>
      <c r="CM648" s="189"/>
      <c r="CN648" s="189"/>
      <c r="CO648" s="189"/>
      <c r="CP648" s="189"/>
      <c r="CQ648" s="189"/>
      <c r="CR648" s="189"/>
      <c r="CS648" s="189"/>
      <c r="CT648" s="673"/>
      <c r="CU648" s="522"/>
      <c r="CV648" s="522"/>
    </row>
    <row r="649" spans="1:100" ht="88.5" customHeight="1" x14ac:dyDescent="0.25">
      <c r="A649" s="18"/>
      <c r="B649" s="918"/>
      <c r="C649" s="927" t="s">
        <v>702</v>
      </c>
      <c r="D649" s="940" t="s">
        <v>800</v>
      </c>
      <c r="E649" s="960">
        <v>0.6</v>
      </c>
      <c r="F649" s="960">
        <v>1</v>
      </c>
      <c r="G649" s="928"/>
      <c r="H649" s="929">
        <v>169</v>
      </c>
      <c r="I649" s="928" t="s">
        <v>801</v>
      </c>
      <c r="J649" s="514">
        <v>8</v>
      </c>
      <c r="K649" s="514">
        <v>12</v>
      </c>
      <c r="L649" s="514">
        <v>12</v>
      </c>
      <c r="M649" s="514" t="s">
        <v>670</v>
      </c>
      <c r="N649" s="36" t="s">
        <v>802</v>
      </c>
      <c r="O649" s="928" t="s">
        <v>803</v>
      </c>
      <c r="P649" s="929" t="s">
        <v>38</v>
      </c>
      <c r="Q649" s="319">
        <v>0</v>
      </c>
      <c r="R649" s="319"/>
      <c r="S649" s="319"/>
      <c r="T649" s="319">
        <v>0</v>
      </c>
      <c r="U649" s="319"/>
      <c r="V649" s="319"/>
      <c r="W649" s="319">
        <v>0</v>
      </c>
      <c r="X649" s="319"/>
      <c r="Y649" s="319"/>
      <c r="Z649" s="319">
        <v>0</v>
      </c>
      <c r="AA649" s="319"/>
      <c r="AB649" s="319"/>
      <c r="AC649" s="319">
        <v>0</v>
      </c>
      <c r="AD649" s="319"/>
      <c r="AE649" s="319"/>
      <c r="AF649" s="319">
        <v>0</v>
      </c>
      <c r="AG649" s="319"/>
      <c r="AH649" s="319"/>
      <c r="AI649" s="319">
        <v>0</v>
      </c>
      <c r="AJ649" s="319"/>
      <c r="AK649" s="319"/>
      <c r="AL649" s="319"/>
      <c r="AM649" s="319"/>
      <c r="AN649" s="319"/>
      <c r="AO649" s="319"/>
      <c r="AP649" s="319"/>
      <c r="AQ649" s="319"/>
      <c r="AR649" s="250"/>
      <c r="AS649" s="250"/>
      <c r="AT649" s="250"/>
      <c r="AU649" s="3">
        <v>44149920</v>
      </c>
      <c r="AV649" s="3">
        <v>43560000</v>
      </c>
      <c r="AW649" s="3">
        <v>43560000</v>
      </c>
      <c r="AX649" s="3"/>
      <c r="AY649" s="3"/>
      <c r="AZ649" s="3"/>
      <c r="BA649" s="250">
        <v>0</v>
      </c>
      <c r="BB649" s="250"/>
      <c r="BC649" s="250"/>
      <c r="BD649" s="319">
        <v>0</v>
      </c>
      <c r="BE649" s="319"/>
      <c r="BF649" s="319"/>
      <c r="BG649" s="250"/>
      <c r="BH649" s="250"/>
      <c r="BI649" s="250"/>
      <c r="BJ649" s="250"/>
      <c r="BK649" s="250"/>
      <c r="BL649" s="250"/>
      <c r="BM649" s="250"/>
      <c r="BN649" s="250"/>
      <c r="BO649" s="250"/>
      <c r="BP649" s="250"/>
      <c r="BQ649" s="250"/>
      <c r="BR649" s="250"/>
      <c r="BS649" s="250"/>
      <c r="BT649" s="250"/>
      <c r="BU649" s="250"/>
      <c r="BV649" s="250"/>
      <c r="BW649" s="250"/>
      <c r="BX649" s="250"/>
      <c r="BY649" s="319">
        <v>0</v>
      </c>
      <c r="BZ649" s="319"/>
      <c r="CA649" s="319"/>
      <c r="CB649" s="319">
        <v>0</v>
      </c>
      <c r="CC649" s="319"/>
      <c r="CD649" s="319"/>
      <c r="CE649" s="496">
        <v>0</v>
      </c>
      <c r="CF649" s="496"/>
      <c r="CG649" s="496"/>
      <c r="CH649" s="497"/>
      <c r="CI649" s="497"/>
      <c r="CJ649" s="497"/>
      <c r="CK649" s="319">
        <v>0</v>
      </c>
      <c r="CL649" s="288"/>
      <c r="CM649" s="288"/>
      <c r="CN649" s="288">
        <v>0</v>
      </c>
      <c r="CO649" s="288"/>
      <c r="CP649" s="288"/>
      <c r="CQ649" s="288"/>
      <c r="CR649" s="288"/>
      <c r="CS649" s="288"/>
      <c r="CT649" s="886">
        <f>Q649+T649+W649+Z649+AC649+AF649+AI649+AL649+AO649+AR649+AU649+AX649+BA649+BD649+BG649+BJ649+BM649+BP649+BS649+BV649+BY649+CB649+CE649+CH649+CK649+CQ649+CN649</f>
        <v>44149920</v>
      </c>
      <c r="CU649" s="25">
        <f>R649+U649+X649+AA649+AD649+AG649+AJ649+AM649+AP649+AS649+AV649+AY649+BB649+BE649+BH649+BK649+BN649+BQ649+BT649+BW649+BZ649+CC649+CF649+CI649+CL649+CR649+CO649</f>
        <v>43560000</v>
      </c>
      <c r="CV649" s="25">
        <f>S649+V649+Y649+AB649+AE649+AH649+AK649+AN649+AQ649+AT649+AW649+AZ649+BC649+BF649+BI649+BL649+BO649+BR649+BU649+BX649+CA649+CD649+CG649+CJ649+CM649+CS649+CP649</f>
        <v>43560000</v>
      </c>
    </row>
    <row r="650" spans="1:100" ht="15" x14ac:dyDescent="0.25">
      <c r="A650" s="18"/>
      <c r="B650" s="918"/>
      <c r="C650" s="927"/>
      <c r="D650" s="153"/>
      <c r="E650" s="581"/>
      <c r="F650" s="581"/>
      <c r="G650" s="154"/>
      <c r="H650" s="155"/>
      <c r="I650" s="154"/>
      <c r="J650" s="519"/>
      <c r="K650" s="519"/>
      <c r="L650" s="519"/>
      <c r="M650" s="519"/>
      <c r="N650" s="157"/>
      <c r="O650" s="154"/>
      <c r="P650" s="155"/>
      <c r="Q650" s="158">
        <f>Q649</f>
        <v>0</v>
      </c>
      <c r="R650" s="158">
        <f>R649</f>
        <v>0</v>
      </c>
      <c r="S650" s="158">
        <f>S649</f>
        <v>0</v>
      </c>
      <c r="T650" s="158">
        <f>T649</f>
        <v>0</v>
      </c>
      <c r="U650" s="158">
        <f t="shared" ref="U650:CF650" si="345">U649</f>
        <v>0</v>
      </c>
      <c r="V650" s="158">
        <f t="shared" si="345"/>
        <v>0</v>
      </c>
      <c r="W650" s="158">
        <f t="shared" si="345"/>
        <v>0</v>
      </c>
      <c r="X650" s="158">
        <f t="shared" si="345"/>
        <v>0</v>
      </c>
      <c r="Y650" s="158">
        <f t="shared" si="345"/>
        <v>0</v>
      </c>
      <c r="Z650" s="158">
        <f t="shared" si="345"/>
        <v>0</v>
      </c>
      <c r="AA650" s="158">
        <f t="shared" si="345"/>
        <v>0</v>
      </c>
      <c r="AB650" s="158">
        <f t="shared" si="345"/>
        <v>0</v>
      </c>
      <c r="AC650" s="158">
        <f t="shared" si="345"/>
        <v>0</v>
      </c>
      <c r="AD650" s="158">
        <f t="shared" si="345"/>
        <v>0</v>
      </c>
      <c r="AE650" s="158">
        <f t="shared" si="345"/>
        <v>0</v>
      </c>
      <c r="AF650" s="158">
        <f t="shared" si="345"/>
        <v>0</v>
      </c>
      <c r="AG650" s="158">
        <f t="shared" si="345"/>
        <v>0</v>
      </c>
      <c r="AH650" s="158">
        <f t="shared" si="345"/>
        <v>0</v>
      </c>
      <c r="AI650" s="158">
        <f t="shared" si="345"/>
        <v>0</v>
      </c>
      <c r="AJ650" s="158">
        <f t="shared" si="345"/>
        <v>0</v>
      </c>
      <c r="AK650" s="158">
        <f t="shared" si="345"/>
        <v>0</v>
      </c>
      <c r="AL650" s="158">
        <f t="shared" si="345"/>
        <v>0</v>
      </c>
      <c r="AM650" s="158">
        <f t="shared" si="345"/>
        <v>0</v>
      </c>
      <c r="AN650" s="158">
        <f t="shared" si="345"/>
        <v>0</v>
      </c>
      <c r="AO650" s="158">
        <f t="shared" si="345"/>
        <v>0</v>
      </c>
      <c r="AP650" s="158">
        <f t="shared" si="345"/>
        <v>0</v>
      </c>
      <c r="AQ650" s="158">
        <f t="shared" si="345"/>
        <v>0</v>
      </c>
      <c r="AR650" s="158">
        <f t="shared" si="345"/>
        <v>0</v>
      </c>
      <c r="AS650" s="158">
        <f t="shared" si="345"/>
        <v>0</v>
      </c>
      <c r="AT650" s="158">
        <f t="shared" si="345"/>
        <v>0</v>
      </c>
      <c r="AU650" s="158">
        <f t="shared" si="345"/>
        <v>44149920</v>
      </c>
      <c r="AV650" s="158">
        <f t="shared" si="345"/>
        <v>43560000</v>
      </c>
      <c r="AW650" s="158">
        <f t="shared" si="345"/>
        <v>43560000</v>
      </c>
      <c r="AX650" s="158">
        <f t="shared" si="345"/>
        <v>0</v>
      </c>
      <c r="AY650" s="158">
        <f t="shared" si="345"/>
        <v>0</v>
      </c>
      <c r="AZ650" s="158">
        <f t="shared" si="345"/>
        <v>0</v>
      </c>
      <c r="BA650" s="158">
        <f t="shared" si="345"/>
        <v>0</v>
      </c>
      <c r="BB650" s="158">
        <f t="shared" si="345"/>
        <v>0</v>
      </c>
      <c r="BC650" s="158">
        <f t="shared" si="345"/>
        <v>0</v>
      </c>
      <c r="BD650" s="158">
        <f t="shared" si="345"/>
        <v>0</v>
      </c>
      <c r="BE650" s="158">
        <f t="shared" si="345"/>
        <v>0</v>
      </c>
      <c r="BF650" s="158">
        <f t="shared" si="345"/>
        <v>0</v>
      </c>
      <c r="BG650" s="158">
        <f t="shared" si="345"/>
        <v>0</v>
      </c>
      <c r="BH650" s="158">
        <f t="shared" si="345"/>
        <v>0</v>
      </c>
      <c r="BI650" s="158">
        <f t="shared" si="345"/>
        <v>0</v>
      </c>
      <c r="BJ650" s="158">
        <f t="shared" si="345"/>
        <v>0</v>
      </c>
      <c r="BK650" s="158">
        <f t="shared" si="345"/>
        <v>0</v>
      </c>
      <c r="BL650" s="158">
        <f t="shared" si="345"/>
        <v>0</v>
      </c>
      <c r="BM650" s="158">
        <f t="shared" si="345"/>
        <v>0</v>
      </c>
      <c r="BN650" s="158">
        <f t="shared" si="345"/>
        <v>0</v>
      </c>
      <c r="BO650" s="158">
        <f t="shared" si="345"/>
        <v>0</v>
      </c>
      <c r="BP650" s="158">
        <f t="shared" si="345"/>
        <v>0</v>
      </c>
      <c r="BQ650" s="158">
        <f t="shared" si="345"/>
        <v>0</v>
      </c>
      <c r="BR650" s="158">
        <f t="shared" si="345"/>
        <v>0</v>
      </c>
      <c r="BS650" s="158">
        <f t="shared" si="345"/>
        <v>0</v>
      </c>
      <c r="BT650" s="158">
        <f t="shared" si="345"/>
        <v>0</v>
      </c>
      <c r="BU650" s="158">
        <f t="shared" si="345"/>
        <v>0</v>
      </c>
      <c r="BV650" s="158">
        <f t="shared" si="345"/>
        <v>0</v>
      </c>
      <c r="BW650" s="158">
        <f t="shared" si="345"/>
        <v>0</v>
      </c>
      <c r="BX650" s="158">
        <f t="shared" si="345"/>
        <v>0</v>
      </c>
      <c r="BY650" s="158">
        <f t="shared" si="345"/>
        <v>0</v>
      </c>
      <c r="BZ650" s="158">
        <f t="shared" si="345"/>
        <v>0</v>
      </c>
      <c r="CA650" s="158">
        <f t="shared" si="345"/>
        <v>0</v>
      </c>
      <c r="CB650" s="158">
        <f t="shared" si="345"/>
        <v>0</v>
      </c>
      <c r="CC650" s="158">
        <f t="shared" si="345"/>
        <v>0</v>
      </c>
      <c r="CD650" s="158">
        <f t="shared" si="345"/>
        <v>0</v>
      </c>
      <c r="CE650" s="158">
        <f t="shared" si="345"/>
        <v>0</v>
      </c>
      <c r="CF650" s="158">
        <f t="shared" si="345"/>
        <v>0</v>
      </c>
      <c r="CG650" s="158">
        <f t="shared" ref="CG650:CS650" si="346">CG649</f>
        <v>0</v>
      </c>
      <c r="CH650" s="158">
        <f t="shared" si="346"/>
        <v>0</v>
      </c>
      <c r="CI650" s="158">
        <f t="shared" si="346"/>
        <v>0</v>
      </c>
      <c r="CJ650" s="158">
        <f t="shared" si="346"/>
        <v>0</v>
      </c>
      <c r="CK650" s="158">
        <f t="shared" si="346"/>
        <v>0</v>
      </c>
      <c r="CL650" s="158">
        <f t="shared" si="346"/>
        <v>0</v>
      </c>
      <c r="CM650" s="158">
        <f t="shared" si="346"/>
        <v>0</v>
      </c>
      <c r="CN650" s="158">
        <f t="shared" si="346"/>
        <v>0</v>
      </c>
      <c r="CO650" s="158">
        <f t="shared" si="346"/>
        <v>0</v>
      </c>
      <c r="CP650" s="158">
        <f t="shared" si="346"/>
        <v>0</v>
      </c>
      <c r="CQ650" s="158">
        <f t="shared" si="346"/>
        <v>0</v>
      </c>
      <c r="CR650" s="158">
        <f t="shared" si="346"/>
        <v>0</v>
      </c>
      <c r="CS650" s="158">
        <f t="shared" si="346"/>
        <v>0</v>
      </c>
      <c r="CT650" s="394">
        <f>CT649</f>
        <v>44149920</v>
      </c>
      <c r="CU650" s="158">
        <f>CU649</f>
        <v>43560000</v>
      </c>
      <c r="CV650" s="158">
        <f>CV649</f>
        <v>43560000</v>
      </c>
    </row>
    <row r="651" spans="1:100" ht="15" x14ac:dyDescent="0.25">
      <c r="A651" s="18"/>
      <c r="B651" s="918"/>
      <c r="C651" s="949"/>
      <c r="D651" s="177"/>
      <c r="E651" s="949"/>
      <c r="F651" s="949"/>
      <c r="G651" s="177"/>
      <c r="H651" s="949"/>
      <c r="I651" s="177"/>
      <c r="J651" s="949"/>
      <c r="K651" s="949"/>
      <c r="L651" s="930"/>
      <c r="M651" s="930"/>
      <c r="N651" s="230"/>
      <c r="O651" s="221"/>
      <c r="P651" s="949"/>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c r="AU651" s="180"/>
      <c r="AV651" s="180"/>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0"/>
      <c r="BS651" s="180"/>
      <c r="BT651" s="180"/>
      <c r="BU651" s="180"/>
      <c r="BV651" s="180"/>
      <c r="BW651" s="180"/>
      <c r="BX651" s="180"/>
      <c r="BY651" s="180"/>
      <c r="BZ651" s="180"/>
      <c r="CA651" s="180"/>
      <c r="CB651" s="180"/>
      <c r="CC651" s="180"/>
      <c r="CD651" s="180"/>
      <c r="CE651" s="182"/>
      <c r="CF651" s="182"/>
      <c r="CG651" s="182"/>
      <c r="CH651" s="183"/>
      <c r="CI651" s="183"/>
      <c r="CJ651" s="183"/>
      <c r="CK651" s="180"/>
      <c r="CL651" s="180"/>
      <c r="CM651" s="180"/>
      <c r="CN651" s="180"/>
      <c r="CO651" s="180"/>
      <c r="CP651" s="180"/>
      <c r="CQ651" s="180"/>
      <c r="CR651" s="180"/>
      <c r="CS651" s="180"/>
      <c r="CT651" s="886"/>
      <c r="CU651" s="516"/>
      <c r="CV651" s="516"/>
    </row>
    <row r="652" spans="1:100" ht="15" x14ac:dyDescent="0.25">
      <c r="A652" s="18"/>
      <c r="B652" s="918"/>
      <c r="C652" s="949"/>
      <c r="D652" s="153"/>
      <c r="E652" s="581"/>
      <c r="F652" s="581"/>
      <c r="G652" s="339">
        <v>52</v>
      </c>
      <c r="H652" s="189" t="s">
        <v>804</v>
      </c>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c r="BU652" s="189"/>
      <c r="BV652" s="189"/>
      <c r="BW652" s="189"/>
      <c r="BX652" s="189"/>
      <c r="BY652" s="189"/>
      <c r="BZ652" s="189"/>
      <c r="CA652" s="189"/>
      <c r="CB652" s="189"/>
      <c r="CC652" s="189"/>
      <c r="CD652" s="189"/>
      <c r="CE652" s="190"/>
      <c r="CF652" s="190"/>
      <c r="CG652" s="190"/>
      <c r="CH652" s="189"/>
      <c r="CI652" s="189"/>
      <c r="CJ652" s="189"/>
      <c r="CK652" s="189"/>
      <c r="CL652" s="189"/>
      <c r="CM652" s="189"/>
      <c r="CN652" s="189"/>
      <c r="CO652" s="189"/>
      <c r="CP652" s="189"/>
      <c r="CQ652" s="189"/>
      <c r="CR652" s="189"/>
      <c r="CS652" s="189"/>
      <c r="CT652" s="673"/>
      <c r="CU652" s="522"/>
      <c r="CV652" s="522"/>
    </row>
    <row r="653" spans="1:100" ht="75.75" customHeight="1" x14ac:dyDescent="0.25">
      <c r="A653" s="18"/>
      <c r="B653" s="918"/>
      <c r="C653" s="1032">
        <v>28</v>
      </c>
      <c r="D653" s="1034" t="s">
        <v>805</v>
      </c>
      <c r="E653" s="1036">
        <v>0.5</v>
      </c>
      <c r="F653" s="1036">
        <v>1</v>
      </c>
      <c r="G653" s="22"/>
      <c r="H653" s="929">
        <v>170</v>
      </c>
      <c r="I653" s="928" t="s">
        <v>806</v>
      </c>
      <c r="J653" s="508">
        <v>14</v>
      </c>
      <c r="K653" s="508">
        <v>14</v>
      </c>
      <c r="L653" s="523">
        <v>5</v>
      </c>
      <c r="M653" s="1065" t="s">
        <v>670</v>
      </c>
      <c r="N653" s="1017" t="s">
        <v>807</v>
      </c>
      <c r="O653" s="1012" t="s">
        <v>808</v>
      </c>
      <c r="P653" s="929" t="s">
        <v>38</v>
      </c>
      <c r="Q653" s="25">
        <v>0</v>
      </c>
      <c r="R653" s="25"/>
      <c r="S653" s="25"/>
      <c r="T653" s="25">
        <v>0</v>
      </c>
      <c r="U653" s="25"/>
      <c r="V653" s="25"/>
      <c r="W653" s="25">
        <v>0</v>
      </c>
      <c r="X653" s="25"/>
      <c r="Y653" s="25"/>
      <c r="Z653" s="25">
        <v>0</v>
      </c>
      <c r="AA653" s="25"/>
      <c r="AB653" s="25"/>
      <c r="AC653" s="25">
        <v>0</v>
      </c>
      <c r="AD653" s="25"/>
      <c r="AE653" s="25"/>
      <c r="AF653" s="25">
        <v>0</v>
      </c>
      <c r="AG653" s="25"/>
      <c r="AH653" s="25"/>
      <c r="AI653" s="25">
        <v>0</v>
      </c>
      <c r="AJ653" s="25"/>
      <c r="AK653" s="25"/>
      <c r="AL653" s="25"/>
      <c r="AM653" s="25"/>
      <c r="AN653" s="25"/>
      <c r="AO653" s="25"/>
      <c r="AP653" s="25"/>
      <c r="AQ653" s="25"/>
      <c r="AR653" s="25"/>
      <c r="AS653" s="25"/>
      <c r="AT653" s="25"/>
      <c r="AU653" s="524">
        <v>39484445</v>
      </c>
      <c r="AV653" s="524">
        <v>1900000</v>
      </c>
      <c r="AW653" s="524">
        <v>1900000</v>
      </c>
      <c r="AX653" s="524"/>
      <c r="AY653" s="524"/>
      <c r="AZ653" s="524"/>
      <c r="BA653" s="250">
        <v>0</v>
      </c>
      <c r="BB653" s="250"/>
      <c r="BC653" s="250"/>
      <c r="BD653" s="25">
        <v>0</v>
      </c>
      <c r="BE653" s="25"/>
      <c r="BF653" s="25"/>
      <c r="BG653" s="25">
        <v>0</v>
      </c>
      <c r="BH653" s="25"/>
      <c r="BI653" s="25"/>
      <c r="BJ653" s="25">
        <v>0</v>
      </c>
      <c r="BK653" s="25"/>
      <c r="BL653" s="25"/>
      <c r="BM653" s="25"/>
      <c r="BN653" s="25"/>
      <c r="BO653" s="25"/>
      <c r="BP653" s="25">
        <v>0</v>
      </c>
      <c r="BQ653" s="25"/>
      <c r="BR653" s="25"/>
      <c r="BS653" s="25">
        <v>0</v>
      </c>
      <c r="BT653" s="25"/>
      <c r="BU653" s="25"/>
      <c r="BV653" s="25">
        <v>0</v>
      </c>
      <c r="BW653" s="25"/>
      <c r="BX653" s="25"/>
      <c r="BY653" s="25">
        <v>0</v>
      </c>
      <c r="BZ653" s="25"/>
      <c r="CA653" s="25"/>
      <c r="CB653" s="25">
        <v>0</v>
      </c>
      <c r="CC653" s="25"/>
      <c r="CD653" s="25"/>
      <c r="CE653" s="110">
        <v>0</v>
      </c>
      <c r="CF653" s="110"/>
      <c r="CG653" s="110"/>
      <c r="CH653" s="37"/>
      <c r="CI653" s="37"/>
      <c r="CJ653" s="37"/>
      <c r="CK653" s="319">
        <v>0</v>
      </c>
      <c r="CL653" s="288"/>
      <c r="CM653" s="288"/>
      <c r="CN653" s="288">
        <v>0</v>
      </c>
      <c r="CO653" s="288"/>
      <c r="CP653" s="288"/>
      <c r="CQ653" s="288"/>
      <c r="CR653" s="288"/>
      <c r="CS653" s="288"/>
      <c r="CT653" s="886">
        <f t="shared" ref="CT653:CV655" si="347">Q653+T653+W653+Z653+AC653+AF653+AI653+AL653+AO653+AR653+AU653+AX653+BA653+BD653+BG653+BJ653+BM653+BP653+BS653+BV653+BY653+CB653+CE653+CH653+CK653+CQ653+CN653</f>
        <v>39484445</v>
      </c>
      <c r="CU653" s="25">
        <f t="shared" si="347"/>
        <v>1900000</v>
      </c>
      <c r="CV653" s="25">
        <f t="shared" si="347"/>
        <v>1900000</v>
      </c>
    </row>
    <row r="654" spans="1:100" ht="48" customHeight="1" x14ac:dyDescent="0.25">
      <c r="A654" s="18"/>
      <c r="B654" s="918"/>
      <c r="C654" s="1033"/>
      <c r="D654" s="1035"/>
      <c r="E654" s="1037"/>
      <c r="F654" s="1037"/>
      <c r="G654" s="28"/>
      <c r="H654" s="929">
        <v>171</v>
      </c>
      <c r="I654" s="928" t="s">
        <v>809</v>
      </c>
      <c r="J654" s="508">
        <v>1</v>
      </c>
      <c r="K654" s="508">
        <v>1</v>
      </c>
      <c r="L654" s="979">
        <v>0.36</v>
      </c>
      <c r="M654" s="1066"/>
      <c r="N654" s="1019"/>
      <c r="O654" s="1013"/>
      <c r="P654" s="929" t="s">
        <v>38</v>
      </c>
      <c r="Q654" s="25">
        <v>0</v>
      </c>
      <c r="R654" s="25"/>
      <c r="S654" s="25"/>
      <c r="T654" s="25">
        <v>0</v>
      </c>
      <c r="U654" s="25"/>
      <c r="V654" s="25"/>
      <c r="W654" s="25">
        <v>0</v>
      </c>
      <c r="X654" s="25"/>
      <c r="Y654" s="25"/>
      <c r="Z654" s="25">
        <v>0</v>
      </c>
      <c r="AA654" s="25"/>
      <c r="AB654" s="25"/>
      <c r="AC654" s="25">
        <v>0</v>
      </c>
      <c r="AD654" s="25"/>
      <c r="AE654" s="25"/>
      <c r="AF654" s="25">
        <v>0</v>
      </c>
      <c r="AG654" s="25"/>
      <c r="AH654" s="25"/>
      <c r="AI654" s="25">
        <v>0</v>
      </c>
      <c r="AJ654" s="25"/>
      <c r="AK654" s="25"/>
      <c r="AL654" s="25"/>
      <c r="AM654" s="25"/>
      <c r="AN654" s="25"/>
      <c r="AO654" s="25"/>
      <c r="AP654" s="25"/>
      <c r="AQ654" s="25"/>
      <c r="AR654" s="25"/>
      <c r="AS654" s="25"/>
      <c r="AT654" s="25"/>
      <c r="AU654" s="524">
        <v>98711111</v>
      </c>
      <c r="AV654" s="524"/>
      <c r="AW654" s="524"/>
      <c r="AX654" s="524"/>
      <c r="AY654" s="524"/>
      <c r="AZ654" s="524"/>
      <c r="BA654" s="250">
        <v>0</v>
      </c>
      <c r="BB654" s="250"/>
      <c r="BC654" s="250"/>
      <c r="BD654" s="25">
        <v>0</v>
      </c>
      <c r="BE654" s="25"/>
      <c r="BF654" s="25"/>
      <c r="BG654" s="25">
        <v>0</v>
      </c>
      <c r="BH654" s="25"/>
      <c r="BI654" s="25"/>
      <c r="BJ654" s="25">
        <v>0</v>
      </c>
      <c r="BK654" s="25"/>
      <c r="BL654" s="25"/>
      <c r="BM654" s="25"/>
      <c r="BN654" s="25"/>
      <c r="BO654" s="25"/>
      <c r="BP654" s="25">
        <v>0</v>
      </c>
      <c r="BQ654" s="25"/>
      <c r="BR654" s="25"/>
      <c r="BS654" s="25">
        <v>0</v>
      </c>
      <c r="BT654" s="25"/>
      <c r="BU654" s="25"/>
      <c r="BV654" s="25">
        <v>0</v>
      </c>
      <c r="BW654" s="25"/>
      <c r="BX654" s="25"/>
      <c r="BY654" s="25">
        <v>0</v>
      </c>
      <c r="BZ654" s="25"/>
      <c r="CA654" s="25"/>
      <c r="CB654" s="25">
        <v>0</v>
      </c>
      <c r="CC654" s="25"/>
      <c r="CD654" s="25"/>
      <c r="CE654" s="110">
        <v>0</v>
      </c>
      <c r="CF654" s="110"/>
      <c r="CG654" s="110"/>
      <c r="CH654" s="37"/>
      <c r="CI654" s="37"/>
      <c r="CJ654" s="37"/>
      <c r="CK654" s="319">
        <v>0</v>
      </c>
      <c r="CL654" s="288"/>
      <c r="CM654" s="288"/>
      <c r="CN654" s="288">
        <v>0</v>
      </c>
      <c r="CO654" s="288"/>
      <c r="CP654" s="288"/>
      <c r="CQ654" s="288"/>
      <c r="CR654" s="288"/>
      <c r="CS654" s="288"/>
      <c r="CT654" s="886">
        <f t="shared" si="347"/>
        <v>98711111</v>
      </c>
      <c r="CU654" s="25">
        <f t="shared" si="347"/>
        <v>0</v>
      </c>
      <c r="CV654" s="25">
        <f t="shared" si="347"/>
        <v>0</v>
      </c>
    </row>
    <row r="655" spans="1:100" s="27" customFormat="1" ht="86.25" customHeight="1" x14ac:dyDescent="0.25">
      <c r="A655" s="18"/>
      <c r="B655" s="918"/>
      <c r="C655" s="927">
        <v>28</v>
      </c>
      <c r="D655" s="928" t="s">
        <v>805</v>
      </c>
      <c r="E655" s="79">
        <v>0.5</v>
      </c>
      <c r="F655" s="79">
        <v>1</v>
      </c>
      <c r="G655" s="29"/>
      <c r="H655" s="929">
        <v>172</v>
      </c>
      <c r="I655" s="928" t="s">
        <v>911</v>
      </c>
      <c r="J655" s="514">
        <v>12</v>
      </c>
      <c r="K655" s="514">
        <v>12</v>
      </c>
      <c r="L655" s="514">
        <v>12</v>
      </c>
      <c r="M655" s="514" t="s">
        <v>670</v>
      </c>
      <c r="N655" s="36" t="s">
        <v>810</v>
      </c>
      <c r="O655" s="928" t="s">
        <v>811</v>
      </c>
      <c r="P655" s="929" t="s">
        <v>38</v>
      </c>
      <c r="Q655" s="25">
        <v>0</v>
      </c>
      <c r="R655" s="25"/>
      <c r="S655" s="25"/>
      <c r="T655" s="25">
        <v>0</v>
      </c>
      <c r="U655" s="25"/>
      <c r="V655" s="25"/>
      <c r="W655" s="25">
        <v>0</v>
      </c>
      <c r="X655" s="25"/>
      <c r="Y655" s="25"/>
      <c r="Z655" s="25">
        <v>0</v>
      </c>
      <c r="AA655" s="25"/>
      <c r="AB655" s="25"/>
      <c r="AC655" s="25">
        <v>0</v>
      </c>
      <c r="AD655" s="25"/>
      <c r="AE655" s="25"/>
      <c r="AF655" s="25">
        <v>0</v>
      </c>
      <c r="AG655" s="25"/>
      <c r="AH655" s="25"/>
      <c r="AI655" s="25">
        <v>0</v>
      </c>
      <c r="AJ655" s="25"/>
      <c r="AK655" s="25"/>
      <c r="AL655" s="25"/>
      <c r="AM655" s="25"/>
      <c r="AN655" s="25"/>
      <c r="AO655" s="25"/>
      <c r="AP655" s="25"/>
      <c r="AQ655" s="25"/>
      <c r="AR655" s="25"/>
      <c r="AS655" s="25"/>
      <c r="AT655" s="25"/>
      <c r="AU655" s="525">
        <v>6004444</v>
      </c>
      <c r="AV655" s="525"/>
      <c r="AW655" s="525"/>
      <c r="AX655" s="525"/>
      <c r="AY655" s="525"/>
      <c r="AZ655" s="525"/>
      <c r="BA655" s="25">
        <v>0</v>
      </c>
      <c r="BB655" s="25"/>
      <c r="BC655" s="25"/>
      <c r="BD655" s="25">
        <v>0</v>
      </c>
      <c r="BE655" s="25"/>
      <c r="BF655" s="25"/>
      <c r="BG655" s="25">
        <v>0</v>
      </c>
      <c r="BH655" s="25"/>
      <c r="BI655" s="25"/>
      <c r="BJ655" s="25">
        <v>0</v>
      </c>
      <c r="BK655" s="25"/>
      <c r="BL655" s="25"/>
      <c r="BM655" s="25"/>
      <c r="BN655" s="25"/>
      <c r="BO655" s="25"/>
      <c r="BP655" s="25">
        <v>0</v>
      </c>
      <c r="BQ655" s="25"/>
      <c r="BR655" s="25"/>
      <c r="BS655" s="25">
        <v>0</v>
      </c>
      <c r="BT655" s="25"/>
      <c r="BU655" s="25"/>
      <c r="BV655" s="25">
        <v>0</v>
      </c>
      <c r="BW655" s="25"/>
      <c r="BX655" s="25"/>
      <c r="BY655" s="25">
        <v>0</v>
      </c>
      <c r="BZ655" s="25"/>
      <c r="CA655" s="25"/>
      <c r="CB655" s="25">
        <v>0</v>
      </c>
      <c r="CC655" s="25"/>
      <c r="CD655" s="25"/>
      <c r="CE655" s="110">
        <f>300000000+400000000</f>
        <v>700000000</v>
      </c>
      <c r="CF655" s="110">
        <v>225085124</v>
      </c>
      <c r="CG655" s="110">
        <v>198085034</v>
      </c>
      <c r="CH655" s="37"/>
      <c r="CI655" s="37"/>
      <c r="CJ655" s="37"/>
      <c r="CK655" s="25">
        <v>0</v>
      </c>
      <c r="CL655" s="26"/>
      <c r="CM655" s="26"/>
      <c r="CN655" s="26">
        <v>0</v>
      </c>
      <c r="CO655" s="26"/>
      <c r="CP655" s="26"/>
      <c r="CQ655" s="26"/>
      <c r="CR655" s="26"/>
      <c r="CS655" s="26"/>
      <c r="CT655" s="886">
        <f t="shared" si="347"/>
        <v>706004444</v>
      </c>
      <c r="CU655" s="25">
        <f t="shared" si="347"/>
        <v>225085124</v>
      </c>
      <c r="CV655" s="25">
        <f t="shared" si="347"/>
        <v>198085034</v>
      </c>
    </row>
    <row r="656" spans="1:100" ht="15" x14ac:dyDescent="0.25">
      <c r="A656" s="18"/>
      <c r="B656" s="918"/>
      <c r="C656" s="927"/>
      <c r="D656" s="153"/>
      <c r="E656" s="581"/>
      <c r="F656" s="581"/>
      <c r="G656" s="154"/>
      <c r="H656" s="155"/>
      <c r="I656" s="154"/>
      <c r="J656" s="519"/>
      <c r="K656" s="519"/>
      <c r="L656" s="519"/>
      <c r="M656" s="519"/>
      <c r="N656" s="157"/>
      <c r="O656" s="154"/>
      <c r="P656" s="155"/>
      <c r="Q656" s="158">
        <f>SUM(Q653:Q655)</f>
        <v>0</v>
      </c>
      <c r="R656" s="158">
        <f t="shared" ref="R656:CC656" si="348">SUM(R653:R655)</f>
        <v>0</v>
      </c>
      <c r="S656" s="158">
        <f t="shared" si="348"/>
        <v>0</v>
      </c>
      <c r="T656" s="158">
        <f t="shared" si="348"/>
        <v>0</v>
      </c>
      <c r="U656" s="158">
        <f t="shared" si="348"/>
        <v>0</v>
      </c>
      <c r="V656" s="158">
        <f t="shared" si="348"/>
        <v>0</v>
      </c>
      <c r="W656" s="158">
        <f t="shared" si="348"/>
        <v>0</v>
      </c>
      <c r="X656" s="158">
        <f t="shared" si="348"/>
        <v>0</v>
      </c>
      <c r="Y656" s="158">
        <f t="shared" si="348"/>
        <v>0</v>
      </c>
      <c r="Z656" s="158">
        <f t="shared" si="348"/>
        <v>0</v>
      </c>
      <c r="AA656" s="158">
        <f t="shared" si="348"/>
        <v>0</v>
      </c>
      <c r="AB656" s="158">
        <f t="shared" si="348"/>
        <v>0</v>
      </c>
      <c r="AC656" s="158">
        <f t="shared" si="348"/>
        <v>0</v>
      </c>
      <c r="AD656" s="158">
        <f t="shared" si="348"/>
        <v>0</v>
      </c>
      <c r="AE656" s="158">
        <f t="shared" si="348"/>
        <v>0</v>
      </c>
      <c r="AF656" s="158">
        <f t="shared" si="348"/>
        <v>0</v>
      </c>
      <c r="AG656" s="158">
        <f t="shared" si="348"/>
        <v>0</v>
      </c>
      <c r="AH656" s="158">
        <f t="shared" si="348"/>
        <v>0</v>
      </c>
      <c r="AI656" s="158">
        <f t="shared" si="348"/>
        <v>0</v>
      </c>
      <c r="AJ656" s="158">
        <f t="shared" si="348"/>
        <v>0</v>
      </c>
      <c r="AK656" s="158">
        <f t="shared" si="348"/>
        <v>0</v>
      </c>
      <c r="AL656" s="158">
        <f t="shared" si="348"/>
        <v>0</v>
      </c>
      <c r="AM656" s="158">
        <f t="shared" si="348"/>
        <v>0</v>
      </c>
      <c r="AN656" s="158">
        <f t="shared" si="348"/>
        <v>0</v>
      </c>
      <c r="AO656" s="158">
        <f t="shared" si="348"/>
        <v>0</v>
      </c>
      <c r="AP656" s="158">
        <f t="shared" si="348"/>
        <v>0</v>
      </c>
      <c r="AQ656" s="158">
        <f t="shared" si="348"/>
        <v>0</v>
      </c>
      <c r="AR656" s="158">
        <f t="shared" si="348"/>
        <v>0</v>
      </c>
      <c r="AS656" s="158">
        <f t="shared" si="348"/>
        <v>0</v>
      </c>
      <c r="AT656" s="158">
        <f t="shared" si="348"/>
        <v>0</v>
      </c>
      <c r="AU656" s="158">
        <f t="shared" si="348"/>
        <v>144200000</v>
      </c>
      <c r="AV656" s="158">
        <f t="shared" si="348"/>
        <v>1900000</v>
      </c>
      <c r="AW656" s="158">
        <f t="shared" si="348"/>
        <v>1900000</v>
      </c>
      <c r="AX656" s="158">
        <f t="shared" si="348"/>
        <v>0</v>
      </c>
      <c r="AY656" s="158">
        <f t="shared" si="348"/>
        <v>0</v>
      </c>
      <c r="AZ656" s="158">
        <f t="shared" si="348"/>
        <v>0</v>
      </c>
      <c r="BA656" s="158">
        <f t="shared" si="348"/>
        <v>0</v>
      </c>
      <c r="BB656" s="158">
        <f t="shared" si="348"/>
        <v>0</v>
      </c>
      <c r="BC656" s="158">
        <f t="shared" si="348"/>
        <v>0</v>
      </c>
      <c r="BD656" s="158">
        <f t="shared" si="348"/>
        <v>0</v>
      </c>
      <c r="BE656" s="158">
        <f t="shared" si="348"/>
        <v>0</v>
      </c>
      <c r="BF656" s="158">
        <f t="shared" si="348"/>
        <v>0</v>
      </c>
      <c r="BG656" s="158">
        <f t="shared" si="348"/>
        <v>0</v>
      </c>
      <c r="BH656" s="158">
        <f t="shared" si="348"/>
        <v>0</v>
      </c>
      <c r="BI656" s="158">
        <f t="shared" si="348"/>
        <v>0</v>
      </c>
      <c r="BJ656" s="158">
        <f t="shared" si="348"/>
        <v>0</v>
      </c>
      <c r="BK656" s="158">
        <f t="shared" si="348"/>
        <v>0</v>
      </c>
      <c r="BL656" s="158">
        <f t="shared" si="348"/>
        <v>0</v>
      </c>
      <c r="BM656" s="158">
        <f t="shared" si="348"/>
        <v>0</v>
      </c>
      <c r="BN656" s="158">
        <f t="shared" si="348"/>
        <v>0</v>
      </c>
      <c r="BO656" s="158">
        <f t="shared" si="348"/>
        <v>0</v>
      </c>
      <c r="BP656" s="158">
        <f t="shared" si="348"/>
        <v>0</v>
      </c>
      <c r="BQ656" s="158">
        <f t="shared" si="348"/>
        <v>0</v>
      </c>
      <c r="BR656" s="158">
        <f t="shared" si="348"/>
        <v>0</v>
      </c>
      <c r="BS656" s="158">
        <f t="shared" si="348"/>
        <v>0</v>
      </c>
      <c r="BT656" s="158">
        <f t="shared" si="348"/>
        <v>0</v>
      </c>
      <c r="BU656" s="158">
        <f t="shared" si="348"/>
        <v>0</v>
      </c>
      <c r="BV656" s="158">
        <f t="shared" si="348"/>
        <v>0</v>
      </c>
      <c r="BW656" s="158">
        <f t="shared" si="348"/>
        <v>0</v>
      </c>
      <c r="BX656" s="158">
        <f t="shared" si="348"/>
        <v>0</v>
      </c>
      <c r="BY656" s="158">
        <f t="shared" si="348"/>
        <v>0</v>
      </c>
      <c r="BZ656" s="158">
        <f t="shared" si="348"/>
        <v>0</v>
      </c>
      <c r="CA656" s="158">
        <f t="shared" si="348"/>
        <v>0</v>
      </c>
      <c r="CB656" s="158">
        <f t="shared" si="348"/>
        <v>0</v>
      </c>
      <c r="CC656" s="158">
        <f t="shared" si="348"/>
        <v>0</v>
      </c>
      <c r="CD656" s="158">
        <f t="shared" ref="CD656:CS656" si="349">SUM(CD653:CD655)</f>
        <v>0</v>
      </c>
      <c r="CE656" s="158">
        <f t="shared" si="349"/>
        <v>700000000</v>
      </c>
      <c r="CF656" s="158">
        <f t="shared" si="349"/>
        <v>225085124</v>
      </c>
      <c r="CG656" s="158">
        <f t="shared" si="349"/>
        <v>198085034</v>
      </c>
      <c r="CH656" s="158">
        <f t="shared" si="349"/>
        <v>0</v>
      </c>
      <c r="CI656" s="158">
        <f t="shared" si="349"/>
        <v>0</v>
      </c>
      <c r="CJ656" s="158">
        <f t="shared" si="349"/>
        <v>0</v>
      </c>
      <c r="CK656" s="158">
        <f t="shared" si="349"/>
        <v>0</v>
      </c>
      <c r="CL656" s="158">
        <f t="shared" si="349"/>
        <v>0</v>
      </c>
      <c r="CM656" s="158">
        <f t="shared" si="349"/>
        <v>0</v>
      </c>
      <c r="CN656" s="158">
        <f t="shared" si="349"/>
        <v>0</v>
      </c>
      <c r="CO656" s="158">
        <f t="shared" si="349"/>
        <v>0</v>
      </c>
      <c r="CP656" s="158">
        <f t="shared" si="349"/>
        <v>0</v>
      </c>
      <c r="CQ656" s="158">
        <f t="shared" si="349"/>
        <v>0</v>
      </c>
      <c r="CR656" s="158">
        <f t="shared" si="349"/>
        <v>0</v>
      </c>
      <c r="CS656" s="158">
        <f t="shared" si="349"/>
        <v>0</v>
      </c>
      <c r="CT656" s="394">
        <f>SUM(CT653:CT655)</f>
        <v>844200000</v>
      </c>
      <c r="CU656" s="158">
        <f>SUM(CU653:CU655)</f>
        <v>226985124</v>
      </c>
      <c r="CV656" s="158">
        <f>SUM(CV653:CV655)</f>
        <v>199985034</v>
      </c>
    </row>
    <row r="657" spans="1:100" ht="15" x14ac:dyDescent="0.25">
      <c r="A657" s="18"/>
      <c r="B657" s="918"/>
      <c r="C657" s="949"/>
      <c r="D657" s="177"/>
      <c r="E657" s="949"/>
      <c r="F657" s="949"/>
      <c r="G657" s="177"/>
      <c r="H657" s="949"/>
      <c r="I657" s="177"/>
      <c r="J657" s="949"/>
      <c r="K657" s="949"/>
      <c r="L657" s="930"/>
      <c r="M657" s="930"/>
      <c r="N657" s="230"/>
      <c r="O657" s="221"/>
      <c r="P657" s="949"/>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c r="BZ657" s="180"/>
      <c r="CA657" s="180"/>
      <c r="CB657" s="180"/>
      <c r="CC657" s="180"/>
      <c r="CD657" s="180"/>
      <c r="CE657" s="182"/>
      <c r="CF657" s="182"/>
      <c r="CG657" s="182"/>
      <c r="CH657" s="183"/>
      <c r="CI657" s="183"/>
      <c r="CJ657" s="183"/>
      <c r="CK657" s="180"/>
      <c r="CL657" s="180"/>
      <c r="CM657" s="180"/>
      <c r="CN657" s="180"/>
      <c r="CO657" s="180"/>
      <c r="CP657" s="180"/>
      <c r="CQ657" s="180"/>
      <c r="CR657" s="180"/>
      <c r="CS657" s="180"/>
      <c r="CT657" s="886"/>
      <c r="CU657" s="516"/>
      <c r="CV657" s="516"/>
    </row>
    <row r="658" spans="1:100" ht="15" x14ac:dyDescent="0.25">
      <c r="A658" s="18"/>
      <c r="B658" s="918"/>
      <c r="C658" s="949"/>
      <c r="D658" s="153"/>
      <c r="E658" s="581"/>
      <c r="F658" s="581"/>
      <c r="G658" s="339">
        <v>53</v>
      </c>
      <c r="H658" s="189" t="s">
        <v>812</v>
      </c>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c r="BU658" s="189"/>
      <c r="BV658" s="189"/>
      <c r="BW658" s="189"/>
      <c r="BX658" s="189"/>
      <c r="BY658" s="189"/>
      <c r="BZ658" s="189"/>
      <c r="CA658" s="189"/>
      <c r="CB658" s="189"/>
      <c r="CC658" s="189"/>
      <c r="CD658" s="189"/>
      <c r="CE658" s="190"/>
      <c r="CF658" s="190"/>
      <c r="CG658" s="190"/>
      <c r="CH658" s="189"/>
      <c r="CI658" s="189"/>
      <c r="CJ658" s="189"/>
      <c r="CK658" s="189"/>
      <c r="CL658" s="189"/>
      <c r="CM658" s="189"/>
      <c r="CN658" s="189"/>
      <c r="CO658" s="189"/>
      <c r="CP658" s="189"/>
      <c r="CQ658" s="189"/>
      <c r="CR658" s="189"/>
      <c r="CS658" s="189"/>
      <c r="CT658" s="673"/>
      <c r="CU658" s="522"/>
      <c r="CV658" s="522"/>
    </row>
    <row r="659" spans="1:100" ht="85.5" x14ac:dyDescent="0.25">
      <c r="A659" s="18"/>
      <c r="B659" s="918"/>
      <c r="C659" s="1032">
        <v>28</v>
      </c>
      <c r="D659" s="1034" t="s">
        <v>805</v>
      </c>
      <c r="E659" s="1036">
        <v>0.5</v>
      </c>
      <c r="F659" s="1036">
        <v>1</v>
      </c>
      <c r="G659" s="1021"/>
      <c r="H659" s="929">
        <v>173</v>
      </c>
      <c r="I659" s="928" t="s">
        <v>813</v>
      </c>
      <c r="J659" s="508" t="s">
        <v>30</v>
      </c>
      <c r="K659" s="508">
        <v>7</v>
      </c>
      <c r="L659" s="523">
        <v>7</v>
      </c>
      <c r="M659" s="1065" t="s">
        <v>670</v>
      </c>
      <c r="N659" s="1017" t="s">
        <v>814</v>
      </c>
      <c r="O659" s="1012" t="s">
        <v>815</v>
      </c>
      <c r="P659" s="929" t="s">
        <v>38</v>
      </c>
      <c r="Q659" s="25">
        <v>0</v>
      </c>
      <c r="R659" s="25"/>
      <c r="S659" s="25"/>
      <c r="T659" s="25">
        <v>0</v>
      </c>
      <c r="U659" s="25"/>
      <c r="V659" s="25"/>
      <c r="W659" s="25">
        <v>0</v>
      </c>
      <c r="X659" s="25"/>
      <c r="Y659" s="25"/>
      <c r="Z659" s="25">
        <v>0</v>
      </c>
      <c r="AA659" s="25"/>
      <c r="AB659" s="25"/>
      <c r="AC659" s="25">
        <v>0</v>
      </c>
      <c r="AD659" s="25"/>
      <c r="AE659" s="25"/>
      <c r="AF659" s="25">
        <v>0</v>
      </c>
      <c r="AG659" s="25"/>
      <c r="AH659" s="25"/>
      <c r="AI659" s="25">
        <v>0</v>
      </c>
      <c r="AJ659" s="25"/>
      <c r="AK659" s="25"/>
      <c r="AL659" s="25"/>
      <c r="AM659" s="25"/>
      <c r="AN659" s="25"/>
      <c r="AO659" s="25"/>
      <c r="AP659" s="25"/>
      <c r="AQ659" s="25"/>
      <c r="AR659" s="25"/>
      <c r="AS659" s="25"/>
      <c r="AT659" s="25"/>
      <c r="AU659" s="3">
        <v>35436120</v>
      </c>
      <c r="AV659" s="3">
        <v>19566667</v>
      </c>
      <c r="AW659" s="3">
        <v>19566667</v>
      </c>
      <c r="AX659" s="3"/>
      <c r="AY659" s="3"/>
      <c r="AZ659" s="3"/>
      <c r="BA659" s="250">
        <v>0</v>
      </c>
      <c r="BB659" s="250"/>
      <c r="BC659" s="250"/>
      <c r="BD659" s="25">
        <v>0</v>
      </c>
      <c r="BE659" s="25"/>
      <c r="BF659" s="25"/>
      <c r="BG659" s="250"/>
      <c r="BH659" s="250"/>
      <c r="BI659" s="250"/>
      <c r="BJ659" s="250"/>
      <c r="BK659" s="250"/>
      <c r="BL659" s="250"/>
      <c r="BM659" s="250"/>
      <c r="BN659" s="250"/>
      <c r="BO659" s="250"/>
      <c r="BP659" s="250"/>
      <c r="BQ659" s="250"/>
      <c r="BR659" s="250"/>
      <c r="BS659" s="250"/>
      <c r="BT659" s="250"/>
      <c r="BU659" s="250"/>
      <c r="BV659" s="250"/>
      <c r="BW659" s="250"/>
      <c r="BX659" s="250"/>
      <c r="BY659" s="319">
        <v>0</v>
      </c>
      <c r="BZ659" s="319"/>
      <c r="CA659" s="319"/>
      <c r="CB659" s="319">
        <v>0</v>
      </c>
      <c r="CC659" s="319"/>
      <c r="CD659" s="319"/>
      <c r="CE659" s="496">
        <v>0</v>
      </c>
      <c r="CF659" s="496"/>
      <c r="CG659" s="496"/>
      <c r="CH659" s="497"/>
      <c r="CI659" s="497"/>
      <c r="CJ659" s="497"/>
      <c r="CK659" s="319">
        <v>0</v>
      </c>
      <c r="CL659" s="288"/>
      <c r="CM659" s="288"/>
      <c r="CN659" s="288">
        <v>0</v>
      </c>
      <c r="CO659" s="288"/>
      <c r="CP659" s="288"/>
      <c r="CQ659" s="288"/>
      <c r="CR659" s="288"/>
      <c r="CS659" s="288"/>
      <c r="CT659" s="886">
        <f t="shared" ref="CT659:CV660" si="350">Q659+T659+W659+Z659+AC659+AF659+AI659+AL659+AO659+AR659+AU659+AX659+BA659+BD659+BG659+BJ659+BM659+BP659+BS659+BV659+BY659+CB659+CE659+CH659+CK659+CQ659+CN659</f>
        <v>35436120</v>
      </c>
      <c r="CU659" s="25">
        <f t="shared" si="350"/>
        <v>19566667</v>
      </c>
      <c r="CV659" s="25">
        <f t="shared" si="350"/>
        <v>19566667</v>
      </c>
    </row>
    <row r="660" spans="1:100" ht="54" customHeight="1" x14ac:dyDescent="0.25">
      <c r="A660" s="18"/>
      <c r="B660" s="918"/>
      <c r="C660" s="1033"/>
      <c r="D660" s="1035"/>
      <c r="E660" s="1037"/>
      <c r="F660" s="1037"/>
      <c r="G660" s="1022"/>
      <c r="H660" s="929">
        <v>174</v>
      </c>
      <c r="I660" s="928" t="s">
        <v>816</v>
      </c>
      <c r="J660" s="929">
        <v>100</v>
      </c>
      <c r="K660" s="929">
        <v>150</v>
      </c>
      <c r="L660" s="929">
        <v>200</v>
      </c>
      <c r="M660" s="1066"/>
      <c r="N660" s="1019"/>
      <c r="O660" s="1013"/>
      <c r="P660" s="929" t="s">
        <v>38</v>
      </c>
      <c r="Q660" s="25">
        <v>0</v>
      </c>
      <c r="R660" s="25"/>
      <c r="S660" s="25"/>
      <c r="T660" s="25">
        <v>0</v>
      </c>
      <c r="U660" s="25"/>
      <c r="V660" s="25"/>
      <c r="W660" s="25">
        <v>0</v>
      </c>
      <c r="X660" s="25"/>
      <c r="Y660" s="25"/>
      <c r="Z660" s="25">
        <v>0</v>
      </c>
      <c r="AA660" s="25"/>
      <c r="AB660" s="25"/>
      <c r="AC660" s="25">
        <v>0</v>
      </c>
      <c r="AD660" s="25"/>
      <c r="AE660" s="25"/>
      <c r="AF660" s="25">
        <v>0</v>
      </c>
      <c r="AG660" s="25"/>
      <c r="AH660" s="25"/>
      <c r="AI660" s="25">
        <v>0</v>
      </c>
      <c r="AJ660" s="25"/>
      <c r="AK660" s="25"/>
      <c r="AL660" s="25"/>
      <c r="AM660" s="25"/>
      <c r="AN660" s="25"/>
      <c r="AO660" s="25"/>
      <c r="AP660" s="25"/>
      <c r="AQ660" s="25"/>
      <c r="AR660" s="25"/>
      <c r="AS660" s="25"/>
      <c r="AT660" s="25"/>
      <c r="AU660" s="250">
        <v>0</v>
      </c>
      <c r="AV660" s="250"/>
      <c r="AW660" s="250"/>
      <c r="AX660" s="250"/>
      <c r="AY660" s="250"/>
      <c r="AZ660" s="250"/>
      <c r="BA660" s="250">
        <v>0</v>
      </c>
      <c r="BB660" s="250"/>
      <c r="BC660" s="250"/>
      <c r="BD660" s="25">
        <v>0</v>
      </c>
      <c r="BE660" s="25"/>
      <c r="BF660" s="25"/>
      <c r="BG660" s="250"/>
      <c r="BH660" s="250"/>
      <c r="BI660" s="250"/>
      <c r="BJ660" s="250"/>
      <c r="BK660" s="250"/>
      <c r="BL660" s="250"/>
      <c r="BM660" s="250"/>
      <c r="BN660" s="250"/>
      <c r="BO660" s="250"/>
      <c r="BP660" s="250"/>
      <c r="BQ660" s="250"/>
      <c r="BR660" s="250"/>
      <c r="BS660" s="250"/>
      <c r="BT660" s="250"/>
      <c r="BU660" s="250"/>
      <c r="BV660" s="250"/>
      <c r="BW660" s="250"/>
      <c r="BX660" s="250"/>
      <c r="BY660" s="319">
        <v>0</v>
      </c>
      <c r="BZ660" s="319"/>
      <c r="CA660" s="319"/>
      <c r="CB660" s="319">
        <v>0</v>
      </c>
      <c r="CC660" s="319"/>
      <c r="CD660" s="319"/>
      <c r="CE660" s="496">
        <v>0</v>
      </c>
      <c r="CF660" s="496"/>
      <c r="CG660" s="496"/>
      <c r="CH660" s="497"/>
      <c r="CI660" s="497"/>
      <c r="CJ660" s="497"/>
      <c r="CK660" s="319">
        <v>0</v>
      </c>
      <c r="CL660" s="288"/>
      <c r="CM660" s="288"/>
      <c r="CN660" s="288">
        <v>0</v>
      </c>
      <c r="CO660" s="288"/>
      <c r="CP660" s="288"/>
      <c r="CQ660" s="288"/>
      <c r="CR660" s="288"/>
      <c r="CS660" s="288"/>
      <c r="CT660" s="886">
        <f t="shared" si="350"/>
        <v>0</v>
      </c>
      <c r="CU660" s="25">
        <f t="shared" si="350"/>
        <v>0</v>
      </c>
      <c r="CV660" s="25">
        <f t="shared" si="350"/>
        <v>0</v>
      </c>
    </row>
    <row r="661" spans="1:100" ht="15" x14ac:dyDescent="0.25">
      <c r="A661" s="18"/>
      <c r="B661" s="918"/>
      <c r="C661" s="927"/>
      <c r="D661" s="153"/>
      <c r="E661" s="581"/>
      <c r="F661" s="581"/>
      <c r="G661" s="154"/>
      <c r="H661" s="155"/>
      <c r="I661" s="154"/>
      <c r="J661" s="155"/>
      <c r="K661" s="155"/>
      <c r="L661" s="155"/>
      <c r="M661" s="155"/>
      <c r="N661" s="157"/>
      <c r="O661" s="154"/>
      <c r="P661" s="155"/>
      <c r="Q661" s="158">
        <f>SUM(Q659:Q660)</f>
        <v>0</v>
      </c>
      <c r="R661" s="158">
        <f t="shared" ref="R661:CC661" si="351">SUM(R659:R660)</f>
        <v>0</v>
      </c>
      <c r="S661" s="158">
        <f t="shared" si="351"/>
        <v>0</v>
      </c>
      <c r="T661" s="158">
        <f t="shared" si="351"/>
        <v>0</v>
      </c>
      <c r="U661" s="158">
        <f t="shared" si="351"/>
        <v>0</v>
      </c>
      <c r="V661" s="158">
        <f t="shared" si="351"/>
        <v>0</v>
      </c>
      <c r="W661" s="158">
        <f t="shared" si="351"/>
        <v>0</v>
      </c>
      <c r="X661" s="158">
        <f t="shared" si="351"/>
        <v>0</v>
      </c>
      <c r="Y661" s="158">
        <f t="shared" si="351"/>
        <v>0</v>
      </c>
      <c r="Z661" s="158">
        <f t="shared" si="351"/>
        <v>0</v>
      </c>
      <c r="AA661" s="158">
        <f t="shared" si="351"/>
        <v>0</v>
      </c>
      <c r="AB661" s="158">
        <f t="shared" si="351"/>
        <v>0</v>
      </c>
      <c r="AC661" s="158">
        <f t="shared" si="351"/>
        <v>0</v>
      </c>
      <c r="AD661" s="158">
        <f t="shared" si="351"/>
        <v>0</v>
      </c>
      <c r="AE661" s="158">
        <f t="shared" si="351"/>
        <v>0</v>
      </c>
      <c r="AF661" s="158">
        <f t="shared" si="351"/>
        <v>0</v>
      </c>
      <c r="AG661" s="158">
        <f t="shared" si="351"/>
        <v>0</v>
      </c>
      <c r="AH661" s="158">
        <f t="shared" si="351"/>
        <v>0</v>
      </c>
      <c r="AI661" s="158">
        <f t="shared" si="351"/>
        <v>0</v>
      </c>
      <c r="AJ661" s="158">
        <f t="shared" si="351"/>
        <v>0</v>
      </c>
      <c r="AK661" s="158">
        <f t="shared" si="351"/>
        <v>0</v>
      </c>
      <c r="AL661" s="158">
        <f t="shared" si="351"/>
        <v>0</v>
      </c>
      <c r="AM661" s="158">
        <f t="shared" si="351"/>
        <v>0</v>
      </c>
      <c r="AN661" s="158">
        <f t="shared" si="351"/>
        <v>0</v>
      </c>
      <c r="AO661" s="158">
        <f t="shared" si="351"/>
        <v>0</v>
      </c>
      <c r="AP661" s="158">
        <f t="shared" si="351"/>
        <v>0</v>
      </c>
      <c r="AQ661" s="158">
        <f t="shared" si="351"/>
        <v>0</v>
      </c>
      <c r="AR661" s="158">
        <f t="shared" si="351"/>
        <v>0</v>
      </c>
      <c r="AS661" s="158">
        <f t="shared" si="351"/>
        <v>0</v>
      </c>
      <c r="AT661" s="158">
        <f t="shared" si="351"/>
        <v>0</v>
      </c>
      <c r="AU661" s="158">
        <f t="shared" si="351"/>
        <v>35436120</v>
      </c>
      <c r="AV661" s="158">
        <f t="shared" si="351"/>
        <v>19566667</v>
      </c>
      <c r="AW661" s="158">
        <f t="shared" si="351"/>
        <v>19566667</v>
      </c>
      <c r="AX661" s="158">
        <f t="shared" si="351"/>
        <v>0</v>
      </c>
      <c r="AY661" s="158">
        <f t="shared" si="351"/>
        <v>0</v>
      </c>
      <c r="AZ661" s="158">
        <f t="shared" si="351"/>
        <v>0</v>
      </c>
      <c r="BA661" s="158">
        <f t="shared" si="351"/>
        <v>0</v>
      </c>
      <c r="BB661" s="158">
        <f t="shared" si="351"/>
        <v>0</v>
      </c>
      <c r="BC661" s="158">
        <f t="shared" si="351"/>
        <v>0</v>
      </c>
      <c r="BD661" s="158">
        <f t="shared" si="351"/>
        <v>0</v>
      </c>
      <c r="BE661" s="158">
        <f t="shared" si="351"/>
        <v>0</v>
      </c>
      <c r="BF661" s="158">
        <f t="shared" si="351"/>
        <v>0</v>
      </c>
      <c r="BG661" s="158">
        <f t="shared" si="351"/>
        <v>0</v>
      </c>
      <c r="BH661" s="158">
        <f t="shared" si="351"/>
        <v>0</v>
      </c>
      <c r="BI661" s="158">
        <f t="shared" si="351"/>
        <v>0</v>
      </c>
      <c r="BJ661" s="158">
        <f t="shared" si="351"/>
        <v>0</v>
      </c>
      <c r="BK661" s="158">
        <f t="shared" si="351"/>
        <v>0</v>
      </c>
      <c r="BL661" s="158">
        <f t="shared" si="351"/>
        <v>0</v>
      </c>
      <c r="BM661" s="158">
        <f t="shared" si="351"/>
        <v>0</v>
      </c>
      <c r="BN661" s="158">
        <f t="shared" si="351"/>
        <v>0</v>
      </c>
      <c r="BO661" s="158">
        <f t="shared" si="351"/>
        <v>0</v>
      </c>
      <c r="BP661" s="158">
        <f t="shared" si="351"/>
        <v>0</v>
      </c>
      <c r="BQ661" s="158">
        <f t="shared" si="351"/>
        <v>0</v>
      </c>
      <c r="BR661" s="158">
        <f t="shared" si="351"/>
        <v>0</v>
      </c>
      <c r="BS661" s="158">
        <f t="shared" si="351"/>
        <v>0</v>
      </c>
      <c r="BT661" s="158">
        <f t="shared" si="351"/>
        <v>0</v>
      </c>
      <c r="BU661" s="158">
        <f t="shared" si="351"/>
        <v>0</v>
      </c>
      <c r="BV661" s="158">
        <f t="shared" si="351"/>
        <v>0</v>
      </c>
      <c r="BW661" s="158">
        <f t="shared" si="351"/>
        <v>0</v>
      </c>
      <c r="BX661" s="158">
        <f t="shared" si="351"/>
        <v>0</v>
      </c>
      <c r="BY661" s="158">
        <f t="shared" si="351"/>
        <v>0</v>
      </c>
      <c r="BZ661" s="158">
        <f t="shared" si="351"/>
        <v>0</v>
      </c>
      <c r="CA661" s="158">
        <f t="shared" si="351"/>
        <v>0</v>
      </c>
      <c r="CB661" s="158">
        <f t="shared" si="351"/>
        <v>0</v>
      </c>
      <c r="CC661" s="158">
        <f t="shared" si="351"/>
        <v>0</v>
      </c>
      <c r="CD661" s="158">
        <f t="shared" ref="CD661:CS661" si="352">SUM(CD659:CD660)</f>
        <v>0</v>
      </c>
      <c r="CE661" s="158">
        <f t="shared" si="352"/>
        <v>0</v>
      </c>
      <c r="CF661" s="158">
        <f t="shared" si="352"/>
        <v>0</v>
      </c>
      <c r="CG661" s="158">
        <f t="shared" si="352"/>
        <v>0</v>
      </c>
      <c r="CH661" s="158">
        <f t="shared" si="352"/>
        <v>0</v>
      </c>
      <c r="CI661" s="158">
        <f t="shared" si="352"/>
        <v>0</v>
      </c>
      <c r="CJ661" s="158">
        <f t="shared" si="352"/>
        <v>0</v>
      </c>
      <c r="CK661" s="158">
        <f t="shared" si="352"/>
        <v>0</v>
      </c>
      <c r="CL661" s="158">
        <f t="shared" si="352"/>
        <v>0</v>
      </c>
      <c r="CM661" s="158">
        <f t="shared" si="352"/>
        <v>0</v>
      </c>
      <c r="CN661" s="158">
        <f t="shared" si="352"/>
        <v>0</v>
      </c>
      <c r="CO661" s="158">
        <f t="shared" si="352"/>
        <v>0</v>
      </c>
      <c r="CP661" s="158">
        <f t="shared" si="352"/>
        <v>0</v>
      </c>
      <c r="CQ661" s="158">
        <f t="shared" si="352"/>
        <v>0</v>
      </c>
      <c r="CR661" s="158">
        <f t="shared" si="352"/>
        <v>0</v>
      </c>
      <c r="CS661" s="158">
        <f t="shared" si="352"/>
        <v>0</v>
      </c>
      <c r="CT661" s="394">
        <f>SUM(CT659:CT660)</f>
        <v>35436120</v>
      </c>
      <c r="CU661" s="158">
        <f>SUM(CU659:CU660)</f>
        <v>19566667</v>
      </c>
      <c r="CV661" s="158">
        <f>SUM(CV659:CV660)</f>
        <v>19566667</v>
      </c>
    </row>
    <row r="662" spans="1:100" ht="15" x14ac:dyDescent="0.25">
      <c r="A662" s="18"/>
      <c r="B662" s="918"/>
      <c r="C662" s="949"/>
      <c r="D662" s="177"/>
      <c r="E662" s="949"/>
      <c r="F662" s="949"/>
      <c r="G662" s="177"/>
      <c r="H662" s="949"/>
      <c r="I662" s="177"/>
      <c r="J662" s="949"/>
      <c r="K662" s="949"/>
      <c r="L662" s="930"/>
      <c r="M662" s="930"/>
      <c r="N662" s="230"/>
      <c r="O662" s="221"/>
      <c r="P662" s="949"/>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0"/>
      <c r="BS662" s="180"/>
      <c r="BT662" s="180"/>
      <c r="BU662" s="180"/>
      <c r="BV662" s="180"/>
      <c r="BW662" s="180"/>
      <c r="BX662" s="180"/>
      <c r="BY662" s="180"/>
      <c r="BZ662" s="180"/>
      <c r="CA662" s="180"/>
      <c r="CB662" s="180"/>
      <c r="CC662" s="180"/>
      <c r="CD662" s="180"/>
      <c r="CE662" s="182"/>
      <c r="CF662" s="182"/>
      <c r="CG662" s="182"/>
      <c r="CH662" s="183"/>
      <c r="CI662" s="183"/>
      <c r="CJ662" s="183"/>
      <c r="CK662" s="180"/>
      <c r="CL662" s="180"/>
      <c r="CM662" s="180"/>
      <c r="CN662" s="180"/>
      <c r="CO662" s="180"/>
      <c r="CP662" s="180"/>
      <c r="CQ662" s="180"/>
      <c r="CR662" s="180"/>
      <c r="CS662" s="180"/>
      <c r="CT662" s="886"/>
      <c r="CU662" s="516"/>
      <c r="CV662" s="516"/>
    </row>
    <row r="663" spans="1:100" ht="15" x14ac:dyDescent="0.25">
      <c r="A663" s="18"/>
      <c r="B663" s="918"/>
      <c r="C663" s="949"/>
      <c r="D663" s="153"/>
      <c r="E663" s="581"/>
      <c r="F663" s="581"/>
      <c r="G663" s="339">
        <v>54</v>
      </c>
      <c r="H663" s="189" t="s">
        <v>817</v>
      </c>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c r="BU663" s="189"/>
      <c r="BV663" s="189"/>
      <c r="BW663" s="189"/>
      <c r="BX663" s="189"/>
      <c r="BY663" s="189"/>
      <c r="BZ663" s="189"/>
      <c r="CA663" s="189"/>
      <c r="CB663" s="189"/>
      <c r="CC663" s="189"/>
      <c r="CD663" s="189"/>
      <c r="CE663" s="190"/>
      <c r="CF663" s="190"/>
      <c r="CG663" s="190"/>
      <c r="CH663" s="189"/>
      <c r="CI663" s="189"/>
      <c r="CJ663" s="189"/>
      <c r="CK663" s="189"/>
      <c r="CL663" s="189"/>
      <c r="CM663" s="189"/>
      <c r="CN663" s="189"/>
      <c r="CO663" s="189"/>
      <c r="CP663" s="189"/>
      <c r="CQ663" s="189"/>
      <c r="CR663" s="189"/>
      <c r="CS663" s="189"/>
      <c r="CT663" s="673"/>
      <c r="CU663" s="522"/>
      <c r="CV663" s="522"/>
    </row>
    <row r="664" spans="1:100" ht="57" customHeight="1" x14ac:dyDescent="0.25">
      <c r="A664" s="18"/>
      <c r="B664" s="918"/>
      <c r="C664" s="1032">
        <v>28</v>
      </c>
      <c r="D664" s="1034" t="s">
        <v>805</v>
      </c>
      <c r="E664" s="1036">
        <v>0.5</v>
      </c>
      <c r="F664" s="1036">
        <v>1</v>
      </c>
      <c r="G664" s="1021"/>
      <c r="H664" s="929">
        <v>175</v>
      </c>
      <c r="I664" s="928" t="s">
        <v>818</v>
      </c>
      <c r="J664" s="929">
        <v>10</v>
      </c>
      <c r="K664" s="929">
        <v>14</v>
      </c>
      <c r="L664" s="929">
        <v>14</v>
      </c>
      <c r="M664" s="1021" t="s">
        <v>670</v>
      </c>
      <c r="N664" s="1017" t="s">
        <v>819</v>
      </c>
      <c r="O664" s="1012" t="s">
        <v>820</v>
      </c>
      <c r="P664" s="929" t="s">
        <v>38</v>
      </c>
      <c r="Q664" s="25">
        <v>0</v>
      </c>
      <c r="R664" s="25"/>
      <c r="S664" s="25"/>
      <c r="T664" s="25">
        <v>0</v>
      </c>
      <c r="U664" s="25"/>
      <c r="V664" s="25"/>
      <c r="W664" s="25">
        <v>0</v>
      </c>
      <c r="X664" s="25"/>
      <c r="Y664" s="25"/>
      <c r="Z664" s="25">
        <v>0</v>
      </c>
      <c r="AA664" s="25"/>
      <c r="AB664" s="25"/>
      <c r="AC664" s="25">
        <v>0</v>
      </c>
      <c r="AD664" s="25"/>
      <c r="AE664" s="25"/>
      <c r="AF664" s="25">
        <v>0</v>
      </c>
      <c r="AG664" s="25"/>
      <c r="AH664" s="25"/>
      <c r="AI664" s="25">
        <v>0</v>
      </c>
      <c r="AJ664" s="25"/>
      <c r="AK664" s="25"/>
      <c r="AL664" s="25"/>
      <c r="AM664" s="25"/>
      <c r="AN664" s="25"/>
      <c r="AO664" s="25"/>
      <c r="AP664" s="25"/>
      <c r="AQ664" s="25"/>
      <c r="AR664" s="25"/>
      <c r="AS664" s="25"/>
      <c r="AT664" s="25"/>
      <c r="AU664" s="3">
        <v>23817720</v>
      </c>
      <c r="AV664" s="3">
        <v>21000000</v>
      </c>
      <c r="AW664" s="3">
        <v>21000000</v>
      </c>
      <c r="AX664" s="3"/>
      <c r="AY664" s="3"/>
      <c r="AZ664" s="3"/>
      <c r="BA664" s="25">
        <v>0</v>
      </c>
      <c r="BB664" s="25"/>
      <c r="BC664" s="25"/>
      <c r="BD664" s="25">
        <v>0</v>
      </c>
      <c r="BE664" s="25"/>
      <c r="BF664" s="25"/>
      <c r="BG664" s="319">
        <v>0</v>
      </c>
      <c r="BH664" s="319"/>
      <c r="BI664" s="319"/>
      <c r="BJ664" s="319">
        <v>0</v>
      </c>
      <c r="BK664" s="319"/>
      <c r="BL664" s="319"/>
      <c r="BM664" s="319"/>
      <c r="BN664" s="319"/>
      <c r="BO664" s="319"/>
      <c r="BP664" s="319">
        <v>0</v>
      </c>
      <c r="BQ664" s="319"/>
      <c r="BR664" s="319"/>
      <c r="BS664" s="319">
        <v>0</v>
      </c>
      <c r="BT664" s="319"/>
      <c r="BU664" s="319"/>
      <c r="BV664" s="319">
        <v>0</v>
      </c>
      <c r="BW664" s="319"/>
      <c r="BX664" s="319"/>
      <c r="BY664" s="319">
        <v>0</v>
      </c>
      <c r="BZ664" s="319"/>
      <c r="CA664" s="319"/>
      <c r="CB664" s="319">
        <v>0</v>
      </c>
      <c r="CC664" s="319"/>
      <c r="CD664" s="319"/>
      <c r="CE664" s="496">
        <v>0</v>
      </c>
      <c r="CF664" s="496"/>
      <c r="CG664" s="496"/>
      <c r="CH664" s="497"/>
      <c r="CI664" s="497"/>
      <c r="CJ664" s="497"/>
      <c r="CK664" s="319">
        <v>0</v>
      </c>
      <c r="CL664" s="288"/>
      <c r="CM664" s="288"/>
      <c r="CN664" s="288">
        <v>0</v>
      </c>
      <c r="CO664" s="288"/>
      <c r="CP664" s="288"/>
      <c r="CQ664" s="288"/>
      <c r="CR664" s="288"/>
      <c r="CS664" s="288"/>
      <c r="CT664" s="886">
        <f t="shared" ref="CT664:CV665" si="353">Q664+T664+W664+Z664+AC664+AF664+AI664+AL664+AO664+AR664+AU664+AX664+BA664+BD664+BG664+BJ664+BM664+BP664+BS664+BV664+BY664+CB664+CE664+CH664+CK664+CQ664+CN664</f>
        <v>23817720</v>
      </c>
      <c r="CU664" s="25">
        <f t="shared" si="353"/>
        <v>21000000</v>
      </c>
      <c r="CV664" s="25">
        <f t="shared" si="353"/>
        <v>21000000</v>
      </c>
    </row>
    <row r="665" spans="1:100" ht="68.25" customHeight="1" x14ac:dyDescent="0.25">
      <c r="A665" s="18"/>
      <c r="B665" s="918"/>
      <c r="C665" s="1033"/>
      <c r="D665" s="1035"/>
      <c r="E665" s="1037"/>
      <c r="F665" s="1037"/>
      <c r="G665" s="1022"/>
      <c r="H665" s="929">
        <v>176</v>
      </c>
      <c r="I665" s="928" t="s">
        <v>821</v>
      </c>
      <c r="J665" s="929">
        <v>2</v>
      </c>
      <c r="K665" s="929">
        <v>2</v>
      </c>
      <c r="L665" s="916">
        <v>2</v>
      </c>
      <c r="M665" s="1022"/>
      <c r="N665" s="1019"/>
      <c r="O665" s="1013"/>
      <c r="P665" s="929" t="s">
        <v>38</v>
      </c>
      <c r="Q665" s="25">
        <v>0</v>
      </c>
      <c r="R665" s="25"/>
      <c r="S665" s="25"/>
      <c r="T665" s="25">
        <v>0</v>
      </c>
      <c r="U665" s="25"/>
      <c r="V665" s="25"/>
      <c r="W665" s="25">
        <v>0</v>
      </c>
      <c r="X665" s="25"/>
      <c r="Y665" s="25"/>
      <c r="Z665" s="25">
        <v>0</v>
      </c>
      <c r="AA665" s="25"/>
      <c r="AB665" s="25"/>
      <c r="AC665" s="25">
        <v>0</v>
      </c>
      <c r="AD665" s="25"/>
      <c r="AE665" s="25"/>
      <c r="AF665" s="25">
        <v>0</v>
      </c>
      <c r="AG665" s="25"/>
      <c r="AH665" s="25"/>
      <c r="AI665" s="25">
        <v>0</v>
      </c>
      <c r="AJ665" s="25"/>
      <c r="AK665" s="25"/>
      <c r="AL665" s="25"/>
      <c r="AM665" s="25"/>
      <c r="AN665" s="25"/>
      <c r="AO665" s="25"/>
      <c r="AP665" s="25"/>
      <c r="AQ665" s="25"/>
      <c r="AR665" s="25"/>
      <c r="AS665" s="25"/>
      <c r="AT665" s="25"/>
      <c r="AU665" s="250">
        <v>0</v>
      </c>
      <c r="AV665" s="250"/>
      <c r="AW665" s="250"/>
      <c r="AX665" s="250"/>
      <c r="AY665" s="250"/>
      <c r="AZ665" s="250"/>
      <c r="BA665" s="25">
        <v>0</v>
      </c>
      <c r="BB665" s="25"/>
      <c r="BC665" s="25"/>
      <c r="BD665" s="25">
        <v>0</v>
      </c>
      <c r="BE665" s="25"/>
      <c r="BF665" s="25"/>
      <c r="BG665" s="319">
        <v>0</v>
      </c>
      <c r="BH665" s="319"/>
      <c r="BI665" s="319"/>
      <c r="BJ665" s="319">
        <v>0</v>
      </c>
      <c r="BK665" s="319"/>
      <c r="BL665" s="319"/>
      <c r="BM665" s="319"/>
      <c r="BN665" s="319"/>
      <c r="BO665" s="319"/>
      <c r="BP665" s="319">
        <v>0</v>
      </c>
      <c r="BQ665" s="319"/>
      <c r="BR665" s="319"/>
      <c r="BS665" s="319">
        <v>0</v>
      </c>
      <c r="BT665" s="319"/>
      <c r="BU665" s="319"/>
      <c r="BV665" s="319">
        <v>0</v>
      </c>
      <c r="BW665" s="319"/>
      <c r="BX665" s="319"/>
      <c r="BY665" s="319">
        <v>0</v>
      </c>
      <c r="BZ665" s="319"/>
      <c r="CA665" s="319"/>
      <c r="CB665" s="319">
        <v>0</v>
      </c>
      <c r="CC665" s="319"/>
      <c r="CD665" s="319"/>
      <c r="CE665" s="110"/>
      <c r="CF665" s="110"/>
      <c r="CG665" s="110"/>
      <c r="CH665" s="37"/>
      <c r="CI665" s="37"/>
      <c r="CJ665" s="37"/>
      <c r="CK665" s="319">
        <v>0</v>
      </c>
      <c r="CL665" s="288"/>
      <c r="CM665" s="288"/>
      <c r="CN665" s="288">
        <v>0</v>
      </c>
      <c r="CO665" s="288"/>
      <c r="CP665" s="288"/>
      <c r="CQ665" s="288"/>
      <c r="CR665" s="288"/>
      <c r="CS665" s="288"/>
      <c r="CT665" s="886">
        <f t="shared" si="353"/>
        <v>0</v>
      </c>
      <c r="CU665" s="25">
        <f t="shared" si="353"/>
        <v>0</v>
      </c>
      <c r="CV665" s="25">
        <f t="shared" si="353"/>
        <v>0</v>
      </c>
    </row>
    <row r="666" spans="1:100" ht="15" x14ac:dyDescent="0.25">
      <c r="A666" s="18"/>
      <c r="B666" s="918"/>
      <c r="C666" s="927"/>
      <c r="D666" s="153"/>
      <c r="E666" s="581"/>
      <c r="F666" s="581"/>
      <c r="G666" s="154"/>
      <c r="H666" s="155"/>
      <c r="I666" s="154"/>
      <c r="J666" s="155"/>
      <c r="K666" s="155"/>
      <c r="L666" s="155"/>
      <c r="M666" s="155"/>
      <c r="N666" s="157"/>
      <c r="O666" s="154"/>
      <c r="P666" s="155"/>
      <c r="Q666" s="158">
        <f t="shared" ref="Q666:CB666" si="354">SUM(Q664:Q665)</f>
        <v>0</v>
      </c>
      <c r="R666" s="158">
        <f t="shared" si="354"/>
        <v>0</v>
      </c>
      <c r="S666" s="158">
        <f t="shared" si="354"/>
        <v>0</v>
      </c>
      <c r="T666" s="158">
        <f t="shared" si="354"/>
        <v>0</v>
      </c>
      <c r="U666" s="158">
        <f t="shared" si="354"/>
        <v>0</v>
      </c>
      <c r="V666" s="158">
        <f t="shared" si="354"/>
        <v>0</v>
      </c>
      <c r="W666" s="158">
        <f t="shared" si="354"/>
        <v>0</v>
      </c>
      <c r="X666" s="158">
        <f t="shared" si="354"/>
        <v>0</v>
      </c>
      <c r="Y666" s="158">
        <f t="shared" si="354"/>
        <v>0</v>
      </c>
      <c r="Z666" s="158">
        <f t="shared" si="354"/>
        <v>0</v>
      </c>
      <c r="AA666" s="158">
        <f t="shared" si="354"/>
        <v>0</v>
      </c>
      <c r="AB666" s="158">
        <f t="shared" si="354"/>
        <v>0</v>
      </c>
      <c r="AC666" s="158">
        <f t="shared" si="354"/>
        <v>0</v>
      </c>
      <c r="AD666" s="158">
        <f t="shared" si="354"/>
        <v>0</v>
      </c>
      <c r="AE666" s="158">
        <f t="shared" si="354"/>
        <v>0</v>
      </c>
      <c r="AF666" s="158">
        <f t="shared" si="354"/>
        <v>0</v>
      </c>
      <c r="AG666" s="158">
        <f t="shared" si="354"/>
        <v>0</v>
      </c>
      <c r="AH666" s="158">
        <f t="shared" si="354"/>
        <v>0</v>
      </c>
      <c r="AI666" s="158">
        <f t="shared" si="354"/>
        <v>0</v>
      </c>
      <c r="AJ666" s="158">
        <f t="shared" si="354"/>
        <v>0</v>
      </c>
      <c r="AK666" s="158">
        <f t="shared" si="354"/>
        <v>0</v>
      </c>
      <c r="AL666" s="158">
        <f t="shared" si="354"/>
        <v>0</v>
      </c>
      <c r="AM666" s="158">
        <f t="shared" si="354"/>
        <v>0</v>
      </c>
      <c r="AN666" s="158">
        <f t="shared" si="354"/>
        <v>0</v>
      </c>
      <c r="AO666" s="158">
        <f t="shared" si="354"/>
        <v>0</v>
      </c>
      <c r="AP666" s="158">
        <f t="shared" si="354"/>
        <v>0</v>
      </c>
      <c r="AQ666" s="158">
        <f t="shared" si="354"/>
        <v>0</v>
      </c>
      <c r="AR666" s="158">
        <f t="shared" si="354"/>
        <v>0</v>
      </c>
      <c r="AS666" s="158">
        <f t="shared" si="354"/>
        <v>0</v>
      </c>
      <c r="AT666" s="158">
        <f t="shared" si="354"/>
        <v>0</v>
      </c>
      <c r="AU666" s="158">
        <f t="shared" si="354"/>
        <v>23817720</v>
      </c>
      <c r="AV666" s="158">
        <f t="shared" si="354"/>
        <v>21000000</v>
      </c>
      <c r="AW666" s="158">
        <f t="shared" si="354"/>
        <v>21000000</v>
      </c>
      <c r="AX666" s="158">
        <f t="shared" si="354"/>
        <v>0</v>
      </c>
      <c r="AY666" s="158">
        <f t="shared" si="354"/>
        <v>0</v>
      </c>
      <c r="AZ666" s="158">
        <f t="shared" si="354"/>
        <v>0</v>
      </c>
      <c r="BA666" s="158">
        <f t="shared" si="354"/>
        <v>0</v>
      </c>
      <c r="BB666" s="158">
        <f t="shared" si="354"/>
        <v>0</v>
      </c>
      <c r="BC666" s="158">
        <f t="shared" si="354"/>
        <v>0</v>
      </c>
      <c r="BD666" s="158">
        <f t="shared" si="354"/>
        <v>0</v>
      </c>
      <c r="BE666" s="158">
        <f t="shared" si="354"/>
        <v>0</v>
      </c>
      <c r="BF666" s="158">
        <f t="shared" si="354"/>
        <v>0</v>
      </c>
      <c r="BG666" s="158">
        <f t="shared" si="354"/>
        <v>0</v>
      </c>
      <c r="BH666" s="158">
        <f t="shared" si="354"/>
        <v>0</v>
      </c>
      <c r="BI666" s="158">
        <f t="shared" si="354"/>
        <v>0</v>
      </c>
      <c r="BJ666" s="158">
        <f t="shared" si="354"/>
        <v>0</v>
      </c>
      <c r="BK666" s="158">
        <f t="shared" si="354"/>
        <v>0</v>
      </c>
      <c r="BL666" s="158">
        <f t="shared" si="354"/>
        <v>0</v>
      </c>
      <c r="BM666" s="158">
        <f t="shared" si="354"/>
        <v>0</v>
      </c>
      <c r="BN666" s="158">
        <f t="shared" si="354"/>
        <v>0</v>
      </c>
      <c r="BO666" s="158">
        <f t="shared" si="354"/>
        <v>0</v>
      </c>
      <c r="BP666" s="158">
        <f t="shared" si="354"/>
        <v>0</v>
      </c>
      <c r="BQ666" s="158">
        <f t="shared" si="354"/>
        <v>0</v>
      </c>
      <c r="BR666" s="158">
        <f t="shared" si="354"/>
        <v>0</v>
      </c>
      <c r="BS666" s="158">
        <f t="shared" si="354"/>
        <v>0</v>
      </c>
      <c r="BT666" s="158">
        <f t="shared" si="354"/>
        <v>0</v>
      </c>
      <c r="BU666" s="158">
        <f t="shared" si="354"/>
        <v>0</v>
      </c>
      <c r="BV666" s="158">
        <f t="shared" si="354"/>
        <v>0</v>
      </c>
      <c r="BW666" s="158">
        <f t="shared" si="354"/>
        <v>0</v>
      </c>
      <c r="BX666" s="158">
        <f t="shared" si="354"/>
        <v>0</v>
      </c>
      <c r="BY666" s="158">
        <f t="shared" si="354"/>
        <v>0</v>
      </c>
      <c r="BZ666" s="158">
        <f t="shared" si="354"/>
        <v>0</v>
      </c>
      <c r="CA666" s="158">
        <f t="shared" si="354"/>
        <v>0</v>
      </c>
      <c r="CB666" s="158">
        <f t="shared" si="354"/>
        <v>0</v>
      </c>
      <c r="CC666" s="158">
        <f t="shared" ref="CC666:CS666" si="355">SUM(CC664:CC665)</f>
        <v>0</v>
      </c>
      <c r="CD666" s="158">
        <f t="shared" si="355"/>
        <v>0</v>
      </c>
      <c r="CE666" s="158">
        <f t="shared" si="355"/>
        <v>0</v>
      </c>
      <c r="CF666" s="158">
        <f t="shared" si="355"/>
        <v>0</v>
      </c>
      <c r="CG666" s="158">
        <f t="shared" si="355"/>
        <v>0</v>
      </c>
      <c r="CH666" s="158">
        <f t="shared" si="355"/>
        <v>0</v>
      </c>
      <c r="CI666" s="158">
        <f t="shared" si="355"/>
        <v>0</v>
      </c>
      <c r="CJ666" s="158">
        <f t="shared" si="355"/>
        <v>0</v>
      </c>
      <c r="CK666" s="158">
        <f t="shared" si="355"/>
        <v>0</v>
      </c>
      <c r="CL666" s="158">
        <f t="shared" si="355"/>
        <v>0</v>
      </c>
      <c r="CM666" s="158">
        <f t="shared" si="355"/>
        <v>0</v>
      </c>
      <c r="CN666" s="158">
        <f t="shared" si="355"/>
        <v>0</v>
      </c>
      <c r="CO666" s="158">
        <f t="shared" si="355"/>
        <v>0</v>
      </c>
      <c r="CP666" s="158">
        <f t="shared" si="355"/>
        <v>0</v>
      </c>
      <c r="CQ666" s="158">
        <f t="shared" si="355"/>
        <v>0</v>
      </c>
      <c r="CR666" s="158">
        <f t="shared" si="355"/>
        <v>0</v>
      </c>
      <c r="CS666" s="158">
        <f t="shared" si="355"/>
        <v>0</v>
      </c>
      <c r="CT666" s="394">
        <f>SUM(CT664:CT665)</f>
        <v>23817720</v>
      </c>
      <c r="CU666" s="158">
        <f>SUM(CU664:CU665)</f>
        <v>21000000</v>
      </c>
      <c r="CV666" s="158">
        <f>SUM(CV664:CV665)</f>
        <v>21000000</v>
      </c>
    </row>
    <row r="667" spans="1:100" s="27" customFormat="1" ht="15" x14ac:dyDescent="0.25">
      <c r="A667" s="19"/>
      <c r="B667" s="426"/>
      <c r="C667" s="162"/>
      <c r="D667" s="161"/>
      <c r="E667" s="162"/>
      <c r="F667" s="162"/>
      <c r="G667" s="161"/>
      <c r="H667" s="162"/>
      <c r="I667" s="161"/>
      <c r="J667" s="162"/>
      <c r="K667" s="162"/>
      <c r="L667" s="162"/>
      <c r="M667" s="162"/>
      <c r="N667" s="164"/>
      <c r="O667" s="161"/>
      <c r="P667" s="162"/>
      <c r="Q667" s="165">
        <f t="shared" ref="Q667:CB667" si="356">Q666+Q661+Q656+Q650+Q646</f>
        <v>0</v>
      </c>
      <c r="R667" s="165">
        <f t="shared" si="356"/>
        <v>0</v>
      </c>
      <c r="S667" s="165">
        <f t="shared" si="356"/>
        <v>0</v>
      </c>
      <c r="T667" s="165">
        <f t="shared" si="356"/>
        <v>0</v>
      </c>
      <c r="U667" s="165">
        <f t="shared" si="356"/>
        <v>0</v>
      </c>
      <c r="V667" s="165">
        <f t="shared" si="356"/>
        <v>0</v>
      </c>
      <c r="W667" s="165">
        <f t="shared" si="356"/>
        <v>0</v>
      </c>
      <c r="X667" s="165">
        <f t="shared" si="356"/>
        <v>0</v>
      </c>
      <c r="Y667" s="165">
        <f t="shared" si="356"/>
        <v>0</v>
      </c>
      <c r="Z667" s="165">
        <f t="shared" si="356"/>
        <v>0</v>
      </c>
      <c r="AA667" s="165">
        <f t="shared" si="356"/>
        <v>0</v>
      </c>
      <c r="AB667" s="165">
        <f t="shared" si="356"/>
        <v>0</v>
      </c>
      <c r="AC667" s="165">
        <f t="shared" si="356"/>
        <v>0</v>
      </c>
      <c r="AD667" s="165">
        <f t="shared" si="356"/>
        <v>0</v>
      </c>
      <c r="AE667" s="165">
        <f t="shared" si="356"/>
        <v>0</v>
      </c>
      <c r="AF667" s="165">
        <f t="shared" si="356"/>
        <v>0</v>
      </c>
      <c r="AG667" s="165">
        <f t="shared" si="356"/>
        <v>0</v>
      </c>
      <c r="AH667" s="165">
        <f t="shared" si="356"/>
        <v>0</v>
      </c>
      <c r="AI667" s="165">
        <f t="shared" si="356"/>
        <v>1839000000</v>
      </c>
      <c r="AJ667" s="165">
        <f t="shared" si="356"/>
        <v>1669103318</v>
      </c>
      <c r="AK667" s="165">
        <f t="shared" si="356"/>
        <v>1669103318</v>
      </c>
      <c r="AL667" s="165">
        <f t="shared" si="356"/>
        <v>300000000</v>
      </c>
      <c r="AM667" s="165">
        <f t="shared" si="356"/>
        <v>300000000</v>
      </c>
      <c r="AN667" s="165">
        <f t="shared" si="356"/>
        <v>300000000</v>
      </c>
      <c r="AO667" s="165">
        <f t="shared" si="356"/>
        <v>3775114443</v>
      </c>
      <c r="AP667" s="165">
        <f t="shared" si="356"/>
        <v>3775114443</v>
      </c>
      <c r="AQ667" s="165">
        <f t="shared" si="356"/>
        <v>3775114443</v>
      </c>
      <c r="AR667" s="165">
        <f t="shared" si="356"/>
        <v>5974899521</v>
      </c>
      <c r="AS667" s="165">
        <f t="shared" si="356"/>
        <v>5446738940</v>
      </c>
      <c r="AT667" s="165">
        <f t="shared" si="356"/>
        <v>4789088940</v>
      </c>
      <c r="AU667" s="165">
        <f t="shared" si="356"/>
        <v>7030640593</v>
      </c>
      <c r="AV667" s="165">
        <f t="shared" si="356"/>
        <v>6419416773</v>
      </c>
      <c r="AW667" s="165">
        <f t="shared" si="356"/>
        <v>6419416773</v>
      </c>
      <c r="AX667" s="165">
        <f t="shared" si="356"/>
        <v>0</v>
      </c>
      <c r="AY667" s="165">
        <f t="shared" si="356"/>
        <v>0</v>
      </c>
      <c r="AZ667" s="165">
        <f t="shared" si="356"/>
        <v>0</v>
      </c>
      <c r="BA667" s="165">
        <f t="shared" si="356"/>
        <v>0</v>
      </c>
      <c r="BB667" s="165">
        <f t="shared" si="356"/>
        <v>0</v>
      </c>
      <c r="BC667" s="165">
        <f t="shared" si="356"/>
        <v>0</v>
      </c>
      <c r="BD667" s="165">
        <f t="shared" si="356"/>
        <v>2846900107</v>
      </c>
      <c r="BE667" s="165">
        <f t="shared" si="356"/>
        <v>2846899607</v>
      </c>
      <c r="BF667" s="165">
        <f t="shared" si="356"/>
        <v>2846899607</v>
      </c>
      <c r="BG667" s="165">
        <f t="shared" si="356"/>
        <v>0</v>
      </c>
      <c r="BH667" s="165">
        <f t="shared" si="356"/>
        <v>0</v>
      </c>
      <c r="BI667" s="165">
        <f t="shared" si="356"/>
        <v>0</v>
      </c>
      <c r="BJ667" s="165">
        <f t="shared" si="356"/>
        <v>0</v>
      </c>
      <c r="BK667" s="165">
        <f t="shared" si="356"/>
        <v>0</v>
      </c>
      <c r="BL667" s="165">
        <f t="shared" si="356"/>
        <v>0</v>
      </c>
      <c r="BM667" s="165">
        <f t="shared" si="356"/>
        <v>0</v>
      </c>
      <c r="BN667" s="165">
        <f t="shared" si="356"/>
        <v>0</v>
      </c>
      <c r="BO667" s="165">
        <f t="shared" si="356"/>
        <v>0</v>
      </c>
      <c r="BP667" s="165">
        <f t="shared" si="356"/>
        <v>0</v>
      </c>
      <c r="BQ667" s="165">
        <f t="shared" si="356"/>
        <v>0</v>
      </c>
      <c r="BR667" s="165">
        <f t="shared" si="356"/>
        <v>0</v>
      </c>
      <c r="BS667" s="165">
        <f t="shared" si="356"/>
        <v>0</v>
      </c>
      <c r="BT667" s="165">
        <f t="shared" si="356"/>
        <v>0</v>
      </c>
      <c r="BU667" s="165">
        <f t="shared" si="356"/>
        <v>0</v>
      </c>
      <c r="BV667" s="165">
        <f t="shared" si="356"/>
        <v>0</v>
      </c>
      <c r="BW667" s="165">
        <f t="shared" si="356"/>
        <v>0</v>
      </c>
      <c r="BX667" s="165">
        <f t="shared" si="356"/>
        <v>0</v>
      </c>
      <c r="BY667" s="165">
        <f t="shared" si="356"/>
        <v>0</v>
      </c>
      <c r="BZ667" s="165">
        <f t="shared" si="356"/>
        <v>0</v>
      </c>
      <c r="CA667" s="165">
        <f t="shared" si="356"/>
        <v>0</v>
      </c>
      <c r="CB667" s="165">
        <f t="shared" si="356"/>
        <v>0</v>
      </c>
      <c r="CC667" s="165">
        <f t="shared" ref="CC667:CS667" si="357">CC666+CC661+CC656+CC650+CC646</f>
        <v>0</v>
      </c>
      <c r="CD667" s="165">
        <f t="shared" si="357"/>
        <v>0</v>
      </c>
      <c r="CE667" s="165">
        <f t="shared" si="357"/>
        <v>1300000000</v>
      </c>
      <c r="CF667" s="165">
        <f t="shared" si="357"/>
        <v>825085124</v>
      </c>
      <c r="CG667" s="165">
        <f t="shared" si="357"/>
        <v>798085034</v>
      </c>
      <c r="CH667" s="165">
        <f t="shared" si="357"/>
        <v>0</v>
      </c>
      <c r="CI667" s="165">
        <f t="shared" si="357"/>
        <v>0</v>
      </c>
      <c r="CJ667" s="165">
        <f t="shared" si="357"/>
        <v>0</v>
      </c>
      <c r="CK667" s="165">
        <f t="shared" si="357"/>
        <v>0</v>
      </c>
      <c r="CL667" s="165">
        <f t="shared" si="357"/>
        <v>0</v>
      </c>
      <c r="CM667" s="165">
        <f t="shared" si="357"/>
        <v>0</v>
      </c>
      <c r="CN667" s="165">
        <f t="shared" si="357"/>
        <v>1815360145</v>
      </c>
      <c r="CO667" s="165">
        <f t="shared" si="357"/>
        <v>1362334639</v>
      </c>
      <c r="CP667" s="165">
        <f t="shared" si="357"/>
        <v>1305291639</v>
      </c>
      <c r="CQ667" s="165">
        <f t="shared" si="357"/>
        <v>0</v>
      </c>
      <c r="CR667" s="165">
        <f t="shared" si="357"/>
        <v>0</v>
      </c>
      <c r="CS667" s="165">
        <f t="shared" si="357"/>
        <v>0</v>
      </c>
      <c r="CT667" s="395">
        <f>CT666+CT661+CT656+CT650+CT646</f>
        <v>24881914809</v>
      </c>
      <c r="CU667" s="165">
        <f>CU666+CU661+CU656+CU650+CU646</f>
        <v>22644692844</v>
      </c>
      <c r="CV667" s="165">
        <f>CV666+CV661+CV656+CV650+CV646</f>
        <v>21902999754</v>
      </c>
    </row>
    <row r="668" spans="1:100" s="27" customFormat="1" ht="15" x14ac:dyDescent="0.25">
      <c r="A668" s="19"/>
      <c r="B668" s="177"/>
      <c r="C668" s="949"/>
      <c r="D668" s="177"/>
      <c r="E668" s="949"/>
      <c r="F668" s="949"/>
      <c r="G668" s="177"/>
      <c r="H668" s="949"/>
      <c r="I668" s="177"/>
      <c r="J668" s="949"/>
      <c r="K668" s="949"/>
      <c r="L668" s="930"/>
      <c r="M668" s="930"/>
      <c r="N668" s="230"/>
      <c r="O668" s="221"/>
      <c r="P668" s="949"/>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0"/>
      <c r="BS668" s="180"/>
      <c r="BT668" s="180"/>
      <c r="BU668" s="180"/>
      <c r="BV668" s="180"/>
      <c r="BW668" s="180"/>
      <c r="BX668" s="180"/>
      <c r="BY668" s="180"/>
      <c r="BZ668" s="180"/>
      <c r="CA668" s="180"/>
      <c r="CB668" s="180"/>
      <c r="CC668" s="180"/>
      <c r="CD668" s="180"/>
      <c r="CE668" s="182"/>
      <c r="CF668" s="182"/>
      <c r="CG668" s="182"/>
      <c r="CH668" s="180"/>
      <c r="CI668" s="180"/>
      <c r="CJ668" s="180"/>
      <c r="CK668" s="180"/>
      <c r="CL668" s="180"/>
      <c r="CM668" s="180"/>
      <c r="CN668" s="180"/>
      <c r="CO668" s="180"/>
      <c r="CP668" s="180"/>
      <c r="CQ668" s="180"/>
      <c r="CR668" s="180"/>
      <c r="CS668" s="180"/>
      <c r="CT668" s="886"/>
      <c r="CU668" s="76"/>
      <c r="CV668" s="76"/>
    </row>
    <row r="669" spans="1:100" s="27" customFormat="1" ht="15" x14ac:dyDescent="0.25">
      <c r="A669" s="19"/>
      <c r="B669" s="521">
        <v>15</v>
      </c>
      <c r="C669" s="145" t="s">
        <v>822</v>
      </c>
      <c r="D669" s="146"/>
      <c r="E669" s="146"/>
      <c r="F669" s="146"/>
      <c r="G669" s="146"/>
      <c r="H669" s="147"/>
      <c r="I669" s="146"/>
      <c r="J669" s="146"/>
      <c r="K669" s="146"/>
      <c r="L669" s="146"/>
      <c r="M669" s="146"/>
      <c r="N669" s="677"/>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c r="BI669" s="146"/>
      <c r="BJ669" s="146"/>
      <c r="BK669" s="146"/>
      <c r="BL669" s="146"/>
      <c r="BM669" s="146"/>
      <c r="BN669" s="146"/>
      <c r="BO669" s="146"/>
      <c r="BP669" s="146"/>
      <c r="BQ669" s="146"/>
      <c r="BR669" s="146"/>
      <c r="BS669" s="146"/>
      <c r="BT669" s="146"/>
      <c r="BU669" s="146"/>
      <c r="BV669" s="146"/>
      <c r="BW669" s="146"/>
      <c r="BX669" s="146"/>
      <c r="BY669" s="146"/>
      <c r="BZ669" s="146"/>
      <c r="CA669" s="146"/>
      <c r="CB669" s="146"/>
      <c r="CC669" s="146"/>
      <c r="CD669" s="146"/>
      <c r="CE669" s="148"/>
      <c r="CF669" s="148"/>
      <c r="CG669" s="148"/>
      <c r="CH669" s="146"/>
      <c r="CI669" s="146"/>
      <c r="CJ669" s="146"/>
      <c r="CK669" s="146"/>
      <c r="CL669" s="146"/>
      <c r="CM669" s="146"/>
      <c r="CN669" s="146"/>
      <c r="CO669" s="146"/>
      <c r="CP669" s="146"/>
      <c r="CQ669" s="146"/>
      <c r="CR669" s="146"/>
      <c r="CS669" s="146"/>
      <c r="CT669" s="674"/>
      <c r="CU669" s="526"/>
      <c r="CV669" s="526"/>
    </row>
    <row r="670" spans="1:100" s="27" customFormat="1" ht="15" x14ac:dyDescent="0.25">
      <c r="A670" s="18"/>
      <c r="B670" s="19"/>
      <c r="C670" s="949"/>
      <c r="D670" s="177"/>
      <c r="E670" s="949"/>
      <c r="F670" s="927"/>
      <c r="G670" s="339">
        <v>55</v>
      </c>
      <c r="H670" s="189" t="s">
        <v>823</v>
      </c>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c r="BU670" s="189"/>
      <c r="BV670" s="189"/>
      <c r="BW670" s="189"/>
      <c r="BX670" s="189"/>
      <c r="BY670" s="189"/>
      <c r="BZ670" s="189"/>
      <c r="CA670" s="189"/>
      <c r="CB670" s="189"/>
      <c r="CC670" s="189"/>
      <c r="CD670" s="189"/>
      <c r="CE670" s="190"/>
      <c r="CF670" s="190"/>
      <c r="CG670" s="190"/>
      <c r="CH670" s="189"/>
      <c r="CI670" s="189"/>
      <c r="CJ670" s="189"/>
      <c r="CK670" s="189"/>
      <c r="CL670" s="189"/>
      <c r="CM670" s="189"/>
      <c r="CN670" s="189"/>
      <c r="CO670" s="189"/>
      <c r="CP670" s="189"/>
      <c r="CQ670" s="189"/>
      <c r="CR670" s="189"/>
      <c r="CS670" s="189"/>
      <c r="CT670" s="673"/>
      <c r="CU670" s="522"/>
      <c r="CV670" s="522"/>
    </row>
    <row r="671" spans="1:100" s="459" customFormat="1" ht="55.5" customHeight="1" x14ac:dyDescent="0.25">
      <c r="A671" s="18"/>
      <c r="B671" s="918"/>
      <c r="C671" s="927" t="s">
        <v>702</v>
      </c>
      <c r="D671" s="475" t="s">
        <v>824</v>
      </c>
      <c r="E671" s="527">
        <v>2</v>
      </c>
      <c r="F671" s="518">
        <v>2</v>
      </c>
      <c r="G671" s="1021"/>
      <c r="H671" s="929">
        <v>177</v>
      </c>
      <c r="I671" s="928" t="s">
        <v>825</v>
      </c>
      <c r="J671" s="929">
        <v>2</v>
      </c>
      <c r="K671" s="929">
        <v>2</v>
      </c>
      <c r="L671" s="929">
        <v>2</v>
      </c>
      <c r="M671" s="1021" t="s">
        <v>670</v>
      </c>
      <c r="N671" s="1017" t="s">
        <v>826</v>
      </c>
      <c r="O671" s="1012" t="s">
        <v>827</v>
      </c>
      <c r="P671" s="56" t="s">
        <v>38</v>
      </c>
      <c r="Q671" s="25">
        <v>0</v>
      </c>
      <c r="R671" s="25"/>
      <c r="S671" s="25"/>
      <c r="T671" s="25">
        <v>0</v>
      </c>
      <c r="U671" s="25"/>
      <c r="V671" s="25"/>
      <c r="W671" s="25">
        <v>0</v>
      </c>
      <c r="X671" s="25"/>
      <c r="Y671" s="25"/>
      <c r="Z671" s="25">
        <v>0</v>
      </c>
      <c r="AA671" s="25"/>
      <c r="AB671" s="25"/>
      <c r="AC671" s="25">
        <v>0</v>
      </c>
      <c r="AD671" s="25"/>
      <c r="AE671" s="25"/>
      <c r="AF671" s="25">
        <v>0</v>
      </c>
      <c r="AG671" s="25"/>
      <c r="AH671" s="25"/>
      <c r="AI671" s="25">
        <v>0</v>
      </c>
      <c r="AJ671" s="25"/>
      <c r="AK671" s="25"/>
      <c r="AL671" s="25"/>
      <c r="AM671" s="25"/>
      <c r="AN671" s="25"/>
      <c r="AO671" s="25"/>
      <c r="AP671" s="25"/>
      <c r="AQ671" s="25"/>
      <c r="AR671" s="25"/>
      <c r="AS671" s="25"/>
      <c r="AT671" s="25"/>
      <c r="AU671" s="250">
        <v>0</v>
      </c>
      <c r="AV671" s="250"/>
      <c r="AW671" s="250"/>
      <c r="AX671" s="250"/>
      <c r="AY671" s="250"/>
      <c r="AZ671" s="250"/>
      <c r="BA671" s="250">
        <v>0</v>
      </c>
      <c r="BB671" s="250"/>
      <c r="BC671" s="250"/>
      <c r="BD671" s="319">
        <v>0</v>
      </c>
      <c r="BE671" s="319"/>
      <c r="BF671" s="319"/>
      <c r="BG671" s="250"/>
      <c r="BH671" s="250"/>
      <c r="BI671" s="250"/>
      <c r="BJ671" s="250"/>
      <c r="BK671" s="250"/>
      <c r="BL671" s="250"/>
      <c r="BM671" s="250"/>
      <c r="BN671" s="250"/>
      <c r="BO671" s="250"/>
      <c r="BP671" s="250"/>
      <c r="BQ671" s="250"/>
      <c r="BR671" s="250"/>
      <c r="BS671" s="250"/>
      <c r="BT671" s="250"/>
      <c r="BU671" s="250"/>
      <c r="BV671" s="250"/>
      <c r="BW671" s="250"/>
      <c r="BX671" s="250"/>
      <c r="BY671" s="319">
        <v>0</v>
      </c>
      <c r="BZ671" s="319"/>
      <c r="CA671" s="319"/>
      <c r="CB671" s="319">
        <v>0</v>
      </c>
      <c r="CC671" s="319"/>
      <c r="CD671" s="319"/>
      <c r="CE671" s="496">
        <v>0</v>
      </c>
      <c r="CF671" s="496"/>
      <c r="CG671" s="496"/>
      <c r="CH671" s="497"/>
      <c r="CI671" s="497"/>
      <c r="CJ671" s="497"/>
      <c r="CK671" s="319">
        <v>0</v>
      </c>
      <c r="CL671" s="288"/>
      <c r="CM671" s="288"/>
      <c r="CN671" s="288">
        <v>0</v>
      </c>
      <c r="CO671" s="288"/>
      <c r="CP671" s="288"/>
      <c r="CQ671" s="288"/>
      <c r="CR671" s="288"/>
      <c r="CS671" s="288"/>
      <c r="CT671" s="886">
        <f t="shared" ref="CT671:CV673" si="358">Q671+T671+W671+Z671+AC671+AF671+AI671+AL671+AO671+AR671+AU671+AX671+BA671+BD671+BG671+BJ671+BM671+BP671+BS671+BV671+BY671+CB671+CE671+CH671+CK671+CQ671+CN671</f>
        <v>0</v>
      </c>
      <c r="CU671" s="25">
        <f t="shared" si="358"/>
        <v>0</v>
      </c>
      <c r="CV671" s="25">
        <f t="shared" si="358"/>
        <v>0</v>
      </c>
    </row>
    <row r="672" spans="1:100" s="459" customFormat="1" ht="106.5" customHeight="1" x14ac:dyDescent="0.25">
      <c r="A672" s="18"/>
      <c r="B672" s="918"/>
      <c r="C672" s="927" t="s">
        <v>702</v>
      </c>
      <c r="D672" s="5" t="s">
        <v>828</v>
      </c>
      <c r="E672" s="528">
        <v>0</v>
      </c>
      <c r="F672" s="528">
        <v>0.8</v>
      </c>
      <c r="G672" s="1023"/>
      <c r="H672" s="929">
        <v>178</v>
      </c>
      <c r="I672" s="928" t="s">
        <v>829</v>
      </c>
      <c r="J672" s="929">
        <v>0</v>
      </c>
      <c r="K672" s="929">
        <v>3</v>
      </c>
      <c r="L672" s="929">
        <v>3</v>
      </c>
      <c r="M672" s="1023"/>
      <c r="N672" s="1018"/>
      <c r="O672" s="1020"/>
      <c r="P672" s="56" t="s">
        <v>38</v>
      </c>
      <c r="Q672" s="25">
        <v>0</v>
      </c>
      <c r="R672" s="25"/>
      <c r="S672" s="25"/>
      <c r="T672" s="25">
        <v>0</v>
      </c>
      <c r="U672" s="25"/>
      <c r="V672" s="25"/>
      <c r="W672" s="25">
        <v>0</v>
      </c>
      <c r="X672" s="25"/>
      <c r="Y672" s="25"/>
      <c r="Z672" s="25">
        <v>0</v>
      </c>
      <c r="AA672" s="25"/>
      <c r="AB672" s="25"/>
      <c r="AC672" s="25">
        <v>0</v>
      </c>
      <c r="AD672" s="25"/>
      <c r="AE672" s="25"/>
      <c r="AF672" s="25">
        <v>0</v>
      </c>
      <c r="AG672" s="25"/>
      <c r="AH672" s="25"/>
      <c r="AI672" s="25">
        <v>0</v>
      </c>
      <c r="AJ672" s="25"/>
      <c r="AK672" s="25"/>
      <c r="AL672" s="25"/>
      <c r="AM672" s="25"/>
      <c r="AN672" s="25"/>
      <c r="AO672" s="25"/>
      <c r="AP672" s="25"/>
      <c r="AQ672" s="25"/>
      <c r="AR672" s="25"/>
      <c r="AS672" s="25"/>
      <c r="AT672" s="25"/>
      <c r="AU672" s="3">
        <v>129545160</v>
      </c>
      <c r="AV672" s="3">
        <v>119632000</v>
      </c>
      <c r="AW672" s="3">
        <v>119632000</v>
      </c>
      <c r="AX672" s="3"/>
      <c r="AY672" s="3"/>
      <c r="AZ672" s="3"/>
      <c r="BA672" s="250">
        <v>0</v>
      </c>
      <c r="BB672" s="250"/>
      <c r="BC672" s="250"/>
      <c r="BD672" s="319">
        <v>0</v>
      </c>
      <c r="BE672" s="319"/>
      <c r="BF672" s="319"/>
      <c r="BG672" s="250"/>
      <c r="BH672" s="250"/>
      <c r="BI672" s="250"/>
      <c r="BJ672" s="250"/>
      <c r="BK672" s="250"/>
      <c r="BL672" s="250"/>
      <c r="BM672" s="250"/>
      <c r="BN672" s="250"/>
      <c r="BO672" s="250"/>
      <c r="BP672" s="250"/>
      <c r="BQ672" s="250"/>
      <c r="BR672" s="250"/>
      <c r="BS672" s="250"/>
      <c r="BT672" s="250"/>
      <c r="BU672" s="250"/>
      <c r="BV672" s="250"/>
      <c r="BW672" s="250"/>
      <c r="BX672" s="250"/>
      <c r="BY672" s="319">
        <v>0</v>
      </c>
      <c r="BZ672" s="319"/>
      <c r="CA672" s="319"/>
      <c r="CB672" s="319">
        <v>0</v>
      </c>
      <c r="CC672" s="319"/>
      <c r="CD672" s="319"/>
      <c r="CE672" s="496">
        <v>0</v>
      </c>
      <c r="CF672" s="496"/>
      <c r="CG672" s="496"/>
      <c r="CH672" s="497"/>
      <c r="CI672" s="497"/>
      <c r="CJ672" s="497"/>
      <c r="CK672" s="319">
        <v>0</v>
      </c>
      <c r="CL672" s="288"/>
      <c r="CM672" s="288"/>
      <c r="CN672" s="288"/>
      <c r="CO672" s="288"/>
      <c r="CP672" s="288"/>
      <c r="CQ672" s="288"/>
      <c r="CR672" s="288"/>
      <c r="CS672" s="288"/>
      <c r="CT672" s="886">
        <f t="shared" si="358"/>
        <v>129545160</v>
      </c>
      <c r="CU672" s="25">
        <f t="shared" si="358"/>
        <v>119632000</v>
      </c>
      <c r="CV672" s="25">
        <f t="shared" si="358"/>
        <v>119632000</v>
      </c>
    </row>
    <row r="673" spans="1:100" s="459" customFormat="1" ht="52.5" customHeight="1" x14ac:dyDescent="0.25">
      <c r="A673" s="18"/>
      <c r="B673" s="918"/>
      <c r="C673" s="927" t="s">
        <v>702</v>
      </c>
      <c r="D673" s="5" t="s">
        <v>830</v>
      </c>
      <c r="E673" s="528" t="s">
        <v>30</v>
      </c>
      <c r="F673" s="528">
        <v>0.9</v>
      </c>
      <c r="G673" s="1022"/>
      <c r="H673" s="929">
        <v>179</v>
      </c>
      <c r="I673" s="928" t="s">
        <v>831</v>
      </c>
      <c r="J673" s="929">
        <v>4</v>
      </c>
      <c r="K673" s="929">
        <v>4</v>
      </c>
      <c r="L673" s="929">
        <v>4</v>
      </c>
      <c r="M673" s="1022"/>
      <c r="N673" s="1019"/>
      <c r="O673" s="1013"/>
      <c r="P673" s="56" t="s">
        <v>38</v>
      </c>
      <c r="Q673" s="25">
        <v>0</v>
      </c>
      <c r="R673" s="25"/>
      <c r="S673" s="25"/>
      <c r="T673" s="25">
        <v>0</v>
      </c>
      <c r="U673" s="25"/>
      <c r="V673" s="25"/>
      <c r="W673" s="25">
        <v>0</v>
      </c>
      <c r="X673" s="25"/>
      <c r="Y673" s="25"/>
      <c r="Z673" s="25">
        <v>0</v>
      </c>
      <c r="AA673" s="25"/>
      <c r="AB673" s="25"/>
      <c r="AC673" s="25">
        <v>0</v>
      </c>
      <c r="AD673" s="25"/>
      <c r="AE673" s="25"/>
      <c r="AF673" s="25">
        <v>0</v>
      </c>
      <c r="AG673" s="25"/>
      <c r="AH673" s="25"/>
      <c r="AI673" s="25">
        <v>0</v>
      </c>
      <c r="AJ673" s="25"/>
      <c r="AK673" s="25"/>
      <c r="AL673" s="25"/>
      <c r="AM673" s="25"/>
      <c r="AN673" s="25"/>
      <c r="AO673" s="25"/>
      <c r="AP673" s="25"/>
      <c r="AQ673" s="25"/>
      <c r="AR673" s="25"/>
      <c r="AS673" s="25"/>
      <c r="AT673" s="25"/>
      <c r="AU673" s="250">
        <v>0</v>
      </c>
      <c r="AV673" s="250"/>
      <c r="AW673" s="250"/>
      <c r="AX673" s="250"/>
      <c r="AY673" s="250"/>
      <c r="AZ673" s="250"/>
      <c r="BA673" s="250">
        <v>0</v>
      </c>
      <c r="BB673" s="250"/>
      <c r="BC673" s="250"/>
      <c r="BD673" s="319">
        <v>0</v>
      </c>
      <c r="BE673" s="319"/>
      <c r="BF673" s="319"/>
      <c r="BG673" s="250"/>
      <c r="BH673" s="250"/>
      <c r="BI673" s="250"/>
      <c r="BJ673" s="250"/>
      <c r="BK673" s="250"/>
      <c r="BL673" s="250"/>
      <c r="BM673" s="250"/>
      <c r="BN673" s="250"/>
      <c r="BO673" s="250"/>
      <c r="BP673" s="250"/>
      <c r="BQ673" s="250"/>
      <c r="BR673" s="250"/>
      <c r="BS673" s="250"/>
      <c r="BT673" s="250"/>
      <c r="BU673" s="250"/>
      <c r="BV673" s="250"/>
      <c r="BW673" s="250"/>
      <c r="BX673" s="250"/>
      <c r="BY673" s="319">
        <v>0</v>
      </c>
      <c r="BZ673" s="319"/>
      <c r="CA673" s="319"/>
      <c r="CB673" s="319">
        <v>0</v>
      </c>
      <c r="CC673" s="319"/>
      <c r="CD673" s="319"/>
      <c r="CE673" s="496">
        <v>0</v>
      </c>
      <c r="CF673" s="496"/>
      <c r="CG673" s="496"/>
      <c r="CH673" s="497"/>
      <c r="CI673" s="497"/>
      <c r="CJ673" s="497"/>
      <c r="CK673" s="319">
        <v>0</v>
      </c>
      <c r="CL673" s="288"/>
      <c r="CM673" s="288"/>
      <c r="CN673" s="288">
        <v>0</v>
      </c>
      <c r="CO673" s="288"/>
      <c r="CP673" s="288"/>
      <c r="CQ673" s="288"/>
      <c r="CR673" s="288"/>
      <c r="CS673" s="288"/>
      <c r="CT673" s="886">
        <f t="shared" si="358"/>
        <v>0</v>
      </c>
      <c r="CU673" s="25">
        <f t="shared" si="358"/>
        <v>0</v>
      </c>
      <c r="CV673" s="25">
        <f t="shared" si="358"/>
        <v>0</v>
      </c>
    </row>
    <row r="674" spans="1:100" s="459" customFormat="1" ht="15" x14ac:dyDescent="0.25">
      <c r="A674" s="18"/>
      <c r="B674" s="918"/>
      <c r="C674" s="927"/>
      <c r="D674" s="153"/>
      <c r="E674" s="581"/>
      <c r="F674" s="581"/>
      <c r="G674" s="154"/>
      <c r="H674" s="155"/>
      <c r="I674" s="154"/>
      <c r="J674" s="155"/>
      <c r="K674" s="155"/>
      <c r="L674" s="155"/>
      <c r="M674" s="155"/>
      <c r="N674" s="887"/>
      <c r="O674" s="888"/>
      <c r="P674" s="889"/>
      <c r="Q674" s="890">
        <f>SUM(Q671:Q673)</f>
        <v>0</v>
      </c>
      <c r="R674" s="890">
        <f t="shared" ref="R674:CC674" si="359">SUM(R671:R673)</f>
        <v>0</v>
      </c>
      <c r="S674" s="890">
        <f t="shared" si="359"/>
        <v>0</v>
      </c>
      <c r="T674" s="890">
        <f t="shared" si="359"/>
        <v>0</v>
      </c>
      <c r="U674" s="890">
        <f t="shared" si="359"/>
        <v>0</v>
      </c>
      <c r="V674" s="890">
        <f t="shared" si="359"/>
        <v>0</v>
      </c>
      <c r="W674" s="890">
        <f t="shared" si="359"/>
        <v>0</v>
      </c>
      <c r="X674" s="890">
        <f t="shared" si="359"/>
        <v>0</v>
      </c>
      <c r="Y674" s="890">
        <f t="shared" si="359"/>
        <v>0</v>
      </c>
      <c r="Z674" s="890">
        <f t="shared" si="359"/>
        <v>0</v>
      </c>
      <c r="AA674" s="890">
        <f t="shared" si="359"/>
        <v>0</v>
      </c>
      <c r="AB674" s="890">
        <f t="shared" si="359"/>
        <v>0</v>
      </c>
      <c r="AC674" s="890">
        <f t="shared" si="359"/>
        <v>0</v>
      </c>
      <c r="AD674" s="890">
        <f t="shared" si="359"/>
        <v>0</v>
      </c>
      <c r="AE674" s="890">
        <f t="shared" si="359"/>
        <v>0</v>
      </c>
      <c r="AF674" s="890">
        <f t="shared" si="359"/>
        <v>0</v>
      </c>
      <c r="AG674" s="890">
        <f t="shared" si="359"/>
        <v>0</v>
      </c>
      <c r="AH674" s="890">
        <f t="shared" si="359"/>
        <v>0</v>
      </c>
      <c r="AI674" s="890">
        <f t="shared" si="359"/>
        <v>0</v>
      </c>
      <c r="AJ674" s="890">
        <f t="shared" si="359"/>
        <v>0</v>
      </c>
      <c r="AK674" s="890">
        <f t="shared" si="359"/>
        <v>0</v>
      </c>
      <c r="AL674" s="890">
        <f t="shared" si="359"/>
        <v>0</v>
      </c>
      <c r="AM674" s="890">
        <f t="shared" si="359"/>
        <v>0</v>
      </c>
      <c r="AN674" s="890">
        <f t="shared" si="359"/>
        <v>0</v>
      </c>
      <c r="AO674" s="890">
        <f t="shared" si="359"/>
        <v>0</v>
      </c>
      <c r="AP674" s="890">
        <f t="shared" si="359"/>
        <v>0</v>
      </c>
      <c r="AQ674" s="890">
        <f t="shared" si="359"/>
        <v>0</v>
      </c>
      <c r="AR674" s="890">
        <f t="shared" si="359"/>
        <v>0</v>
      </c>
      <c r="AS674" s="890">
        <f t="shared" si="359"/>
        <v>0</v>
      </c>
      <c r="AT674" s="890">
        <f t="shared" si="359"/>
        <v>0</v>
      </c>
      <c r="AU674" s="890">
        <f t="shared" si="359"/>
        <v>129545160</v>
      </c>
      <c r="AV674" s="890">
        <f t="shared" si="359"/>
        <v>119632000</v>
      </c>
      <c r="AW674" s="890">
        <f t="shared" si="359"/>
        <v>119632000</v>
      </c>
      <c r="AX674" s="890">
        <f t="shared" si="359"/>
        <v>0</v>
      </c>
      <c r="AY674" s="890">
        <f t="shared" si="359"/>
        <v>0</v>
      </c>
      <c r="AZ674" s="890">
        <f t="shared" si="359"/>
        <v>0</v>
      </c>
      <c r="BA674" s="890">
        <f t="shared" si="359"/>
        <v>0</v>
      </c>
      <c r="BB674" s="890">
        <f t="shared" si="359"/>
        <v>0</v>
      </c>
      <c r="BC674" s="890">
        <f t="shared" si="359"/>
        <v>0</v>
      </c>
      <c r="BD674" s="890">
        <f t="shared" si="359"/>
        <v>0</v>
      </c>
      <c r="BE674" s="890">
        <f t="shared" si="359"/>
        <v>0</v>
      </c>
      <c r="BF674" s="890">
        <f t="shared" si="359"/>
        <v>0</v>
      </c>
      <c r="BG674" s="890">
        <f t="shared" si="359"/>
        <v>0</v>
      </c>
      <c r="BH674" s="890">
        <f t="shared" si="359"/>
        <v>0</v>
      </c>
      <c r="BI674" s="890">
        <f t="shared" si="359"/>
        <v>0</v>
      </c>
      <c r="BJ674" s="890">
        <f t="shared" si="359"/>
        <v>0</v>
      </c>
      <c r="BK674" s="890">
        <f t="shared" si="359"/>
        <v>0</v>
      </c>
      <c r="BL674" s="890">
        <f t="shared" si="359"/>
        <v>0</v>
      </c>
      <c r="BM674" s="890">
        <f t="shared" si="359"/>
        <v>0</v>
      </c>
      <c r="BN674" s="890">
        <f t="shared" si="359"/>
        <v>0</v>
      </c>
      <c r="BO674" s="890">
        <f t="shared" si="359"/>
        <v>0</v>
      </c>
      <c r="BP674" s="890">
        <f t="shared" si="359"/>
        <v>0</v>
      </c>
      <c r="BQ674" s="890">
        <f t="shared" si="359"/>
        <v>0</v>
      </c>
      <c r="BR674" s="890">
        <f t="shared" si="359"/>
        <v>0</v>
      </c>
      <c r="BS674" s="890">
        <f t="shared" si="359"/>
        <v>0</v>
      </c>
      <c r="BT674" s="890">
        <f t="shared" si="359"/>
        <v>0</v>
      </c>
      <c r="BU674" s="890">
        <f t="shared" si="359"/>
        <v>0</v>
      </c>
      <c r="BV674" s="890">
        <f t="shared" si="359"/>
        <v>0</v>
      </c>
      <c r="BW674" s="890">
        <f t="shared" si="359"/>
        <v>0</v>
      </c>
      <c r="BX674" s="890">
        <f t="shared" si="359"/>
        <v>0</v>
      </c>
      <c r="BY674" s="890">
        <f t="shared" si="359"/>
        <v>0</v>
      </c>
      <c r="BZ674" s="890">
        <f t="shared" si="359"/>
        <v>0</v>
      </c>
      <c r="CA674" s="890">
        <f t="shared" si="359"/>
        <v>0</v>
      </c>
      <c r="CB674" s="890">
        <f t="shared" si="359"/>
        <v>0</v>
      </c>
      <c r="CC674" s="890">
        <f t="shared" si="359"/>
        <v>0</v>
      </c>
      <c r="CD674" s="890">
        <f t="shared" ref="CD674:CS674" si="360">SUM(CD671:CD673)</f>
        <v>0</v>
      </c>
      <c r="CE674" s="890">
        <f t="shared" si="360"/>
        <v>0</v>
      </c>
      <c r="CF674" s="890">
        <f t="shared" si="360"/>
        <v>0</v>
      </c>
      <c r="CG674" s="890">
        <f t="shared" si="360"/>
        <v>0</v>
      </c>
      <c r="CH674" s="890">
        <f t="shared" si="360"/>
        <v>0</v>
      </c>
      <c r="CI674" s="890">
        <f t="shared" si="360"/>
        <v>0</v>
      </c>
      <c r="CJ674" s="890">
        <f t="shared" si="360"/>
        <v>0</v>
      </c>
      <c r="CK674" s="890">
        <f t="shared" si="360"/>
        <v>0</v>
      </c>
      <c r="CL674" s="890">
        <f t="shared" si="360"/>
        <v>0</v>
      </c>
      <c r="CM674" s="890">
        <f t="shared" si="360"/>
        <v>0</v>
      </c>
      <c r="CN674" s="890">
        <f t="shared" si="360"/>
        <v>0</v>
      </c>
      <c r="CO674" s="890">
        <f t="shared" si="360"/>
        <v>0</v>
      </c>
      <c r="CP674" s="890">
        <f t="shared" si="360"/>
        <v>0</v>
      </c>
      <c r="CQ674" s="158">
        <f t="shared" si="360"/>
        <v>0</v>
      </c>
      <c r="CR674" s="158">
        <f t="shared" si="360"/>
        <v>0</v>
      </c>
      <c r="CS674" s="158">
        <f t="shared" si="360"/>
        <v>0</v>
      </c>
      <c r="CT674" s="394">
        <f>SUM(CT671:CT673)</f>
        <v>129545160</v>
      </c>
      <c r="CU674" s="158">
        <f>SUM(CU671:CU673)</f>
        <v>119632000</v>
      </c>
      <c r="CV674" s="158">
        <f>SUM(CV671:CV673)</f>
        <v>119632000</v>
      </c>
    </row>
    <row r="675" spans="1:100" s="459" customFormat="1" ht="15" x14ac:dyDescent="0.25">
      <c r="A675" s="152"/>
      <c r="B675" s="426"/>
      <c r="C675" s="162"/>
      <c r="D675" s="161"/>
      <c r="E675" s="162"/>
      <c r="F675" s="162"/>
      <c r="G675" s="161"/>
      <c r="H675" s="162"/>
      <c r="I675" s="161"/>
      <c r="J675" s="162"/>
      <c r="K675" s="162"/>
      <c r="L675" s="162"/>
      <c r="M675" s="162"/>
      <c r="N675" s="891"/>
      <c r="O675" s="892"/>
      <c r="P675" s="893"/>
      <c r="Q675" s="894">
        <f>Q674</f>
        <v>0</v>
      </c>
      <c r="R675" s="894">
        <f t="shared" ref="R675:CC675" si="361">R674</f>
        <v>0</v>
      </c>
      <c r="S675" s="894">
        <f t="shared" si="361"/>
        <v>0</v>
      </c>
      <c r="T675" s="894">
        <f t="shared" si="361"/>
        <v>0</v>
      </c>
      <c r="U675" s="894">
        <f t="shared" si="361"/>
        <v>0</v>
      </c>
      <c r="V675" s="894">
        <f t="shared" si="361"/>
        <v>0</v>
      </c>
      <c r="W675" s="894">
        <f t="shared" si="361"/>
        <v>0</v>
      </c>
      <c r="X675" s="894">
        <f t="shared" si="361"/>
        <v>0</v>
      </c>
      <c r="Y675" s="894">
        <f t="shared" si="361"/>
        <v>0</v>
      </c>
      <c r="Z675" s="894">
        <f t="shared" si="361"/>
        <v>0</v>
      </c>
      <c r="AA675" s="894">
        <f t="shared" si="361"/>
        <v>0</v>
      </c>
      <c r="AB675" s="894">
        <f t="shared" si="361"/>
        <v>0</v>
      </c>
      <c r="AC675" s="894">
        <f t="shared" si="361"/>
        <v>0</v>
      </c>
      <c r="AD675" s="894">
        <f t="shared" si="361"/>
        <v>0</v>
      </c>
      <c r="AE675" s="894">
        <f t="shared" si="361"/>
        <v>0</v>
      </c>
      <c r="AF675" s="894">
        <f t="shared" si="361"/>
        <v>0</v>
      </c>
      <c r="AG675" s="894">
        <f t="shared" si="361"/>
        <v>0</v>
      </c>
      <c r="AH675" s="894">
        <f t="shared" si="361"/>
        <v>0</v>
      </c>
      <c r="AI675" s="894">
        <f t="shared" si="361"/>
        <v>0</v>
      </c>
      <c r="AJ675" s="894">
        <f t="shared" si="361"/>
        <v>0</v>
      </c>
      <c r="AK675" s="894">
        <f t="shared" si="361"/>
        <v>0</v>
      </c>
      <c r="AL675" s="894">
        <f t="shared" si="361"/>
        <v>0</v>
      </c>
      <c r="AM675" s="894">
        <f t="shared" si="361"/>
        <v>0</v>
      </c>
      <c r="AN675" s="894">
        <f t="shared" si="361"/>
        <v>0</v>
      </c>
      <c r="AO675" s="894">
        <f t="shared" si="361"/>
        <v>0</v>
      </c>
      <c r="AP675" s="894">
        <f t="shared" si="361"/>
        <v>0</v>
      </c>
      <c r="AQ675" s="894">
        <f t="shared" si="361"/>
        <v>0</v>
      </c>
      <c r="AR675" s="894">
        <f t="shared" si="361"/>
        <v>0</v>
      </c>
      <c r="AS675" s="894">
        <f t="shared" si="361"/>
        <v>0</v>
      </c>
      <c r="AT675" s="894">
        <f t="shared" si="361"/>
        <v>0</v>
      </c>
      <c r="AU675" s="894">
        <f t="shared" si="361"/>
        <v>129545160</v>
      </c>
      <c r="AV675" s="894">
        <f t="shared" si="361"/>
        <v>119632000</v>
      </c>
      <c r="AW675" s="894">
        <f t="shared" si="361"/>
        <v>119632000</v>
      </c>
      <c r="AX675" s="894">
        <f t="shared" si="361"/>
        <v>0</v>
      </c>
      <c r="AY675" s="894">
        <f t="shared" si="361"/>
        <v>0</v>
      </c>
      <c r="AZ675" s="894">
        <f t="shared" si="361"/>
        <v>0</v>
      </c>
      <c r="BA675" s="894">
        <f t="shared" si="361"/>
        <v>0</v>
      </c>
      <c r="BB675" s="894">
        <f t="shared" si="361"/>
        <v>0</v>
      </c>
      <c r="BC675" s="894">
        <f t="shared" si="361"/>
        <v>0</v>
      </c>
      <c r="BD675" s="894">
        <f t="shared" si="361"/>
        <v>0</v>
      </c>
      <c r="BE675" s="894">
        <f t="shared" si="361"/>
        <v>0</v>
      </c>
      <c r="BF675" s="894">
        <f t="shared" si="361"/>
        <v>0</v>
      </c>
      <c r="BG675" s="894">
        <f t="shared" si="361"/>
        <v>0</v>
      </c>
      <c r="BH675" s="894">
        <f t="shared" si="361"/>
        <v>0</v>
      </c>
      <c r="BI675" s="894">
        <f t="shared" si="361"/>
        <v>0</v>
      </c>
      <c r="BJ675" s="894">
        <f t="shared" si="361"/>
        <v>0</v>
      </c>
      <c r="BK675" s="894">
        <f t="shared" si="361"/>
        <v>0</v>
      </c>
      <c r="BL675" s="894">
        <f t="shared" si="361"/>
        <v>0</v>
      </c>
      <c r="BM675" s="894">
        <f t="shared" si="361"/>
        <v>0</v>
      </c>
      <c r="BN675" s="894">
        <f t="shared" si="361"/>
        <v>0</v>
      </c>
      <c r="BO675" s="894">
        <f t="shared" si="361"/>
        <v>0</v>
      </c>
      <c r="BP675" s="894">
        <f t="shared" si="361"/>
        <v>0</v>
      </c>
      <c r="BQ675" s="894">
        <f t="shared" si="361"/>
        <v>0</v>
      </c>
      <c r="BR675" s="894">
        <f t="shared" si="361"/>
        <v>0</v>
      </c>
      <c r="BS675" s="894">
        <f t="shared" si="361"/>
        <v>0</v>
      </c>
      <c r="BT675" s="894">
        <f t="shared" si="361"/>
        <v>0</v>
      </c>
      <c r="BU675" s="894">
        <f t="shared" si="361"/>
        <v>0</v>
      </c>
      <c r="BV675" s="894">
        <f t="shared" si="361"/>
        <v>0</v>
      </c>
      <c r="BW675" s="894">
        <f t="shared" si="361"/>
        <v>0</v>
      </c>
      <c r="BX675" s="894">
        <f t="shared" si="361"/>
        <v>0</v>
      </c>
      <c r="BY675" s="894">
        <f t="shared" si="361"/>
        <v>0</v>
      </c>
      <c r="BZ675" s="894">
        <f t="shared" si="361"/>
        <v>0</v>
      </c>
      <c r="CA675" s="894">
        <f t="shared" si="361"/>
        <v>0</v>
      </c>
      <c r="CB675" s="894">
        <f t="shared" si="361"/>
        <v>0</v>
      </c>
      <c r="CC675" s="894">
        <f t="shared" si="361"/>
        <v>0</v>
      </c>
      <c r="CD675" s="894">
        <f t="shared" ref="CD675:CS675" si="362">CD674</f>
        <v>0</v>
      </c>
      <c r="CE675" s="894">
        <f t="shared" si="362"/>
        <v>0</v>
      </c>
      <c r="CF675" s="894">
        <f t="shared" si="362"/>
        <v>0</v>
      </c>
      <c r="CG675" s="894">
        <f t="shared" si="362"/>
        <v>0</v>
      </c>
      <c r="CH675" s="894">
        <f t="shared" si="362"/>
        <v>0</v>
      </c>
      <c r="CI675" s="894">
        <f t="shared" si="362"/>
        <v>0</v>
      </c>
      <c r="CJ675" s="894">
        <f t="shared" si="362"/>
        <v>0</v>
      </c>
      <c r="CK675" s="894">
        <f t="shared" si="362"/>
        <v>0</v>
      </c>
      <c r="CL675" s="894">
        <f t="shared" si="362"/>
        <v>0</v>
      </c>
      <c r="CM675" s="894">
        <f t="shared" si="362"/>
        <v>0</v>
      </c>
      <c r="CN675" s="894">
        <f t="shared" si="362"/>
        <v>0</v>
      </c>
      <c r="CO675" s="894">
        <f t="shared" si="362"/>
        <v>0</v>
      </c>
      <c r="CP675" s="894">
        <f t="shared" si="362"/>
        <v>0</v>
      </c>
      <c r="CQ675" s="165">
        <f t="shared" si="362"/>
        <v>0</v>
      </c>
      <c r="CR675" s="165">
        <f t="shared" si="362"/>
        <v>0</v>
      </c>
      <c r="CS675" s="165">
        <f t="shared" si="362"/>
        <v>0</v>
      </c>
      <c r="CT675" s="395">
        <f>CT674</f>
        <v>129545160</v>
      </c>
      <c r="CU675" s="165">
        <f>CU674</f>
        <v>119632000</v>
      </c>
      <c r="CV675" s="165">
        <f>CV674</f>
        <v>119632000</v>
      </c>
    </row>
    <row r="676" spans="1:100" s="459" customFormat="1" ht="15" x14ac:dyDescent="0.25">
      <c r="A676" s="166"/>
      <c r="B676" s="166"/>
      <c r="C676" s="167"/>
      <c r="D676" s="166"/>
      <c r="E676" s="167"/>
      <c r="F676" s="167"/>
      <c r="G676" s="166"/>
      <c r="H676" s="167"/>
      <c r="I676" s="166"/>
      <c r="J676" s="167"/>
      <c r="K676" s="167"/>
      <c r="L676" s="167"/>
      <c r="M676" s="167"/>
      <c r="N676" s="895"/>
      <c r="O676" s="896"/>
      <c r="P676" s="897"/>
      <c r="Q676" s="898">
        <f>Q675+Q667+Q639+Q625+Q557</f>
        <v>0</v>
      </c>
      <c r="R676" s="898">
        <f t="shared" ref="R676:CC676" si="363">R675+R667+R639+R625+R557</f>
        <v>0</v>
      </c>
      <c r="S676" s="898">
        <f t="shared" si="363"/>
        <v>0</v>
      </c>
      <c r="T676" s="898">
        <f t="shared" si="363"/>
        <v>0</v>
      </c>
      <c r="U676" s="898">
        <f t="shared" si="363"/>
        <v>0</v>
      </c>
      <c r="V676" s="898">
        <f t="shared" si="363"/>
        <v>0</v>
      </c>
      <c r="W676" s="898">
        <f t="shared" si="363"/>
        <v>0</v>
      </c>
      <c r="X676" s="898">
        <f t="shared" si="363"/>
        <v>0</v>
      </c>
      <c r="Y676" s="898">
        <f t="shared" si="363"/>
        <v>0</v>
      </c>
      <c r="Z676" s="898">
        <f t="shared" si="363"/>
        <v>0</v>
      </c>
      <c r="AA676" s="898">
        <f t="shared" si="363"/>
        <v>0</v>
      </c>
      <c r="AB676" s="898">
        <f t="shared" si="363"/>
        <v>0</v>
      </c>
      <c r="AC676" s="898">
        <f t="shared" si="363"/>
        <v>0</v>
      </c>
      <c r="AD676" s="898">
        <f t="shared" si="363"/>
        <v>0</v>
      </c>
      <c r="AE676" s="898">
        <f t="shared" si="363"/>
        <v>0</v>
      </c>
      <c r="AF676" s="898">
        <f t="shared" si="363"/>
        <v>0</v>
      </c>
      <c r="AG676" s="898">
        <f t="shared" si="363"/>
        <v>0</v>
      </c>
      <c r="AH676" s="898">
        <f t="shared" si="363"/>
        <v>0</v>
      </c>
      <c r="AI676" s="898">
        <f t="shared" si="363"/>
        <v>1839000000</v>
      </c>
      <c r="AJ676" s="898">
        <f t="shared" si="363"/>
        <v>1669103318</v>
      </c>
      <c r="AK676" s="898">
        <f t="shared" si="363"/>
        <v>1669103318</v>
      </c>
      <c r="AL676" s="898">
        <f t="shared" si="363"/>
        <v>5020955903.996911</v>
      </c>
      <c r="AM676" s="898">
        <f t="shared" si="363"/>
        <v>4576108092.6599998</v>
      </c>
      <c r="AN676" s="898">
        <f t="shared" si="363"/>
        <v>4256113224.3299999</v>
      </c>
      <c r="AO676" s="898">
        <f t="shared" si="363"/>
        <v>3775114443</v>
      </c>
      <c r="AP676" s="898">
        <f t="shared" si="363"/>
        <v>3775114443</v>
      </c>
      <c r="AQ676" s="898">
        <f t="shared" si="363"/>
        <v>3775114443</v>
      </c>
      <c r="AR676" s="898">
        <f t="shared" si="363"/>
        <v>5974899521</v>
      </c>
      <c r="AS676" s="898">
        <f t="shared" si="363"/>
        <v>5446738940</v>
      </c>
      <c r="AT676" s="898">
        <f t="shared" si="363"/>
        <v>4789088940</v>
      </c>
      <c r="AU676" s="898">
        <f t="shared" si="363"/>
        <v>17995884298</v>
      </c>
      <c r="AV676" s="898">
        <f t="shared" si="363"/>
        <v>17320959137.75</v>
      </c>
      <c r="AW676" s="898">
        <f t="shared" si="363"/>
        <v>17316499272.75</v>
      </c>
      <c r="AX676" s="898">
        <f t="shared" si="363"/>
        <v>0</v>
      </c>
      <c r="AY676" s="898">
        <f t="shared" si="363"/>
        <v>0</v>
      </c>
      <c r="AZ676" s="898">
        <f t="shared" si="363"/>
        <v>0</v>
      </c>
      <c r="BA676" s="898">
        <f t="shared" si="363"/>
        <v>1375125452.1300001</v>
      </c>
      <c r="BB676" s="898">
        <f t="shared" si="363"/>
        <v>969465315</v>
      </c>
      <c r="BC676" s="898">
        <f t="shared" si="363"/>
        <v>909465315</v>
      </c>
      <c r="BD676" s="898">
        <f t="shared" si="363"/>
        <v>8005242942</v>
      </c>
      <c r="BE676" s="898">
        <f t="shared" si="363"/>
        <v>7677935485</v>
      </c>
      <c r="BF676" s="898">
        <f t="shared" si="363"/>
        <v>7677935485</v>
      </c>
      <c r="BG676" s="898">
        <f t="shared" si="363"/>
        <v>0</v>
      </c>
      <c r="BH676" s="898">
        <f t="shared" si="363"/>
        <v>0</v>
      </c>
      <c r="BI676" s="898">
        <f t="shared" si="363"/>
        <v>0</v>
      </c>
      <c r="BJ676" s="898">
        <f t="shared" si="363"/>
        <v>0</v>
      </c>
      <c r="BK676" s="898">
        <f t="shared" si="363"/>
        <v>0</v>
      </c>
      <c r="BL676" s="898">
        <f t="shared" si="363"/>
        <v>0</v>
      </c>
      <c r="BM676" s="898">
        <f t="shared" si="363"/>
        <v>0</v>
      </c>
      <c r="BN676" s="898">
        <f t="shared" si="363"/>
        <v>0</v>
      </c>
      <c r="BO676" s="898">
        <f t="shared" si="363"/>
        <v>0</v>
      </c>
      <c r="BP676" s="898">
        <f t="shared" si="363"/>
        <v>0</v>
      </c>
      <c r="BQ676" s="898">
        <f t="shared" si="363"/>
        <v>0</v>
      </c>
      <c r="BR676" s="898">
        <f t="shared" si="363"/>
        <v>0</v>
      </c>
      <c r="BS676" s="898">
        <f t="shared" si="363"/>
        <v>0</v>
      </c>
      <c r="BT676" s="898">
        <f t="shared" si="363"/>
        <v>0</v>
      </c>
      <c r="BU676" s="898">
        <f t="shared" si="363"/>
        <v>0</v>
      </c>
      <c r="BV676" s="898">
        <f t="shared" si="363"/>
        <v>0</v>
      </c>
      <c r="BW676" s="898">
        <f t="shared" si="363"/>
        <v>0</v>
      </c>
      <c r="BX676" s="898">
        <f t="shared" si="363"/>
        <v>0</v>
      </c>
      <c r="BY676" s="898">
        <f t="shared" si="363"/>
        <v>0</v>
      </c>
      <c r="BZ676" s="898">
        <f t="shared" si="363"/>
        <v>0</v>
      </c>
      <c r="CA676" s="898">
        <f t="shared" si="363"/>
        <v>0</v>
      </c>
      <c r="CB676" s="898">
        <f t="shared" si="363"/>
        <v>0</v>
      </c>
      <c r="CC676" s="898">
        <f t="shared" si="363"/>
        <v>0</v>
      </c>
      <c r="CD676" s="898">
        <f t="shared" ref="CD676:CS676" si="364">CD675+CD667+CD639+CD625+CD557</f>
        <v>0</v>
      </c>
      <c r="CE676" s="898">
        <f t="shared" si="364"/>
        <v>1530000000</v>
      </c>
      <c r="CF676" s="898">
        <f t="shared" si="364"/>
        <v>1045485737.6700001</v>
      </c>
      <c r="CG676" s="898">
        <f t="shared" si="364"/>
        <v>1010458981</v>
      </c>
      <c r="CH676" s="898">
        <f t="shared" si="364"/>
        <v>0</v>
      </c>
      <c r="CI676" s="898">
        <f t="shared" si="364"/>
        <v>0</v>
      </c>
      <c r="CJ676" s="898">
        <f t="shared" si="364"/>
        <v>0</v>
      </c>
      <c r="CK676" s="898">
        <f t="shared" si="364"/>
        <v>515209</v>
      </c>
      <c r="CL676" s="898">
        <f t="shared" si="364"/>
        <v>0</v>
      </c>
      <c r="CM676" s="898">
        <f t="shared" si="364"/>
        <v>0</v>
      </c>
      <c r="CN676" s="898">
        <f t="shared" si="364"/>
        <v>2222792250</v>
      </c>
      <c r="CO676" s="898">
        <f t="shared" si="364"/>
        <v>1519718629</v>
      </c>
      <c r="CP676" s="898">
        <f t="shared" si="364"/>
        <v>1462675629</v>
      </c>
      <c r="CQ676" s="170">
        <f t="shared" si="364"/>
        <v>0</v>
      </c>
      <c r="CR676" s="170">
        <f t="shared" si="364"/>
        <v>0</v>
      </c>
      <c r="CS676" s="170">
        <f t="shared" si="364"/>
        <v>0</v>
      </c>
      <c r="CT676" s="740">
        <f>CT675+CT667+CT639+CT625+CT557</f>
        <v>47739530019.126907</v>
      </c>
      <c r="CU676" s="170">
        <f>CU675+CU667+CU639+CU625+CU557</f>
        <v>44000629098.080002</v>
      </c>
      <c r="CV676" s="170">
        <f>CV675+CV667+CV639+CV625+CV557</f>
        <v>42866454608.080002</v>
      </c>
    </row>
    <row r="677" spans="1:100" s="459" customFormat="1" ht="15" x14ac:dyDescent="0.25">
      <c r="A677" s="171"/>
      <c r="B677" s="171"/>
      <c r="C677" s="172"/>
      <c r="D677" s="171"/>
      <c r="E677" s="172"/>
      <c r="F677" s="172"/>
      <c r="G677" s="171"/>
      <c r="H677" s="172"/>
      <c r="I677" s="171"/>
      <c r="J677" s="172"/>
      <c r="K677" s="172"/>
      <c r="L677" s="172"/>
      <c r="M677" s="172"/>
      <c r="N677" s="899"/>
      <c r="O677" s="900"/>
      <c r="P677" s="901">
        <f>P676</f>
        <v>0</v>
      </c>
      <c r="Q677" s="901">
        <f t="shared" ref="Q677:CB677" si="365">+Q676</f>
        <v>0</v>
      </c>
      <c r="R677" s="901">
        <f t="shared" si="365"/>
        <v>0</v>
      </c>
      <c r="S677" s="901">
        <f t="shared" si="365"/>
        <v>0</v>
      </c>
      <c r="T677" s="901">
        <f t="shared" si="365"/>
        <v>0</v>
      </c>
      <c r="U677" s="901">
        <f t="shared" si="365"/>
        <v>0</v>
      </c>
      <c r="V677" s="901">
        <f t="shared" si="365"/>
        <v>0</v>
      </c>
      <c r="W677" s="901">
        <f t="shared" si="365"/>
        <v>0</v>
      </c>
      <c r="X677" s="901">
        <f t="shared" si="365"/>
        <v>0</v>
      </c>
      <c r="Y677" s="901">
        <f t="shared" si="365"/>
        <v>0</v>
      </c>
      <c r="Z677" s="901">
        <f t="shared" si="365"/>
        <v>0</v>
      </c>
      <c r="AA677" s="901">
        <f t="shared" si="365"/>
        <v>0</v>
      </c>
      <c r="AB677" s="901">
        <f t="shared" si="365"/>
        <v>0</v>
      </c>
      <c r="AC677" s="901">
        <f t="shared" si="365"/>
        <v>0</v>
      </c>
      <c r="AD677" s="901">
        <f t="shared" si="365"/>
        <v>0</v>
      </c>
      <c r="AE677" s="901">
        <f t="shared" si="365"/>
        <v>0</v>
      </c>
      <c r="AF677" s="901">
        <f t="shared" si="365"/>
        <v>0</v>
      </c>
      <c r="AG677" s="901">
        <f t="shared" si="365"/>
        <v>0</v>
      </c>
      <c r="AH677" s="901">
        <f t="shared" si="365"/>
        <v>0</v>
      </c>
      <c r="AI677" s="901">
        <f t="shared" si="365"/>
        <v>1839000000</v>
      </c>
      <c r="AJ677" s="901">
        <f t="shared" si="365"/>
        <v>1669103318</v>
      </c>
      <c r="AK677" s="901">
        <f t="shared" si="365"/>
        <v>1669103318</v>
      </c>
      <c r="AL677" s="901">
        <f t="shared" si="365"/>
        <v>5020955903.996911</v>
      </c>
      <c r="AM677" s="901">
        <f t="shared" si="365"/>
        <v>4576108092.6599998</v>
      </c>
      <c r="AN677" s="901">
        <f t="shared" si="365"/>
        <v>4256113224.3299999</v>
      </c>
      <c r="AO677" s="901">
        <f t="shared" si="365"/>
        <v>3775114443</v>
      </c>
      <c r="AP677" s="901">
        <f t="shared" si="365"/>
        <v>3775114443</v>
      </c>
      <c r="AQ677" s="901">
        <f t="shared" si="365"/>
        <v>3775114443</v>
      </c>
      <c r="AR677" s="901">
        <f t="shared" si="365"/>
        <v>5974899521</v>
      </c>
      <c r="AS677" s="901">
        <f t="shared" si="365"/>
        <v>5446738940</v>
      </c>
      <c r="AT677" s="901">
        <f t="shared" si="365"/>
        <v>4789088940</v>
      </c>
      <c r="AU677" s="901">
        <f t="shared" si="365"/>
        <v>17995884298</v>
      </c>
      <c r="AV677" s="901">
        <f t="shared" si="365"/>
        <v>17320959137.75</v>
      </c>
      <c r="AW677" s="901">
        <f t="shared" si="365"/>
        <v>17316499272.75</v>
      </c>
      <c r="AX677" s="901">
        <f t="shared" si="365"/>
        <v>0</v>
      </c>
      <c r="AY677" s="901">
        <f t="shared" si="365"/>
        <v>0</v>
      </c>
      <c r="AZ677" s="901">
        <f t="shared" si="365"/>
        <v>0</v>
      </c>
      <c r="BA677" s="901">
        <f t="shared" si="365"/>
        <v>1375125452.1300001</v>
      </c>
      <c r="BB677" s="901">
        <f t="shared" si="365"/>
        <v>969465315</v>
      </c>
      <c r="BC677" s="901">
        <f t="shared" si="365"/>
        <v>909465315</v>
      </c>
      <c r="BD677" s="901">
        <f t="shared" si="365"/>
        <v>8005242942</v>
      </c>
      <c r="BE677" s="901">
        <f t="shared" si="365"/>
        <v>7677935485</v>
      </c>
      <c r="BF677" s="901">
        <f t="shared" si="365"/>
        <v>7677935485</v>
      </c>
      <c r="BG677" s="901">
        <f t="shared" si="365"/>
        <v>0</v>
      </c>
      <c r="BH677" s="901">
        <f t="shared" si="365"/>
        <v>0</v>
      </c>
      <c r="BI677" s="901">
        <f t="shared" si="365"/>
        <v>0</v>
      </c>
      <c r="BJ677" s="901">
        <f t="shared" si="365"/>
        <v>0</v>
      </c>
      <c r="BK677" s="901">
        <f t="shared" si="365"/>
        <v>0</v>
      </c>
      <c r="BL677" s="901">
        <f t="shared" si="365"/>
        <v>0</v>
      </c>
      <c r="BM677" s="901">
        <f t="shared" si="365"/>
        <v>0</v>
      </c>
      <c r="BN677" s="901">
        <f t="shared" si="365"/>
        <v>0</v>
      </c>
      <c r="BO677" s="901">
        <f t="shared" si="365"/>
        <v>0</v>
      </c>
      <c r="BP677" s="901">
        <f t="shared" si="365"/>
        <v>0</v>
      </c>
      <c r="BQ677" s="901">
        <f t="shared" si="365"/>
        <v>0</v>
      </c>
      <c r="BR677" s="901">
        <f t="shared" si="365"/>
        <v>0</v>
      </c>
      <c r="BS677" s="901">
        <f t="shared" si="365"/>
        <v>0</v>
      </c>
      <c r="BT677" s="901">
        <f t="shared" si="365"/>
        <v>0</v>
      </c>
      <c r="BU677" s="901">
        <f t="shared" si="365"/>
        <v>0</v>
      </c>
      <c r="BV677" s="901">
        <f t="shared" si="365"/>
        <v>0</v>
      </c>
      <c r="BW677" s="901">
        <f t="shared" si="365"/>
        <v>0</v>
      </c>
      <c r="BX677" s="901">
        <f t="shared" si="365"/>
        <v>0</v>
      </c>
      <c r="BY677" s="901">
        <f t="shared" si="365"/>
        <v>0</v>
      </c>
      <c r="BZ677" s="901">
        <f t="shared" si="365"/>
        <v>0</v>
      </c>
      <c r="CA677" s="901">
        <f t="shared" si="365"/>
        <v>0</v>
      </c>
      <c r="CB677" s="901">
        <f t="shared" si="365"/>
        <v>0</v>
      </c>
      <c r="CC677" s="901">
        <f t="shared" ref="CC677:CU677" si="366">+CC676</f>
        <v>0</v>
      </c>
      <c r="CD677" s="901">
        <f t="shared" si="366"/>
        <v>0</v>
      </c>
      <c r="CE677" s="901">
        <f t="shared" si="366"/>
        <v>1530000000</v>
      </c>
      <c r="CF677" s="901">
        <f t="shared" si="366"/>
        <v>1045485737.6700001</v>
      </c>
      <c r="CG677" s="901">
        <f t="shared" si="366"/>
        <v>1010458981</v>
      </c>
      <c r="CH677" s="901">
        <f t="shared" si="366"/>
        <v>0</v>
      </c>
      <c r="CI677" s="901">
        <f t="shared" si="366"/>
        <v>0</v>
      </c>
      <c r="CJ677" s="901">
        <f t="shared" si="366"/>
        <v>0</v>
      </c>
      <c r="CK677" s="901">
        <f t="shared" si="366"/>
        <v>515209</v>
      </c>
      <c r="CL677" s="901">
        <f t="shared" si="366"/>
        <v>0</v>
      </c>
      <c r="CM677" s="901">
        <f t="shared" si="366"/>
        <v>0</v>
      </c>
      <c r="CN677" s="901">
        <f t="shared" si="366"/>
        <v>2222792250</v>
      </c>
      <c r="CO677" s="901">
        <f t="shared" si="366"/>
        <v>1519718629</v>
      </c>
      <c r="CP677" s="901">
        <f t="shared" si="366"/>
        <v>1462675629</v>
      </c>
      <c r="CQ677" s="175">
        <f t="shared" si="366"/>
        <v>0</v>
      </c>
      <c r="CR677" s="175">
        <f t="shared" si="366"/>
        <v>0</v>
      </c>
      <c r="CS677" s="175">
        <f t="shared" si="366"/>
        <v>0</v>
      </c>
      <c r="CT677" s="856">
        <f t="shared" si="366"/>
        <v>47739530019.126907</v>
      </c>
      <c r="CU677" s="856">
        <f t="shared" si="366"/>
        <v>44000629098.080002</v>
      </c>
      <c r="CV677" s="856">
        <f>+CV676</f>
        <v>42866454608.080002</v>
      </c>
    </row>
    <row r="678" spans="1:100" s="27" customFormat="1" ht="15" x14ac:dyDescent="0.25">
      <c r="A678" s="176"/>
      <c r="B678" s="177"/>
      <c r="C678" s="949"/>
      <c r="D678" s="177"/>
      <c r="E678" s="949"/>
      <c r="F678" s="949"/>
      <c r="G678" s="177"/>
      <c r="H678" s="949"/>
      <c r="I678" s="177"/>
      <c r="J678" s="949"/>
      <c r="K678" s="949"/>
      <c r="L678" s="949"/>
      <c r="M678" s="949"/>
      <c r="N678" s="179"/>
      <c r="O678" s="34"/>
      <c r="P678" s="929"/>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25"/>
      <c r="BJ678" s="25"/>
      <c r="BK678" s="25"/>
      <c r="BL678" s="25"/>
      <c r="BM678" s="25"/>
      <c r="BN678" s="25"/>
      <c r="BO678" s="25"/>
      <c r="BP678" s="25"/>
      <c r="BQ678" s="25"/>
      <c r="BR678" s="25"/>
      <c r="BS678" s="25"/>
      <c r="BT678" s="25"/>
      <c r="BU678" s="25"/>
      <c r="BV678" s="25"/>
      <c r="BW678" s="25"/>
      <c r="BX678" s="25"/>
      <c r="BY678" s="25"/>
      <c r="BZ678" s="25"/>
      <c r="CA678" s="25"/>
      <c r="CB678" s="25"/>
      <c r="CC678" s="25"/>
      <c r="CD678" s="25"/>
      <c r="CE678" s="110"/>
      <c r="CF678" s="110"/>
      <c r="CG678" s="110"/>
      <c r="CH678" s="25"/>
      <c r="CI678" s="25"/>
      <c r="CJ678" s="25"/>
      <c r="CK678" s="25"/>
      <c r="CL678" s="25"/>
      <c r="CM678" s="25"/>
      <c r="CN678" s="25"/>
      <c r="CO678" s="25"/>
      <c r="CP678" s="25"/>
      <c r="CQ678" s="25"/>
      <c r="CR678" s="25"/>
      <c r="CS678" s="25"/>
      <c r="CT678" s="85"/>
      <c r="CU678" s="85"/>
      <c r="CV678" s="85"/>
    </row>
    <row r="679" spans="1:100" s="459" customFormat="1" ht="15" x14ac:dyDescent="0.25">
      <c r="A679" s="1056" t="s">
        <v>921</v>
      </c>
      <c r="B679" s="1057"/>
      <c r="C679" s="1057"/>
      <c r="D679" s="1057"/>
      <c r="E679" s="1057"/>
      <c r="F679" s="1057"/>
      <c r="G679" s="1057"/>
      <c r="H679" s="1057"/>
      <c r="I679" s="1057"/>
      <c r="J679" s="1057"/>
      <c r="K679" s="1057"/>
      <c r="L679" s="1057"/>
      <c r="M679" s="1057"/>
      <c r="N679" s="1057"/>
      <c r="O679" s="1058"/>
      <c r="P679" s="529"/>
      <c r="Q679" s="530">
        <f t="shared" ref="Q679:AV679" si="367">+Q677+Q547+Q537+Q471+Q365+Q348+Q274+Q232+Q200+Q123+Q80+Q66+Q23</f>
        <v>2761249840.2599998</v>
      </c>
      <c r="R679" s="530">
        <f t="shared" si="367"/>
        <v>1155104161.8</v>
      </c>
      <c r="S679" s="530">
        <f t="shared" si="367"/>
        <v>1155104161.8</v>
      </c>
      <c r="T679" s="530">
        <f t="shared" si="367"/>
        <v>4106001782.29</v>
      </c>
      <c r="U679" s="530">
        <f t="shared" si="367"/>
        <v>3954329485.9899998</v>
      </c>
      <c r="V679" s="530">
        <f t="shared" si="367"/>
        <v>3954329485.9899998</v>
      </c>
      <c r="W679" s="530">
        <f t="shared" si="367"/>
        <v>9884120547.2099991</v>
      </c>
      <c r="X679" s="530">
        <f t="shared" si="367"/>
        <v>6148925621.79</v>
      </c>
      <c r="Y679" s="530">
        <f t="shared" si="367"/>
        <v>5158531855.9899998</v>
      </c>
      <c r="Z679" s="530">
        <f t="shared" si="367"/>
        <v>9145274815.1000004</v>
      </c>
      <c r="AA679" s="530">
        <f t="shared" si="367"/>
        <v>4878561676</v>
      </c>
      <c r="AB679" s="530">
        <f t="shared" si="367"/>
        <v>4749734437</v>
      </c>
      <c r="AC679" s="530">
        <f t="shared" si="367"/>
        <v>80296670</v>
      </c>
      <c r="AD679" s="530">
        <f t="shared" si="367"/>
        <v>69664665</v>
      </c>
      <c r="AE679" s="530">
        <f t="shared" si="367"/>
        <v>69664665</v>
      </c>
      <c r="AF679" s="530">
        <f t="shared" si="367"/>
        <v>636637204.06999993</v>
      </c>
      <c r="AG679" s="530">
        <f t="shared" si="367"/>
        <v>534121651.06999999</v>
      </c>
      <c r="AH679" s="530">
        <f t="shared" si="367"/>
        <v>376661651.06999999</v>
      </c>
      <c r="AI679" s="530">
        <f t="shared" si="367"/>
        <v>8319123642</v>
      </c>
      <c r="AJ679" s="530">
        <f t="shared" si="367"/>
        <v>6550924784</v>
      </c>
      <c r="AK679" s="530">
        <f t="shared" si="367"/>
        <v>6436790167</v>
      </c>
      <c r="AL679" s="530">
        <f t="shared" si="367"/>
        <v>5020955903.996911</v>
      </c>
      <c r="AM679" s="530">
        <f t="shared" si="367"/>
        <v>4576108092.6599998</v>
      </c>
      <c r="AN679" s="530">
        <f t="shared" si="367"/>
        <v>4256113224.3299999</v>
      </c>
      <c r="AO679" s="530">
        <f t="shared" si="367"/>
        <v>3775114443</v>
      </c>
      <c r="AP679" s="530">
        <f t="shared" si="367"/>
        <v>3775114443</v>
      </c>
      <c r="AQ679" s="530">
        <f t="shared" si="367"/>
        <v>3775114443</v>
      </c>
      <c r="AR679" s="530">
        <f t="shared" si="367"/>
        <v>5974899521</v>
      </c>
      <c r="AS679" s="530">
        <f t="shared" si="367"/>
        <v>5446738940</v>
      </c>
      <c r="AT679" s="530">
        <f t="shared" si="367"/>
        <v>4789088940</v>
      </c>
      <c r="AU679" s="530">
        <f t="shared" si="367"/>
        <v>17995884298</v>
      </c>
      <c r="AV679" s="530">
        <f t="shared" si="367"/>
        <v>17320959137.75</v>
      </c>
      <c r="AW679" s="530">
        <f t="shared" ref="AW679:CB679" si="368">+AW677+AW547+AW537+AW471+AW365+AW348+AW274+AW232+AW200+AW123+AW80+AW66+AW23</f>
        <v>17316499272.75</v>
      </c>
      <c r="AX679" s="530">
        <f t="shared" si="368"/>
        <v>0</v>
      </c>
      <c r="AY679" s="530">
        <f t="shared" si="368"/>
        <v>0</v>
      </c>
      <c r="AZ679" s="530">
        <f t="shared" si="368"/>
        <v>0</v>
      </c>
      <c r="BA679" s="530">
        <f t="shared" si="368"/>
        <v>1375125452.1300001</v>
      </c>
      <c r="BB679" s="530">
        <f t="shared" si="368"/>
        <v>969465315</v>
      </c>
      <c r="BC679" s="530">
        <f t="shared" si="368"/>
        <v>909465315</v>
      </c>
      <c r="BD679" s="530">
        <f t="shared" si="368"/>
        <v>8005242942</v>
      </c>
      <c r="BE679" s="530">
        <f t="shared" si="368"/>
        <v>7677935485</v>
      </c>
      <c r="BF679" s="530">
        <f t="shared" si="368"/>
        <v>7677935485</v>
      </c>
      <c r="BG679" s="530">
        <f t="shared" si="368"/>
        <v>107645394041</v>
      </c>
      <c r="BH679" s="530">
        <f t="shared" si="368"/>
        <v>105102231363</v>
      </c>
      <c r="BI679" s="530">
        <f t="shared" si="368"/>
        <v>105096927113</v>
      </c>
      <c r="BJ679" s="530">
        <f t="shared" si="368"/>
        <v>18840890009</v>
      </c>
      <c r="BK679" s="530">
        <f t="shared" si="368"/>
        <v>18840890009</v>
      </c>
      <c r="BL679" s="530">
        <f t="shared" si="368"/>
        <v>18840890009</v>
      </c>
      <c r="BM679" s="530">
        <f t="shared" si="368"/>
        <v>1165770164</v>
      </c>
      <c r="BN679" s="530">
        <f t="shared" si="368"/>
        <v>1165770164.1400001</v>
      </c>
      <c r="BO679" s="530">
        <f t="shared" si="368"/>
        <v>1165770164.1400001</v>
      </c>
      <c r="BP679" s="530">
        <f t="shared" si="368"/>
        <v>6431354</v>
      </c>
      <c r="BQ679" s="530">
        <f t="shared" si="368"/>
        <v>6336943</v>
      </c>
      <c r="BR679" s="530">
        <f t="shared" si="368"/>
        <v>6336943</v>
      </c>
      <c r="BS679" s="530">
        <f t="shared" si="368"/>
        <v>1341180171</v>
      </c>
      <c r="BT679" s="530">
        <f t="shared" si="368"/>
        <v>976986480</v>
      </c>
      <c r="BU679" s="530">
        <f t="shared" si="368"/>
        <v>976986480</v>
      </c>
      <c r="BV679" s="530">
        <f t="shared" si="368"/>
        <v>488921512</v>
      </c>
      <c r="BW679" s="530">
        <f t="shared" si="368"/>
        <v>205820184</v>
      </c>
      <c r="BX679" s="530">
        <f t="shared" si="368"/>
        <v>205820184</v>
      </c>
      <c r="BY679" s="530">
        <f t="shared" si="368"/>
        <v>9011218541</v>
      </c>
      <c r="BZ679" s="530">
        <f t="shared" si="368"/>
        <v>7905360942</v>
      </c>
      <c r="CA679" s="530">
        <f t="shared" si="368"/>
        <v>7905360942</v>
      </c>
      <c r="CB679" s="530">
        <f t="shared" si="368"/>
        <v>2432800182</v>
      </c>
      <c r="CC679" s="530">
        <f t="shared" ref="CC679:CV679" si="369">+CC677+CC547+CC537+CC471+CC365+CC348+CC274+CC232+CC200+CC123+CC80+CC66+CC23</f>
        <v>2427064367</v>
      </c>
      <c r="CD679" s="530">
        <f t="shared" si="369"/>
        <v>2427064367</v>
      </c>
      <c r="CE679" s="530">
        <f t="shared" si="369"/>
        <v>27629288524</v>
      </c>
      <c r="CF679" s="530">
        <f t="shared" si="369"/>
        <v>21393946975.23</v>
      </c>
      <c r="CG679" s="530">
        <f t="shared" si="369"/>
        <v>20212463730.560001</v>
      </c>
      <c r="CH679" s="530">
        <f t="shared" si="369"/>
        <v>0</v>
      </c>
      <c r="CI679" s="530">
        <f t="shared" si="369"/>
        <v>0</v>
      </c>
      <c r="CJ679" s="530">
        <f t="shared" si="369"/>
        <v>0</v>
      </c>
      <c r="CK679" s="530">
        <f t="shared" si="369"/>
        <v>976977065</v>
      </c>
      <c r="CL679" s="530">
        <f t="shared" si="369"/>
        <v>820005095</v>
      </c>
      <c r="CM679" s="530">
        <f t="shared" si="369"/>
        <v>820005095</v>
      </c>
      <c r="CN679" s="530">
        <f t="shared" si="369"/>
        <v>3782057171</v>
      </c>
      <c r="CO679" s="530">
        <f t="shared" si="369"/>
        <v>1918571523</v>
      </c>
      <c r="CP679" s="530">
        <f t="shared" si="369"/>
        <v>1838690023</v>
      </c>
      <c r="CQ679" s="530">
        <f t="shared" si="369"/>
        <v>0</v>
      </c>
      <c r="CR679" s="530">
        <f t="shared" si="369"/>
        <v>0</v>
      </c>
      <c r="CS679" s="530">
        <f t="shared" si="369"/>
        <v>0</v>
      </c>
      <c r="CT679" s="530">
        <f t="shared" si="369"/>
        <v>250400855795.05692</v>
      </c>
      <c r="CU679" s="530">
        <f t="shared" si="369"/>
        <v>223820937504.43002</v>
      </c>
      <c r="CV679" s="530">
        <f t="shared" si="369"/>
        <v>220121348154.63004</v>
      </c>
    </row>
    <row r="680" spans="1:100" s="459" customFormat="1" ht="36.75" customHeight="1" x14ac:dyDescent="0.25">
      <c r="A680" s="531"/>
      <c r="B680" s="531"/>
      <c r="C680" s="532"/>
      <c r="D680" s="531"/>
      <c r="E680" s="532"/>
      <c r="F680" s="532"/>
      <c r="G680" s="531"/>
      <c r="H680" s="532"/>
      <c r="I680" s="531"/>
      <c r="J680" s="532"/>
      <c r="K680" s="532"/>
      <c r="L680" s="532"/>
      <c r="M680" s="532"/>
      <c r="N680" s="533"/>
      <c r="O680" s="531"/>
      <c r="P680" s="532"/>
      <c r="Q680" s="534"/>
      <c r="R680" s="534"/>
      <c r="S680" s="534"/>
      <c r="T680" s="534"/>
      <c r="U680" s="534"/>
      <c r="V680" s="534"/>
      <c r="W680" s="534"/>
      <c r="X680" s="534"/>
      <c r="Y680" s="534"/>
      <c r="Z680" s="534"/>
      <c r="AA680" s="534"/>
      <c r="AB680" s="534"/>
      <c r="AC680" s="534"/>
      <c r="AD680" s="534"/>
      <c r="AE680" s="534"/>
      <c r="AF680" s="534"/>
      <c r="AG680" s="534"/>
      <c r="AH680" s="534"/>
      <c r="AI680" s="534"/>
      <c r="AJ680" s="534"/>
      <c r="AK680" s="534"/>
      <c r="AL680" s="534"/>
      <c r="AM680" s="534"/>
      <c r="AN680" s="534"/>
      <c r="AO680" s="534"/>
      <c r="AP680" s="534"/>
      <c r="AQ680" s="534"/>
      <c r="AR680" s="534"/>
      <c r="AS680" s="534"/>
      <c r="AT680" s="534"/>
      <c r="AU680" s="534"/>
      <c r="AV680" s="534"/>
      <c r="AW680" s="534"/>
      <c r="AX680" s="534"/>
      <c r="AY680" s="534"/>
      <c r="AZ680" s="534"/>
      <c r="BA680" s="534"/>
      <c r="BB680" s="534"/>
      <c r="BC680" s="534"/>
      <c r="BD680" s="534"/>
      <c r="BE680" s="534"/>
      <c r="BF680" s="534"/>
      <c r="BG680" s="534"/>
      <c r="BH680" s="534"/>
      <c r="BI680" s="534"/>
      <c r="BJ680" s="534"/>
      <c r="BK680" s="534"/>
      <c r="BL680" s="534"/>
      <c r="BM680" s="534"/>
      <c r="BN680" s="534"/>
      <c r="BO680" s="534"/>
      <c r="BP680" s="534"/>
      <c r="BQ680" s="534"/>
      <c r="BR680" s="534"/>
      <c r="BS680" s="534"/>
      <c r="BT680" s="534"/>
      <c r="BU680" s="534"/>
      <c r="BV680" s="534"/>
      <c r="BW680" s="534"/>
      <c r="BX680" s="534"/>
      <c r="BY680" s="534"/>
      <c r="BZ680" s="534"/>
      <c r="CA680" s="534"/>
      <c r="CB680" s="534"/>
      <c r="CC680" s="534"/>
      <c r="CD680" s="534"/>
      <c r="CE680" s="534"/>
      <c r="CF680" s="534"/>
      <c r="CG680" s="534"/>
      <c r="CH680" s="534"/>
      <c r="CI680" s="534"/>
      <c r="CJ680" s="534"/>
      <c r="CK680" s="534"/>
      <c r="CL680" s="534"/>
      <c r="CM680" s="534"/>
      <c r="CN680" s="534"/>
      <c r="CO680" s="534"/>
      <c r="CP680" s="534"/>
      <c r="CQ680" s="534"/>
      <c r="CR680" s="534"/>
      <c r="CS680" s="534"/>
      <c r="CT680" s="1000"/>
      <c r="CU680" s="1000"/>
      <c r="CV680" s="1000"/>
    </row>
    <row r="681" spans="1:100" ht="23.25" x14ac:dyDescent="0.25">
      <c r="A681" s="535" t="s">
        <v>832</v>
      </c>
      <c r="B681" s="536"/>
      <c r="C681" s="537"/>
      <c r="D681" s="536"/>
      <c r="E681" s="536"/>
      <c r="F681" s="536"/>
      <c r="G681" s="536"/>
      <c r="H681" s="537"/>
      <c r="I681" s="536"/>
      <c r="J681" s="536"/>
      <c r="K681" s="536"/>
      <c r="L681" s="536"/>
      <c r="M681" s="536"/>
      <c r="N681" s="675"/>
      <c r="O681" s="536"/>
      <c r="P681" s="537"/>
      <c r="Q681" s="536"/>
      <c r="R681" s="536"/>
      <c r="S681" s="536"/>
      <c r="T681" s="536"/>
      <c r="U681" s="536"/>
      <c r="V681" s="536"/>
      <c r="W681" s="536"/>
      <c r="X681" s="536"/>
      <c r="Y681" s="536"/>
      <c r="Z681" s="536"/>
      <c r="AA681" s="536"/>
      <c r="AB681" s="536"/>
      <c r="AC681" s="536"/>
      <c r="AD681" s="536"/>
      <c r="AE681" s="536"/>
      <c r="AF681" s="536"/>
      <c r="AG681" s="536"/>
      <c r="AH681" s="536"/>
      <c r="AI681" s="536"/>
      <c r="AJ681" s="536"/>
      <c r="AK681" s="536"/>
      <c r="AL681" s="536"/>
      <c r="AM681" s="536"/>
      <c r="AN681" s="536"/>
      <c r="AO681" s="536"/>
      <c r="AP681" s="536"/>
      <c r="AQ681" s="536"/>
      <c r="AR681" s="536"/>
      <c r="AS681" s="536"/>
      <c r="AT681" s="536"/>
      <c r="AU681" s="536"/>
      <c r="AV681" s="536"/>
      <c r="AW681" s="536"/>
      <c r="AX681" s="536"/>
      <c r="AY681" s="536"/>
      <c r="AZ681" s="536"/>
      <c r="BA681" s="536"/>
      <c r="BB681" s="536"/>
      <c r="BC681" s="536"/>
      <c r="BD681" s="536"/>
      <c r="BE681" s="536"/>
      <c r="BF681" s="536"/>
      <c r="BG681" s="536"/>
      <c r="BH681" s="536"/>
      <c r="BI681" s="536"/>
      <c r="BJ681" s="536"/>
      <c r="BK681" s="536"/>
      <c r="BL681" s="536"/>
      <c r="BM681" s="536"/>
      <c r="BN681" s="536"/>
      <c r="BO681" s="536"/>
      <c r="BP681" s="536"/>
      <c r="BQ681" s="536"/>
      <c r="BR681" s="536"/>
      <c r="BS681" s="536"/>
      <c r="BT681" s="536"/>
      <c r="BU681" s="536"/>
      <c r="BV681" s="536"/>
      <c r="BW681" s="536"/>
      <c r="BX681" s="536"/>
      <c r="BY681" s="536"/>
      <c r="BZ681" s="536"/>
      <c r="CA681" s="536"/>
      <c r="CB681" s="536"/>
      <c r="CC681" s="536"/>
      <c r="CD681" s="536"/>
      <c r="CE681" s="538"/>
      <c r="CF681" s="538"/>
      <c r="CG681" s="538"/>
      <c r="CH681" s="539"/>
      <c r="CI681" s="539"/>
      <c r="CJ681" s="539"/>
      <c r="CK681" s="536"/>
      <c r="CL681" s="536"/>
      <c r="CM681" s="536"/>
      <c r="CN681" s="536"/>
      <c r="CO681" s="536"/>
      <c r="CP681" s="536"/>
      <c r="CQ681" s="536"/>
      <c r="CR681" s="536"/>
      <c r="CS681" s="536"/>
      <c r="CT681" s="669"/>
      <c r="CU681" s="669"/>
      <c r="CV681" s="669"/>
    </row>
    <row r="682" spans="1:100" ht="15" x14ac:dyDescent="0.25">
      <c r="A682" s="139">
        <v>3</v>
      </c>
      <c r="B682" s="140" t="s">
        <v>422</v>
      </c>
      <c r="C682" s="141"/>
      <c r="D682" s="140"/>
      <c r="E682" s="140"/>
      <c r="F682" s="140"/>
      <c r="G682" s="140"/>
      <c r="H682" s="141"/>
      <c r="I682" s="140"/>
      <c r="J682" s="140"/>
      <c r="K682" s="140"/>
      <c r="L682" s="140"/>
      <c r="M682" s="140"/>
      <c r="N682" s="676"/>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c r="BI682" s="140"/>
      <c r="BJ682" s="140"/>
      <c r="BK682" s="140"/>
      <c r="BL682" s="140"/>
      <c r="BM682" s="140"/>
      <c r="BN682" s="140"/>
      <c r="BO682" s="140"/>
      <c r="BP682" s="140"/>
      <c r="BQ682" s="140"/>
      <c r="BR682" s="140"/>
      <c r="BS682" s="140"/>
      <c r="BT682" s="140"/>
      <c r="BU682" s="140"/>
      <c r="BV682" s="140"/>
      <c r="BW682" s="140"/>
      <c r="BX682" s="140"/>
      <c r="BY682" s="140"/>
      <c r="BZ682" s="140"/>
      <c r="CA682" s="140"/>
      <c r="CB682" s="140"/>
      <c r="CC682" s="140"/>
      <c r="CD682" s="140"/>
      <c r="CE682" s="142"/>
      <c r="CF682" s="142"/>
      <c r="CG682" s="142"/>
      <c r="CH682" s="140"/>
      <c r="CI682" s="140"/>
      <c r="CJ682" s="140"/>
      <c r="CK682" s="140"/>
      <c r="CL682" s="140"/>
      <c r="CM682" s="140"/>
      <c r="CN682" s="140"/>
      <c r="CO682" s="140"/>
      <c r="CP682" s="140"/>
      <c r="CQ682" s="140"/>
      <c r="CR682" s="140"/>
      <c r="CS682" s="140"/>
      <c r="CT682" s="852"/>
      <c r="CU682" s="852"/>
      <c r="CV682" s="852"/>
    </row>
    <row r="683" spans="1:100" ht="15" x14ac:dyDescent="0.25">
      <c r="A683" s="185"/>
      <c r="B683" s="239">
        <v>20</v>
      </c>
      <c r="C683" s="147" t="s">
        <v>833</v>
      </c>
      <c r="D683" s="146"/>
      <c r="E683" s="146"/>
      <c r="F683" s="146"/>
      <c r="G683" s="146"/>
      <c r="H683" s="147"/>
      <c r="I683" s="146"/>
      <c r="J683" s="146"/>
      <c r="K683" s="146"/>
      <c r="L683" s="146"/>
      <c r="M683" s="146"/>
      <c r="N683" s="677"/>
      <c r="O683" s="146"/>
      <c r="P683" s="146"/>
      <c r="Q683" s="146"/>
      <c r="R683" s="146"/>
      <c r="S683" s="146"/>
      <c r="T683" s="146"/>
      <c r="U683" s="146"/>
      <c r="V683" s="146"/>
      <c r="W683" s="146"/>
      <c r="X683" s="146"/>
      <c r="Y683" s="146"/>
      <c r="Z683" s="146"/>
      <c r="AA683" s="146"/>
      <c r="AB683" s="146"/>
      <c r="AC683" s="146"/>
      <c r="AD683" s="146"/>
      <c r="AE683" s="146"/>
      <c r="AF683" s="146"/>
      <c r="AG683" s="146"/>
      <c r="AH683" s="146"/>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c r="BI683" s="146"/>
      <c r="BJ683" s="146"/>
      <c r="BK683" s="146"/>
      <c r="BL683" s="146"/>
      <c r="BM683" s="146"/>
      <c r="BN683" s="146"/>
      <c r="BO683" s="146"/>
      <c r="BP683" s="146"/>
      <c r="BQ683" s="146"/>
      <c r="BR683" s="146"/>
      <c r="BS683" s="146"/>
      <c r="BT683" s="146"/>
      <c r="BU683" s="146"/>
      <c r="BV683" s="146"/>
      <c r="BW683" s="146"/>
      <c r="BX683" s="146"/>
      <c r="BY683" s="146"/>
      <c r="BZ683" s="146"/>
      <c r="CA683" s="146"/>
      <c r="CB683" s="146"/>
      <c r="CC683" s="146"/>
      <c r="CD683" s="146"/>
      <c r="CE683" s="148"/>
      <c r="CF683" s="148"/>
      <c r="CG683" s="148"/>
      <c r="CH683" s="146"/>
      <c r="CI683" s="146"/>
      <c r="CJ683" s="146"/>
      <c r="CK683" s="146"/>
      <c r="CL683" s="146"/>
      <c r="CM683" s="146"/>
      <c r="CN683" s="146"/>
      <c r="CO683" s="146"/>
      <c r="CP683" s="146"/>
      <c r="CQ683" s="146"/>
      <c r="CR683" s="146"/>
      <c r="CS683" s="146"/>
      <c r="CT683" s="526"/>
      <c r="CU683" s="526"/>
      <c r="CV683" s="526"/>
    </row>
    <row r="684" spans="1:100" ht="15" x14ac:dyDescent="0.25">
      <c r="A684" s="19"/>
      <c r="B684" s="185"/>
      <c r="C684" s="949"/>
      <c r="D684" s="177"/>
      <c r="E684" s="949"/>
      <c r="F684" s="927"/>
      <c r="G684" s="339">
        <v>68</v>
      </c>
      <c r="H684" s="1064" t="s">
        <v>834</v>
      </c>
      <c r="I684" s="1064"/>
      <c r="J684" s="1064"/>
      <c r="K684" s="1064"/>
      <c r="L684" s="1064"/>
      <c r="M684" s="1064"/>
      <c r="N684" s="1064"/>
      <c r="O684" s="1064"/>
      <c r="P684" s="1064"/>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241">
        <f>+AX685-128000000</f>
        <v>173252550</v>
      </c>
      <c r="AY684" s="241"/>
      <c r="AZ684" s="241"/>
      <c r="BA684" s="189"/>
      <c r="BB684" s="189"/>
      <c r="BC684" s="189"/>
      <c r="BD684" s="189"/>
      <c r="BE684" s="189"/>
      <c r="BF684" s="189"/>
      <c r="BG684" s="189"/>
      <c r="BH684" s="189"/>
      <c r="BI684" s="189"/>
      <c r="BJ684" s="189"/>
      <c r="BK684" s="189"/>
      <c r="BL684" s="189"/>
      <c r="BM684" s="189"/>
      <c r="BN684" s="189"/>
      <c r="BO684" s="189"/>
      <c r="BP684" s="189"/>
      <c r="BQ684" s="189"/>
      <c r="BR684" s="189"/>
      <c r="BS684" s="189"/>
      <c r="BT684" s="189"/>
      <c r="BU684" s="189"/>
      <c r="BV684" s="189"/>
      <c r="BW684" s="189"/>
      <c r="BX684" s="189"/>
      <c r="BY684" s="189"/>
      <c r="BZ684" s="189"/>
      <c r="CA684" s="189"/>
      <c r="CB684" s="189"/>
      <c r="CC684" s="189"/>
      <c r="CD684" s="189"/>
      <c r="CE684" s="190"/>
      <c r="CF684" s="190"/>
      <c r="CG684" s="190"/>
      <c r="CH684" s="189"/>
      <c r="CI684" s="189"/>
      <c r="CJ684" s="189"/>
      <c r="CK684" s="189"/>
      <c r="CL684" s="189"/>
      <c r="CM684" s="189"/>
      <c r="CN684" s="189"/>
      <c r="CO684" s="189"/>
      <c r="CP684" s="189"/>
      <c r="CQ684" s="189"/>
      <c r="CR684" s="189"/>
      <c r="CS684" s="189"/>
      <c r="CT684" s="522"/>
      <c r="CU684" s="522"/>
      <c r="CV684" s="522"/>
    </row>
    <row r="685" spans="1:100" s="27" customFormat="1" ht="65.25" customHeight="1" x14ac:dyDescent="0.25">
      <c r="A685" s="19"/>
      <c r="B685" s="19"/>
      <c r="C685" s="1032">
        <v>36</v>
      </c>
      <c r="D685" s="1039" t="s">
        <v>835</v>
      </c>
      <c r="E685" s="1042">
        <v>0.4</v>
      </c>
      <c r="F685" s="1045">
        <v>0.6</v>
      </c>
      <c r="G685" s="22"/>
      <c r="H685" s="927">
        <v>202</v>
      </c>
      <c r="I685" s="928" t="s">
        <v>836</v>
      </c>
      <c r="J685" s="30">
        <v>23</v>
      </c>
      <c r="K685" s="30">
        <v>23</v>
      </c>
      <c r="L685" s="30">
        <v>23</v>
      </c>
      <c r="M685" s="30" t="s">
        <v>837</v>
      </c>
      <c r="N685" s="1029" t="s">
        <v>838</v>
      </c>
      <c r="O685" s="1059" t="s">
        <v>839</v>
      </c>
      <c r="P685" s="30" t="s">
        <v>38</v>
      </c>
      <c r="Q685" s="25">
        <v>0</v>
      </c>
      <c r="R685" s="25"/>
      <c r="S685" s="25"/>
      <c r="T685" s="25">
        <v>0</v>
      </c>
      <c r="U685" s="25"/>
      <c r="V685" s="25"/>
      <c r="W685" s="25">
        <v>0</v>
      </c>
      <c r="X685" s="25"/>
      <c r="Y685" s="25"/>
      <c r="Z685" s="25">
        <v>0</v>
      </c>
      <c r="AA685" s="25"/>
      <c r="AB685" s="25"/>
      <c r="AC685" s="25">
        <v>0</v>
      </c>
      <c r="AD685" s="25"/>
      <c r="AE685" s="25"/>
      <c r="AF685" s="25">
        <v>0</v>
      </c>
      <c r="AG685" s="25"/>
      <c r="AH685" s="25"/>
      <c r="AI685" s="25">
        <v>0</v>
      </c>
      <c r="AJ685" s="25"/>
      <c r="AK685" s="25"/>
      <c r="AL685" s="25"/>
      <c r="AM685" s="25"/>
      <c r="AN685" s="25"/>
      <c r="AO685" s="25"/>
      <c r="AP685" s="25"/>
      <c r="AQ685" s="25"/>
      <c r="AR685" s="25"/>
      <c r="AS685" s="25"/>
      <c r="AT685" s="25"/>
      <c r="AU685" s="25">
        <v>0</v>
      </c>
      <c r="AV685" s="198"/>
      <c r="AW685" s="198"/>
      <c r="AX685" s="198">
        <f>288000000-160000000+158252550+112611784-112611784+15000000</f>
        <v>301252550</v>
      </c>
      <c r="AY685" s="198">
        <v>269825250</v>
      </c>
      <c r="AZ685" s="198">
        <v>268025250</v>
      </c>
      <c r="BA685" s="25">
        <v>0</v>
      </c>
      <c r="BB685" s="25"/>
      <c r="BC685" s="25"/>
      <c r="BD685" s="25">
        <v>0</v>
      </c>
      <c r="BE685" s="25"/>
      <c r="BF685" s="25"/>
      <c r="BG685" s="25"/>
      <c r="BH685" s="25"/>
      <c r="BI685" s="25"/>
      <c r="BJ685" s="25"/>
      <c r="BK685" s="25"/>
      <c r="BL685" s="25"/>
      <c r="BM685" s="25"/>
      <c r="BN685" s="25"/>
      <c r="BO685" s="25"/>
      <c r="BP685" s="25"/>
      <c r="BQ685" s="25"/>
      <c r="BR685" s="25"/>
      <c r="BS685" s="25"/>
      <c r="BT685" s="25"/>
      <c r="BU685" s="25"/>
      <c r="BV685" s="25"/>
      <c r="BW685" s="25"/>
      <c r="BX685" s="25"/>
      <c r="BY685" s="25">
        <v>0</v>
      </c>
      <c r="BZ685" s="25"/>
      <c r="CA685" s="25"/>
      <c r="CB685" s="25">
        <v>0</v>
      </c>
      <c r="CC685" s="25"/>
      <c r="CD685" s="25"/>
      <c r="CE685" s="110">
        <f>310000000+17337233</f>
        <v>327337233</v>
      </c>
      <c r="CF685" s="110">
        <v>310202582</v>
      </c>
      <c r="CG685" s="110">
        <v>310202582</v>
      </c>
      <c r="CH685" s="37"/>
      <c r="CI685" s="37"/>
      <c r="CJ685" s="37"/>
      <c r="CK685" s="541"/>
      <c r="CL685" s="725"/>
      <c r="CM685" s="725"/>
      <c r="CN685" s="26">
        <v>0</v>
      </c>
      <c r="CO685" s="26"/>
      <c r="CP685" s="26"/>
      <c r="CQ685" s="26"/>
      <c r="CR685" s="26"/>
      <c r="CS685" s="26"/>
      <c r="CT685" s="25">
        <f t="shared" ref="CT685:CV686" si="370">Q685+T685+W685+Z685+AC685+AF685+AI685+AL685+AO685+AR685+AU685+AX685+BA685+BD685+BG685+BJ685+BM685+BP685+BS685+BV685+BY685+CB685+CE685+CH685+CK685+CQ685+CN685</f>
        <v>628589783</v>
      </c>
      <c r="CU685" s="25">
        <f t="shared" si="370"/>
        <v>580027832</v>
      </c>
      <c r="CV685" s="25">
        <f t="shared" si="370"/>
        <v>578227832</v>
      </c>
    </row>
    <row r="686" spans="1:100" s="27" customFormat="1" ht="88.5" customHeight="1" x14ac:dyDescent="0.25">
      <c r="A686" s="19"/>
      <c r="B686" s="19"/>
      <c r="C686" s="1033"/>
      <c r="D686" s="1041"/>
      <c r="E686" s="1044"/>
      <c r="F686" s="1047"/>
      <c r="G686" s="28"/>
      <c r="H686" s="927">
        <v>203</v>
      </c>
      <c r="I686" s="928" t="s">
        <v>994</v>
      </c>
      <c r="J686" s="30">
        <v>20</v>
      </c>
      <c r="K686" s="30">
        <v>20</v>
      </c>
      <c r="L686" s="30">
        <v>20</v>
      </c>
      <c r="M686" s="30" t="s">
        <v>837</v>
      </c>
      <c r="N686" s="1031"/>
      <c r="O686" s="1060"/>
      <c r="P686" s="30" t="s">
        <v>38</v>
      </c>
      <c r="Q686" s="25">
        <v>0</v>
      </c>
      <c r="R686" s="25"/>
      <c r="S686" s="25"/>
      <c r="T686" s="25">
        <v>0</v>
      </c>
      <c r="U686" s="25"/>
      <c r="V686" s="25"/>
      <c r="W686" s="25">
        <v>0</v>
      </c>
      <c r="X686" s="25"/>
      <c r="Y686" s="25"/>
      <c r="Z686" s="25">
        <v>0</v>
      </c>
      <c r="AA686" s="25"/>
      <c r="AB686" s="25"/>
      <c r="AC686" s="25">
        <v>0</v>
      </c>
      <c r="AD686" s="25"/>
      <c r="AE686" s="25"/>
      <c r="AF686" s="25">
        <v>0</v>
      </c>
      <c r="AG686" s="25"/>
      <c r="AH686" s="25"/>
      <c r="AI686" s="25">
        <v>0</v>
      </c>
      <c r="AJ686" s="25"/>
      <c r="AK686" s="25"/>
      <c r="AL686" s="25"/>
      <c r="AM686" s="25"/>
      <c r="AN686" s="25"/>
      <c r="AO686" s="25"/>
      <c r="AP686" s="25"/>
      <c r="AQ686" s="25"/>
      <c r="AR686" s="25"/>
      <c r="AS686" s="25"/>
      <c r="AT686" s="25"/>
      <c r="AU686" s="25">
        <v>0</v>
      </c>
      <c r="AV686" s="25"/>
      <c r="AW686" s="25"/>
      <c r="AX686" s="25">
        <v>160000000</v>
      </c>
      <c r="AY686" s="25">
        <v>159130127</v>
      </c>
      <c r="AZ686" s="25">
        <v>159130127</v>
      </c>
      <c r="BA686" s="25">
        <v>0</v>
      </c>
      <c r="BB686" s="25"/>
      <c r="BC686" s="25"/>
      <c r="BD686" s="25">
        <v>0</v>
      </c>
      <c r="BE686" s="25"/>
      <c r="BF686" s="25"/>
      <c r="BG686" s="25"/>
      <c r="BH686" s="25"/>
      <c r="BI686" s="25"/>
      <c r="BJ686" s="25"/>
      <c r="BK686" s="25"/>
      <c r="BL686" s="25"/>
      <c r="BM686" s="25"/>
      <c r="BN686" s="25"/>
      <c r="BO686" s="25"/>
      <c r="BP686" s="25"/>
      <c r="BQ686" s="25"/>
      <c r="BR686" s="25"/>
      <c r="BS686" s="25"/>
      <c r="BT686" s="25"/>
      <c r="BU686" s="25"/>
      <c r="BV686" s="25"/>
      <c r="BW686" s="25"/>
      <c r="BX686" s="25"/>
      <c r="BY686" s="25">
        <v>0</v>
      </c>
      <c r="BZ686" s="25"/>
      <c r="CA686" s="25"/>
      <c r="CB686" s="25">
        <v>0</v>
      </c>
      <c r="CC686" s="25"/>
      <c r="CD686" s="25"/>
      <c r="CE686" s="541">
        <f>310000000-310000000</f>
        <v>0</v>
      </c>
      <c r="CF686" s="541"/>
      <c r="CG686" s="541"/>
      <c r="CH686" s="541"/>
      <c r="CI686" s="541"/>
      <c r="CJ686" s="541"/>
      <c r="CK686" s="542">
        <v>0</v>
      </c>
      <c r="CL686" s="726"/>
      <c r="CM686" s="726"/>
      <c r="CN686" s="26">
        <v>0</v>
      </c>
      <c r="CO686" s="26"/>
      <c r="CP686" s="26"/>
      <c r="CQ686" s="26"/>
      <c r="CR686" s="26"/>
      <c r="CS686" s="26"/>
      <c r="CT686" s="25">
        <f t="shared" si="370"/>
        <v>160000000</v>
      </c>
      <c r="CU686" s="25">
        <f t="shared" si="370"/>
        <v>159130127</v>
      </c>
      <c r="CV686" s="25">
        <f t="shared" si="370"/>
        <v>159130127</v>
      </c>
    </row>
    <row r="687" spans="1:100" ht="15" x14ac:dyDescent="0.25">
      <c r="A687" s="19"/>
      <c r="B687" s="19"/>
      <c r="C687" s="213"/>
      <c r="D687" s="153"/>
      <c r="E687" s="581"/>
      <c r="F687" s="581"/>
      <c r="G687" s="154"/>
      <c r="H687" s="155"/>
      <c r="I687" s="154"/>
      <c r="J687" s="311"/>
      <c r="K687" s="311"/>
      <c r="L687" s="311"/>
      <c r="M687" s="311"/>
      <c r="N687" s="378"/>
      <c r="O687" s="298"/>
      <c r="P687" s="411">
        <f t="shared" ref="P687:CA687" si="371">SUM(P685:P686)</f>
        <v>0</v>
      </c>
      <c r="Q687" s="446">
        <f t="shared" si="371"/>
        <v>0</v>
      </c>
      <c r="R687" s="446">
        <f t="shared" si="371"/>
        <v>0</v>
      </c>
      <c r="S687" s="446">
        <f t="shared" si="371"/>
        <v>0</v>
      </c>
      <c r="T687" s="446">
        <f t="shared" si="371"/>
        <v>0</v>
      </c>
      <c r="U687" s="446">
        <f t="shared" si="371"/>
        <v>0</v>
      </c>
      <c r="V687" s="446">
        <f t="shared" si="371"/>
        <v>0</v>
      </c>
      <c r="W687" s="446">
        <f t="shared" si="371"/>
        <v>0</v>
      </c>
      <c r="X687" s="446">
        <f t="shared" si="371"/>
        <v>0</v>
      </c>
      <c r="Y687" s="446">
        <f t="shared" si="371"/>
        <v>0</v>
      </c>
      <c r="Z687" s="446">
        <f t="shared" si="371"/>
        <v>0</v>
      </c>
      <c r="AA687" s="446">
        <f t="shared" si="371"/>
        <v>0</v>
      </c>
      <c r="AB687" s="446">
        <f t="shared" si="371"/>
        <v>0</v>
      </c>
      <c r="AC687" s="446">
        <f t="shared" si="371"/>
        <v>0</v>
      </c>
      <c r="AD687" s="446">
        <f t="shared" si="371"/>
        <v>0</v>
      </c>
      <c r="AE687" s="446">
        <f t="shared" si="371"/>
        <v>0</v>
      </c>
      <c r="AF687" s="446">
        <f t="shared" si="371"/>
        <v>0</v>
      </c>
      <c r="AG687" s="446">
        <f t="shared" si="371"/>
        <v>0</v>
      </c>
      <c r="AH687" s="446">
        <f t="shared" si="371"/>
        <v>0</v>
      </c>
      <c r="AI687" s="446">
        <f t="shared" si="371"/>
        <v>0</v>
      </c>
      <c r="AJ687" s="446">
        <f t="shared" si="371"/>
        <v>0</v>
      </c>
      <c r="AK687" s="446">
        <f t="shared" si="371"/>
        <v>0</v>
      </c>
      <c r="AL687" s="446">
        <f t="shared" si="371"/>
        <v>0</v>
      </c>
      <c r="AM687" s="446">
        <f t="shared" si="371"/>
        <v>0</v>
      </c>
      <c r="AN687" s="446">
        <f t="shared" si="371"/>
        <v>0</v>
      </c>
      <c r="AO687" s="446">
        <f t="shared" si="371"/>
        <v>0</v>
      </c>
      <c r="AP687" s="446">
        <f t="shared" si="371"/>
        <v>0</v>
      </c>
      <c r="AQ687" s="446">
        <f t="shared" si="371"/>
        <v>0</v>
      </c>
      <c r="AR687" s="446">
        <f t="shared" si="371"/>
        <v>0</v>
      </c>
      <c r="AS687" s="446">
        <f t="shared" si="371"/>
        <v>0</v>
      </c>
      <c r="AT687" s="446">
        <f t="shared" si="371"/>
        <v>0</v>
      </c>
      <c r="AU687" s="446">
        <f t="shared" si="371"/>
        <v>0</v>
      </c>
      <c r="AV687" s="446">
        <f t="shared" si="371"/>
        <v>0</v>
      </c>
      <c r="AW687" s="446">
        <f t="shared" si="371"/>
        <v>0</v>
      </c>
      <c r="AX687" s="446">
        <f t="shared" si="371"/>
        <v>461252550</v>
      </c>
      <c r="AY687" s="446">
        <f t="shared" si="371"/>
        <v>428955377</v>
      </c>
      <c r="AZ687" s="446">
        <f t="shared" si="371"/>
        <v>427155377</v>
      </c>
      <c r="BA687" s="446">
        <f t="shared" si="371"/>
        <v>0</v>
      </c>
      <c r="BB687" s="446">
        <f t="shared" si="371"/>
        <v>0</v>
      </c>
      <c r="BC687" s="446">
        <f t="shared" si="371"/>
        <v>0</v>
      </c>
      <c r="BD687" s="446">
        <f t="shared" si="371"/>
        <v>0</v>
      </c>
      <c r="BE687" s="446">
        <f t="shared" si="371"/>
        <v>0</v>
      </c>
      <c r="BF687" s="446">
        <f t="shared" si="371"/>
        <v>0</v>
      </c>
      <c r="BG687" s="446">
        <f t="shared" si="371"/>
        <v>0</v>
      </c>
      <c r="BH687" s="446">
        <f t="shared" si="371"/>
        <v>0</v>
      </c>
      <c r="BI687" s="446">
        <f t="shared" si="371"/>
        <v>0</v>
      </c>
      <c r="BJ687" s="446">
        <f t="shared" si="371"/>
        <v>0</v>
      </c>
      <c r="BK687" s="446">
        <f t="shared" si="371"/>
        <v>0</v>
      </c>
      <c r="BL687" s="446">
        <f t="shared" si="371"/>
        <v>0</v>
      </c>
      <c r="BM687" s="446">
        <f t="shared" si="371"/>
        <v>0</v>
      </c>
      <c r="BN687" s="446">
        <f t="shared" si="371"/>
        <v>0</v>
      </c>
      <c r="BO687" s="446">
        <f t="shared" si="371"/>
        <v>0</v>
      </c>
      <c r="BP687" s="446">
        <f t="shared" si="371"/>
        <v>0</v>
      </c>
      <c r="BQ687" s="446">
        <f t="shared" si="371"/>
        <v>0</v>
      </c>
      <c r="BR687" s="446">
        <f t="shared" si="371"/>
        <v>0</v>
      </c>
      <c r="BS687" s="446">
        <f t="shared" si="371"/>
        <v>0</v>
      </c>
      <c r="BT687" s="446">
        <f t="shared" si="371"/>
        <v>0</v>
      </c>
      <c r="BU687" s="446">
        <f t="shared" si="371"/>
        <v>0</v>
      </c>
      <c r="BV687" s="446">
        <f t="shared" si="371"/>
        <v>0</v>
      </c>
      <c r="BW687" s="446">
        <f t="shared" si="371"/>
        <v>0</v>
      </c>
      <c r="BX687" s="446">
        <f t="shared" si="371"/>
        <v>0</v>
      </c>
      <c r="BY687" s="446">
        <f t="shared" si="371"/>
        <v>0</v>
      </c>
      <c r="BZ687" s="446">
        <f t="shared" si="371"/>
        <v>0</v>
      </c>
      <c r="CA687" s="446">
        <f t="shared" si="371"/>
        <v>0</v>
      </c>
      <c r="CB687" s="446">
        <f t="shared" ref="CB687:CS687" si="372">SUM(CB685:CB686)</f>
        <v>0</v>
      </c>
      <c r="CC687" s="446">
        <f t="shared" si="372"/>
        <v>0</v>
      </c>
      <c r="CD687" s="446">
        <f t="shared" si="372"/>
        <v>0</v>
      </c>
      <c r="CE687" s="446">
        <f t="shared" si="372"/>
        <v>327337233</v>
      </c>
      <c r="CF687" s="446">
        <f t="shared" si="372"/>
        <v>310202582</v>
      </c>
      <c r="CG687" s="446">
        <f t="shared" si="372"/>
        <v>310202582</v>
      </c>
      <c r="CH687" s="446">
        <f t="shared" si="372"/>
        <v>0</v>
      </c>
      <c r="CI687" s="446">
        <f t="shared" si="372"/>
        <v>0</v>
      </c>
      <c r="CJ687" s="446">
        <f t="shared" si="372"/>
        <v>0</v>
      </c>
      <c r="CK687" s="446">
        <f t="shared" si="372"/>
        <v>0</v>
      </c>
      <c r="CL687" s="446">
        <f t="shared" si="372"/>
        <v>0</v>
      </c>
      <c r="CM687" s="446">
        <f t="shared" si="372"/>
        <v>0</v>
      </c>
      <c r="CN687" s="446">
        <f t="shared" si="372"/>
        <v>0</v>
      </c>
      <c r="CO687" s="446">
        <f t="shared" si="372"/>
        <v>0</v>
      </c>
      <c r="CP687" s="446">
        <f t="shared" si="372"/>
        <v>0</v>
      </c>
      <c r="CQ687" s="446">
        <f t="shared" si="372"/>
        <v>0</v>
      </c>
      <c r="CR687" s="446">
        <f t="shared" si="372"/>
        <v>0</v>
      </c>
      <c r="CS687" s="446">
        <f t="shared" si="372"/>
        <v>0</v>
      </c>
      <c r="CT687" s="446">
        <f>SUM(CT685:CT686)</f>
        <v>788589783</v>
      </c>
      <c r="CU687" s="446">
        <f>SUM(CU685:CU686)</f>
        <v>739157959</v>
      </c>
      <c r="CV687" s="446">
        <f>SUM(CV685:CV686)</f>
        <v>737357959</v>
      </c>
    </row>
    <row r="688" spans="1:100" ht="15" x14ac:dyDescent="0.25">
      <c r="A688" s="19"/>
      <c r="B688" s="19"/>
      <c r="C688" s="949"/>
      <c r="D688" s="177"/>
      <c r="E688" s="949"/>
      <c r="F688" s="949"/>
      <c r="G688" s="177"/>
      <c r="H688" s="949"/>
      <c r="I688" s="177"/>
      <c r="J688" s="949"/>
      <c r="K688" s="949"/>
      <c r="L688" s="930"/>
      <c r="M688" s="930"/>
      <c r="N688" s="230"/>
      <c r="O688" s="221"/>
      <c r="P688" s="949"/>
      <c r="Q688" s="180"/>
      <c r="R688" s="180"/>
      <c r="S688" s="180"/>
      <c r="T688" s="180"/>
      <c r="U688" s="180"/>
      <c r="V688" s="180"/>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80"/>
      <c r="AR688" s="180"/>
      <c r="AS688" s="180"/>
      <c r="AT688" s="180"/>
      <c r="AU688" s="180"/>
      <c r="AV688" s="180"/>
      <c r="AW688" s="180"/>
      <c r="AX688" s="180"/>
      <c r="AY688" s="180"/>
      <c r="AZ688" s="180"/>
      <c r="BA688" s="180"/>
      <c r="BB688" s="180"/>
      <c r="BC688" s="180"/>
      <c r="BD688" s="180"/>
      <c r="BE688" s="180"/>
      <c r="BF688" s="180"/>
      <c r="BG688" s="181"/>
      <c r="BH688" s="181"/>
      <c r="BI688" s="181"/>
      <c r="BJ688" s="181"/>
      <c r="BK688" s="181"/>
      <c r="BL688" s="181"/>
      <c r="BM688" s="181"/>
      <c r="BN688" s="181"/>
      <c r="BO688" s="181"/>
      <c r="BP688" s="181"/>
      <c r="BQ688" s="181"/>
      <c r="BR688" s="181"/>
      <c r="BS688" s="181"/>
      <c r="BT688" s="181"/>
      <c r="BU688" s="181"/>
      <c r="BV688" s="181"/>
      <c r="BW688" s="181"/>
      <c r="BX688" s="181"/>
      <c r="BY688" s="180"/>
      <c r="BZ688" s="180"/>
      <c r="CA688" s="180"/>
      <c r="CB688" s="180"/>
      <c r="CC688" s="180"/>
      <c r="CD688" s="180"/>
      <c r="CE688" s="182"/>
      <c r="CF688" s="182"/>
      <c r="CG688" s="182"/>
      <c r="CH688" s="183"/>
      <c r="CI688" s="183"/>
      <c r="CJ688" s="183"/>
      <c r="CK688" s="180"/>
      <c r="CL688" s="180"/>
      <c r="CM688" s="180"/>
      <c r="CN688" s="180"/>
      <c r="CO688" s="180"/>
      <c r="CP688" s="180"/>
      <c r="CQ688" s="180"/>
      <c r="CR688" s="180"/>
      <c r="CS688" s="180"/>
      <c r="CT688" s="25"/>
      <c r="CU688" s="516"/>
      <c r="CV688" s="516"/>
    </row>
    <row r="689" spans="1:100" ht="15" x14ac:dyDescent="0.25">
      <c r="A689" s="19"/>
      <c r="B689" s="19"/>
      <c r="C689" s="949"/>
      <c r="D689" s="153"/>
      <c r="E689" s="581"/>
      <c r="F689" s="581"/>
      <c r="G689" s="339">
        <v>69</v>
      </c>
      <c r="H689" s="189" t="s">
        <v>840</v>
      </c>
      <c r="I689" s="189"/>
      <c r="J689" s="189"/>
      <c r="K689" s="189"/>
      <c r="L689" s="189"/>
      <c r="M689" s="189"/>
      <c r="N689" s="684"/>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c r="BG689" s="189"/>
      <c r="BH689" s="189"/>
      <c r="BI689" s="189"/>
      <c r="BJ689" s="189"/>
      <c r="BK689" s="189"/>
      <c r="BL689" s="189"/>
      <c r="BM689" s="189"/>
      <c r="BN689" s="189"/>
      <c r="BO689" s="189"/>
      <c r="BP689" s="189"/>
      <c r="BQ689" s="189"/>
      <c r="BR689" s="189"/>
      <c r="BS689" s="189"/>
      <c r="BT689" s="189"/>
      <c r="BU689" s="189"/>
      <c r="BV689" s="189"/>
      <c r="BW689" s="189"/>
      <c r="BX689" s="189"/>
      <c r="BY689" s="189"/>
      <c r="BZ689" s="189"/>
      <c r="CA689" s="189"/>
      <c r="CB689" s="189"/>
      <c r="CC689" s="189"/>
      <c r="CD689" s="189"/>
      <c r="CE689" s="190"/>
      <c r="CF689" s="190"/>
      <c r="CG689" s="190"/>
      <c r="CH689" s="189"/>
      <c r="CI689" s="189"/>
      <c r="CJ689" s="189"/>
      <c r="CK689" s="189"/>
      <c r="CL689" s="189"/>
      <c r="CM689" s="189"/>
      <c r="CN689" s="189"/>
      <c r="CO689" s="189"/>
      <c r="CP689" s="189"/>
      <c r="CQ689" s="189"/>
      <c r="CR689" s="189"/>
      <c r="CS689" s="189"/>
      <c r="CT689" s="522"/>
      <c r="CU689" s="522"/>
      <c r="CV689" s="522"/>
    </row>
    <row r="690" spans="1:100" s="27" customFormat="1" ht="65.099999999999994" customHeight="1" x14ac:dyDescent="0.25">
      <c r="A690" s="19"/>
      <c r="B690" s="19"/>
      <c r="C690" s="927">
        <v>36</v>
      </c>
      <c r="D690" s="53" t="s">
        <v>835</v>
      </c>
      <c r="E690" s="482">
        <v>0.4</v>
      </c>
      <c r="F690" s="483">
        <v>0.6</v>
      </c>
      <c r="G690" s="928"/>
      <c r="H690" s="929">
        <v>204</v>
      </c>
      <c r="I690" s="928" t="s">
        <v>841</v>
      </c>
      <c r="J690" s="30">
        <v>13</v>
      </c>
      <c r="K690" s="30">
        <v>13</v>
      </c>
      <c r="L690" s="30">
        <v>13</v>
      </c>
      <c r="M690" s="30" t="s">
        <v>837</v>
      </c>
      <c r="N690" s="967" t="s">
        <v>838</v>
      </c>
      <c r="O690" s="69" t="s">
        <v>839</v>
      </c>
      <c r="P690" s="30" t="s">
        <v>38</v>
      </c>
      <c r="Q690" s="25">
        <v>0</v>
      </c>
      <c r="R690" s="25"/>
      <c r="S690" s="25"/>
      <c r="T690" s="25">
        <v>0</v>
      </c>
      <c r="U690" s="25"/>
      <c r="V690" s="25"/>
      <c r="W690" s="25">
        <v>0</v>
      </c>
      <c r="X690" s="25"/>
      <c r="Y690" s="25"/>
      <c r="Z690" s="25">
        <v>0</v>
      </c>
      <c r="AA690" s="25"/>
      <c r="AB690" s="25"/>
      <c r="AC690" s="25">
        <v>0</v>
      </c>
      <c r="AD690" s="25"/>
      <c r="AE690" s="25"/>
      <c r="AF690" s="25">
        <v>0</v>
      </c>
      <c r="AG690" s="25"/>
      <c r="AH690" s="25"/>
      <c r="AI690" s="25">
        <v>0</v>
      </c>
      <c r="AJ690" s="25"/>
      <c r="AK690" s="25"/>
      <c r="AL690" s="25"/>
      <c r="AM690" s="25"/>
      <c r="AN690" s="25"/>
      <c r="AO690" s="25"/>
      <c r="AP690" s="25"/>
      <c r="AQ690" s="25"/>
      <c r="AR690" s="25"/>
      <c r="AS690" s="25"/>
      <c r="AT690" s="25"/>
      <c r="AU690" s="25">
        <v>0</v>
      </c>
      <c r="AV690" s="25"/>
      <c r="AW690" s="25"/>
      <c r="AX690" s="25">
        <v>112611783.81</v>
      </c>
      <c r="AY690" s="25">
        <v>112611783.81</v>
      </c>
      <c r="AZ690" s="25">
        <v>107887143.62</v>
      </c>
      <c r="BA690" s="25">
        <v>0</v>
      </c>
      <c r="BB690" s="25"/>
      <c r="BC690" s="25"/>
      <c r="BD690" s="25">
        <v>0</v>
      </c>
      <c r="BE690" s="25"/>
      <c r="BF690" s="25"/>
      <c r="BG690" s="25"/>
      <c r="BH690" s="25"/>
      <c r="BI690" s="25"/>
      <c r="BJ690" s="25"/>
      <c r="BK690" s="25"/>
      <c r="BL690" s="25"/>
      <c r="BM690" s="25"/>
      <c r="BN690" s="25"/>
      <c r="BO690" s="25"/>
      <c r="BP690" s="25"/>
      <c r="BQ690" s="25"/>
      <c r="BR690" s="25"/>
      <c r="BS690" s="25"/>
      <c r="BT690" s="25"/>
      <c r="BU690" s="25"/>
      <c r="BV690" s="25"/>
      <c r="BW690" s="25"/>
      <c r="BX690" s="25"/>
      <c r="BY690" s="25">
        <v>0</v>
      </c>
      <c r="BZ690" s="25"/>
      <c r="CA690" s="25"/>
      <c r="CB690" s="25">
        <v>0</v>
      </c>
      <c r="CC690" s="25"/>
      <c r="CD690" s="25"/>
      <c r="CE690" s="110">
        <v>113400000</v>
      </c>
      <c r="CF690" s="110">
        <v>90064984</v>
      </c>
      <c r="CG690" s="110">
        <v>90064984</v>
      </c>
      <c r="CH690" s="17"/>
      <c r="CI690" s="17"/>
      <c r="CJ690" s="17"/>
      <c r="CK690" s="25">
        <v>5276896</v>
      </c>
      <c r="CL690" s="26">
        <v>5276896</v>
      </c>
      <c r="CM690" s="26">
        <v>5276896</v>
      </c>
      <c r="CN690" s="26">
        <v>0</v>
      </c>
      <c r="CO690" s="26"/>
      <c r="CP690" s="26"/>
      <c r="CQ690" s="26"/>
      <c r="CR690" s="26"/>
      <c r="CS690" s="26"/>
      <c r="CT690" s="25">
        <f>Q690+T690+W690+Z690+AC690+AF690+AI690+AL690+AO690+AR690+AU690+AX690+BA690+BD690+BG690+BJ690+BM690+BP690+BS690+BV690+BY690+CB690+CE690+CH690+CK690+CQ690+CN690</f>
        <v>231288679.81</v>
      </c>
      <c r="CU690" s="25">
        <f>R690+U690+X690+AA690+AD690+AG690+AJ690+AM690+AP690+AS690+AV690+AY690+BB690+BE690+BH690+BK690+BN690+BQ690+BT690+BW690+BZ690+CC690+CF690+CI690+CL690+CR690+CO690</f>
        <v>207953663.81</v>
      </c>
      <c r="CV690" s="25">
        <f>S690+V690+Y690+AB690+AE690+AH690+AK690+AN690+AQ690+AT690+AW690+AZ690+BC690+BF690+BI690+BL690+BO690+BR690+BU690+BX690+CA690+CD690+CG690+CJ690+CM690+CS690+CP690</f>
        <v>203229023.62</v>
      </c>
    </row>
    <row r="691" spans="1:100" ht="15" x14ac:dyDescent="0.25">
      <c r="A691" s="19"/>
      <c r="B691" s="19"/>
      <c r="C691" s="213"/>
      <c r="D691" s="153"/>
      <c r="E691" s="581"/>
      <c r="F691" s="581"/>
      <c r="G691" s="154"/>
      <c r="H691" s="155"/>
      <c r="I691" s="154"/>
      <c r="J691" s="311"/>
      <c r="K691" s="311"/>
      <c r="L691" s="311"/>
      <c r="M691" s="311"/>
      <c r="N691" s="378"/>
      <c r="O691" s="298"/>
      <c r="P691" s="311"/>
      <c r="Q691" s="158">
        <f t="shared" ref="Q691:CB691" si="373">SUM(Q690)</f>
        <v>0</v>
      </c>
      <c r="R691" s="158">
        <f t="shared" si="373"/>
        <v>0</v>
      </c>
      <c r="S691" s="158">
        <f t="shared" si="373"/>
        <v>0</v>
      </c>
      <c r="T691" s="158">
        <f t="shared" si="373"/>
        <v>0</v>
      </c>
      <c r="U691" s="158">
        <f t="shared" si="373"/>
        <v>0</v>
      </c>
      <c r="V691" s="158">
        <f t="shared" si="373"/>
        <v>0</v>
      </c>
      <c r="W691" s="158">
        <f t="shared" si="373"/>
        <v>0</v>
      </c>
      <c r="X691" s="158">
        <f t="shared" si="373"/>
        <v>0</v>
      </c>
      <c r="Y691" s="158">
        <f t="shared" si="373"/>
        <v>0</v>
      </c>
      <c r="Z691" s="158">
        <f t="shared" si="373"/>
        <v>0</v>
      </c>
      <c r="AA691" s="158">
        <f t="shared" si="373"/>
        <v>0</v>
      </c>
      <c r="AB691" s="158">
        <f t="shared" si="373"/>
        <v>0</v>
      </c>
      <c r="AC691" s="158">
        <f t="shared" si="373"/>
        <v>0</v>
      </c>
      <c r="AD691" s="158">
        <f t="shared" si="373"/>
        <v>0</v>
      </c>
      <c r="AE691" s="158">
        <f t="shared" si="373"/>
        <v>0</v>
      </c>
      <c r="AF691" s="158">
        <f t="shared" si="373"/>
        <v>0</v>
      </c>
      <c r="AG691" s="158">
        <f t="shared" si="373"/>
        <v>0</v>
      </c>
      <c r="AH691" s="158">
        <f t="shared" si="373"/>
        <v>0</v>
      </c>
      <c r="AI691" s="158">
        <f t="shared" si="373"/>
        <v>0</v>
      </c>
      <c r="AJ691" s="158">
        <f t="shared" si="373"/>
        <v>0</v>
      </c>
      <c r="AK691" s="158">
        <f t="shared" si="373"/>
        <v>0</v>
      </c>
      <c r="AL691" s="158">
        <f t="shared" si="373"/>
        <v>0</v>
      </c>
      <c r="AM691" s="158">
        <f t="shared" si="373"/>
        <v>0</v>
      </c>
      <c r="AN691" s="158">
        <f t="shared" si="373"/>
        <v>0</v>
      </c>
      <c r="AO691" s="158">
        <f t="shared" si="373"/>
        <v>0</v>
      </c>
      <c r="AP691" s="158">
        <f t="shared" si="373"/>
        <v>0</v>
      </c>
      <c r="AQ691" s="158">
        <f t="shared" si="373"/>
        <v>0</v>
      </c>
      <c r="AR691" s="158">
        <f t="shared" si="373"/>
        <v>0</v>
      </c>
      <c r="AS691" s="158">
        <f t="shared" si="373"/>
        <v>0</v>
      </c>
      <c r="AT691" s="158">
        <f t="shared" si="373"/>
        <v>0</v>
      </c>
      <c r="AU691" s="158">
        <f t="shared" si="373"/>
        <v>0</v>
      </c>
      <c r="AV691" s="158">
        <f t="shared" si="373"/>
        <v>0</v>
      </c>
      <c r="AW691" s="158">
        <f t="shared" si="373"/>
        <v>0</v>
      </c>
      <c r="AX691" s="158">
        <f t="shared" si="373"/>
        <v>112611783.81</v>
      </c>
      <c r="AY691" s="158">
        <f t="shared" si="373"/>
        <v>112611783.81</v>
      </c>
      <c r="AZ691" s="158">
        <f t="shared" si="373"/>
        <v>107887143.62</v>
      </c>
      <c r="BA691" s="158">
        <f t="shared" si="373"/>
        <v>0</v>
      </c>
      <c r="BB691" s="158">
        <f t="shared" si="373"/>
        <v>0</v>
      </c>
      <c r="BC691" s="158">
        <f t="shared" si="373"/>
        <v>0</v>
      </c>
      <c r="BD691" s="158">
        <f t="shared" si="373"/>
        <v>0</v>
      </c>
      <c r="BE691" s="158">
        <f t="shared" si="373"/>
        <v>0</v>
      </c>
      <c r="BF691" s="158">
        <f t="shared" si="373"/>
        <v>0</v>
      </c>
      <c r="BG691" s="158">
        <f t="shared" si="373"/>
        <v>0</v>
      </c>
      <c r="BH691" s="158">
        <f t="shared" si="373"/>
        <v>0</v>
      </c>
      <c r="BI691" s="158">
        <f t="shared" si="373"/>
        <v>0</v>
      </c>
      <c r="BJ691" s="158">
        <f t="shared" si="373"/>
        <v>0</v>
      </c>
      <c r="BK691" s="158">
        <f t="shared" si="373"/>
        <v>0</v>
      </c>
      <c r="BL691" s="158">
        <f t="shared" si="373"/>
        <v>0</v>
      </c>
      <c r="BM691" s="158">
        <f t="shared" si="373"/>
        <v>0</v>
      </c>
      <c r="BN691" s="158">
        <f t="shared" si="373"/>
        <v>0</v>
      </c>
      <c r="BO691" s="158">
        <f t="shared" si="373"/>
        <v>0</v>
      </c>
      <c r="BP691" s="158">
        <f t="shared" si="373"/>
        <v>0</v>
      </c>
      <c r="BQ691" s="158">
        <f t="shared" si="373"/>
        <v>0</v>
      </c>
      <c r="BR691" s="158">
        <f t="shared" si="373"/>
        <v>0</v>
      </c>
      <c r="BS691" s="158">
        <f t="shared" si="373"/>
        <v>0</v>
      </c>
      <c r="BT691" s="158">
        <f t="shared" si="373"/>
        <v>0</v>
      </c>
      <c r="BU691" s="158">
        <f t="shared" si="373"/>
        <v>0</v>
      </c>
      <c r="BV691" s="158">
        <f t="shared" si="373"/>
        <v>0</v>
      </c>
      <c r="BW691" s="158">
        <f t="shared" si="373"/>
        <v>0</v>
      </c>
      <c r="BX691" s="158">
        <f t="shared" si="373"/>
        <v>0</v>
      </c>
      <c r="BY691" s="158">
        <f t="shared" si="373"/>
        <v>0</v>
      </c>
      <c r="BZ691" s="158">
        <f t="shared" si="373"/>
        <v>0</v>
      </c>
      <c r="CA691" s="158">
        <f t="shared" si="373"/>
        <v>0</v>
      </c>
      <c r="CB691" s="158">
        <f t="shared" si="373"/>
        <v>0</v>
      </c>
      <c r="CC691" s="158">
        <f t="shared" ref="CC691:CS691" si="374">SUM(CC690)</f>
        <v>0</v>
      </c>
      <c r="CD691" s="158">
        <f t="shared" si="374"/>
        <v>0</v>
      </c>
      <c r="CE691" s="158">
        <f t="shared" si="374"/>
        <v>113400000</v>
      </c>
      <c r="CF691" s="158">
        <f t="shared" si="374"/>
        <v>90064984</v>
      </c>
      <c r="CG691" s="158">
        <f t="shared" si="374"/>
        <v>90064984</v>
      </c>
      <c r="CH691" s="158">
        <f t="shared" si="374"/>
        <v>0</v>
      </c>
      <c r="CI691" s="158">
        <f t="shared" si="374"/>
        <v>0</v>
      </c>
      <c r="CJ691" s="158">
        <f t="shared" si="374"/>
        <v>0</v>
      </c>
      <c r="CK691" s="158">
        <f t="shared" si="374"/>
        <v>5276896</v>
      </c>
      <c r="CL691" s="158">
        <f t="shared" si="374"/>
        <v>5276896</v>
      </c>
      <c r="CM691" s="158">
        <f t="shared" si="374"/>
        <v>5276896</v>
      </c>
      <c r="CN691" s="158">
        <f t="shared" si="374"/>
        <v>0</v>
      </c>
      <c r="CO691" s="158">
        <f t="shared" si="374"/>
        <v>0</v>
      </c>
      <c r="CP691" s="158">
        <f t="shared" si="374"/>
        <v>0</v>
      </c>
      <c r="CQ691" s="158">
        <f t="shared" si="374"/>
        <v>0</v>
      </c>
      <c r="CR691" s="158">
        <f t="shared" si="374"/>
        <v>0</v>
      </c>
      <c r="CS691" s="158">
        <f t="shared" si="374"/>
        <v>0</v>
      </c>
      <c r="CT691" s="158">
        <f>SUM(CT690)</f>
        <v>231288679.81</v>
      </c>
      <c r="CU691" s="158">
        <f>SUM(CU690)</f>
        <v>207953663.81</v>
      </c>
      <c r="CV691" s="158">
        <f>SUM(CV690)</f>
        <v>203229023.62</v>
      </c>
    </row>
    <row r="692" spans="1:100" ht="15" x14ac:dyDescent="0.25">
      <c r="A692" s="19"/>
      <c r="B692" s="19"/>
      <c r="C692" s="949"/>
      <c r="D692" s="177"/>
      <c r="E692" s="949"/>
      <c r="F692" s="949"/>
      <c r="G692" s="177"/>
      <c r="H692" s="949"/>
      <c r="I692" s="177"/>
      <c r="J692" s="949"/>
      <c r="K692" s="949"/>
      <c r="L692" s="930"/>
      <c r="M692" s="930"/>
      <c r="N692" s="230"/>
      <c r="O692" s="221"/>
      <c r="P692" s="949"/>
      <c r="Q692" s="180"/>
      <c r="R692" s="180"/>
      <c r="S692" s="180"/>
      <c r="T692" s="180"/>
      <c r="U692" s="180"/>
      <c r="V692" s="180"/>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80"/>
      <c r="AR692" s="180"/>
      <c r="AS692" s="180"/>
      <c r="AT692" s="180"/>
      <c r="AU692" s="180"/>
      <c r="AV692" s="180"/>
      <c r="AW692" s="180"/>
      <c r="AX692" s="180"/>
      <c r="AY692" s="180"/>
      <c r="AZ692" s="180"/>
      <c r="BA692" s="180"/>
      <c r="BB692" s="180"/>
      <c r="BC692" s="180"/>
      <c r="BD692" s="180"/>
      <c r="BE692" s="180"/>
      <c r="BF692" s="180"/>
      <c r="BG692" s="181"/>
      <c r="BH692" s="181"/>
      <c r="BI692" s="181"/>
      <c r="BJ692" s="181"/>
      <c r="BK692" s="181"/>
      <c r="BL692" s="181"/>
      <c r="BM692" s="181"/>
      <c r="BN692" s="181"/>
      <c r="BO692" s="181"/>
      <c r="BP692" s="181"/>
      <c r="BQ692" s="181"/>
      <c r="BR692" s="181"/>
      <c r="BS692" s="181"/>
      <c r="BT692" s="181"/>
      <c r="BU692" s="181"/>
      <c r="BV692" s="181"/>
      <c r="BW692" s="181"/>
      <c r="BX692" s="181"/>
      <c r="BY692" s="180"/>
      <c r="BZ692" s="180"/>
      <c r="CA692" s="180"/>
      <c r="CB692" s="180"/>
      <c r="CC692" s="180"/>
      <c r="CD692" s="180"/>
      <c r="CE692" s="182"/>
      <c r="CF692" s="182"/>
      <c r="CG692" s="182"/>
      <c r="CH692" s="183"/>
      <c r="CI692" s="183"/>
      <c r="CJ692" s="183"/>
      <c r="CK692" s="180"/>
      <c r="CL692" s="180"/>
      <c r="CM692" s="180"/>
      <c r="CN692" s="180"/>
      <c r="CO692" s="180"/>
      <c r="CP692" s="180"/>
      <c r="CQ692" s="180"/>
      <c r="CR692" s="180"/>
      <c r="CS692" s="180"/>
      <c r="CT692" s="25"/>
      <c r="CU692" s="516"/>
      <c r="CV692" s="516"/>
    </row>
    <row r="693" spans="1:100" ht="15" x14ac:dyDescent="0.25">
      <c r="A693" s="19"/>
      <c r="B693" s="19"/>
      <c r="C693" s="949"/>
      <c r="D693" s="153"/>
      <c r="E693" s="581"/>
      <c r="F693" s="581"/>
      <c r="G693" s="339">
        <v>70</v>
      </c>
      <c r="H693" s="189" t="s">
        <v>842</v>
      </c>
      <c r="I693" s="189"/>
      <c r="J693" s="189"/>
      <c r="K693" s="189"/>
      <c r="L693" s="189"/>
      <c r="M693" s="189"/>
      <c r="N693" s="684"/>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c r="BG693" s="189"/>
      <c r="BH693" s="189"/>
      <c r="BI693" s="189"/>
      <c r="BJ693" s="189"/>
      <c r="BK693" s="189"/>
      <c r="BL693" s="189"/>
      <c r="BM693" s="189"/>
      <c r="BN693" s="189"/>
      <c r="BO693" s="189"/>
      <c r="BP693" s="189"/>
      <c r="BQ693" s="189"/>
      <c r="BR693" s="189"/>
      <c r="BS693" s="189"/>
      <c r="BT693" s="189"/>
      <c r="BU693" s="189"/>
      <c r="BV693" s="189"/>
      <c r="BW693" s="189"/>
      <c r="BX693" s="189"/>
      <c r="BY693" s="189"/>
      <c r="BZ693" s="189"/>
      <c r="CA693" s="189"/>
      <c r="CB693" s="189"/>
      <c r="CC693" s="189"/>
      <c r="CD693" s="189"/>
      <c r="CE693" s="190"/>
      <c r="CF693" s="190"/>
      <c r="CG693" s="190"/>
      <c r="CH693" s="189"/>
      <c r="CI693" s="189"/>
      <c r="CJ693" s="189"/>
      <c r="CK693" s="189"/>
      <c r="CL693" s="189"/>
      <c r="CM693" s="189"/>
      <c r="CN693" s="189"/>
      <c r="CO693" s="189"/>
      <c r="CP693" s="189"/>
      <c r="CQ693" s="189"/>
      <c r="CR693" s="189"/>
      <c r="CS693" s="189"/>
      <c r="CT693" s="522"/>
      <c r="CU693" s="522"/>
      <c r="CV693" s="522"/>
    </row>
    <row r="694" spans="1:100" s="27" customFormat="1" ht="54.75" customHeight="1" x14ac:dyDescent="0.25">
      <c r="A694" s="19"/>
      <c r="B694" s="19"/>
      <c r="C694" s="927">
        <v>36</v>
      </c>
      <c r="D694" s="53" t="s">
        <v>835</v>
      </c>
      <c r="E694" s="482">
        <v>0.4</v>
      </c>
      <c r="F694" s="483">
        <v>0.6</v>
      </c>
      <c r="G694" s="928"/>
      <c r="H694" s="929">
        <v>205</v>
      </c>
      <c r="I694" s="928" t="s">
        <v>843</v>
      </c>
      <c r="J694" s="30">
        <v>4</v>
      </c>
      <c r="K694" s="30">
        <v>1</v>
      </c>
      <c r="L694" s="30">
        <v>1</v>
      </c>
      <c r="M694" s="30" t="s">
        <v>837</v>
      </c>
      <c r="N694" s="967" t="s">
        <v>844</v>
      </c>
      <c r="O694" s="543" t="s">
        <v>845</v>
      </c>
      <c r="P694" s="30" t="s">
        <v>34</v>
      </c>
      <c r="Q694" s="25">
        <v>0</v>
      </c>
      <c r="R694" s="25"/>
      <c r="S694" s="25"/>
      <c r="T694" s="25">
        <v>0</v>
      </c>
      <c r="U694" s="25"/>
      <c r="V694" s="25"/>
      <c r="W694" s="25">
        <v>0</v>
      </c>
      <c r="X694" s="25"/>
      <c r="Y694" s="25"/>
      <c r="Z694" s="25">
        <v>0</v>
      </c>
      <c r="AA694" s="25"/>
      <c r="AB694" s="25"/>
      <c r="AC694" s="25">
        <v>0</v>
      </c>
      <c r="AD694" s="25"/>
      <c r="AE694" s="25"/>
      <c r="AF694" s="25">
        <v>0</v>
      </c>
      <c r="AG694" s="25"/>
      <c r="AH694" s="25"/>
      <c r="AI694" s="25">
        <v>0</v>
      </c>
      <c r="AJ694" s="25"/>
      <c r="AK694" s="25"/>
      <c r="AL694" s="25"/>
      <c r="AM694" s="25"/>
      <c r="AN694" s="25"/>
      <c r="AO694" s="25"/>
      <c r="AP694" s="25"/>
      <c r="AQ694" s="25"/>
      <c r="AR694" s="25"/>
      <c r="AS694" s="25"/>
      <c r="AT694" s="25"/>
      <c r="AU694" s="25">
        <v>0</v>
      </c>
      <c r="AV694" s="25"/>
      <c r="AW694" s="25"/>
      <c r="AX694" s="25"/>
      <c r="AY694" s="25"/>
      <c r="AZ694" s="25"/>
      <c r="BA694" s="25">
        <v>0</v>
      </c>
      <c r="BB694" s="25"/>
      <c r="BC694" s="25"/>
      <c r="BD694" s="25">
        <v>0</v>
      </c>
      <c r="BE694" s="25"/>
      <c r="BF694" s="25"/>
      <c r="BG694" s="25"/>
      <c r="BH694" s="25"/>
      <c r="BI694" s="25"/>
      <c r="BJ694" s="25"/>
      <c r="BK694" s="25"/>
      <c r="BL694" s="25"/>
      <c r="BM694" s="25"/>
      <c r="BN694" s="25"/>
      <c r="BO694" s="25"/>
      <c r="BP694" s="25"/>
      <c r="BQ694" s="25"/>
      <c r="BR694" s="25"/>
      <c r="BS694" s="25"/>
      <c r="BT694" s="25"/>
      <c r="BU694" s="25"/>
      <c r="BV694" s="25"/>
      <c r="BW694" s="25"/>
      <c r="BX694" s="25"/>
      <c r="BY694" s="25">
        <v>0</v>
      </c>
      <c r="BZ694" s="25"/>
      <c r="CA694" s="25"/>
      <c r="CB694" s="25">
        <v>0</v>
      </c>
      <c r="CC694" s="25"/>
      <c r="CD694" s="25"/>
      <c r="CE694" s="110">
        <f>80000000+200000000</f>
        <v>280000000</v>
      </c>
      <c r="CF694" s="110">
        <v>263491646</v>
      </c>
      <c r="CG694" s="110">
        <v>263491646</v>
      </c>
      <c r="CH694" s="17">
        <f>131747972-6095580-8</f>
        <v>125652384</v>
      </c>
      <c r="CI694" s="17">
        <v>120676332</v>
      </c>
      <c r="CJ694" s="17">
        <v>120676332</v>
      </c>
      <c r="CK694" s="25">
        <v>0</v>
      </c>
      <c r="CL694" s="26"/>
      <c r="CM694" s="26"/>
      <c r="CN694" s="26">
        <v>0</v>
      </c>
      <c r="CO694" s="26"/>
      <c r="CP694" s="26"/>
      <c r="CQ694" s="26"/>
      <c r="CR694" s="26"/>
      <c r="CS694" s="26"/>
      <c r="CT694" s="25">
        <f>Q694+T694+W694+Z694+AC694+AF694+AI694+AL694+AO694+AR694+AU694+AX694+BA694+BD694+BG694+BJ694+BM694+BP694+BS694+BV694+BY694+CB694+CE694+CH694+CK694+CQ694+CN694</f>
        <v>405652384</v>
      </c>
      <c r="CU694" s="25">
        <f>R694+U694+X694+AA694+AD694+AG694+AJ694+AM694+AP694+AS694+AV694+AY694+BB694+BE694+BH694+BK694+BN694+BQ694+BT694+BW694+BZ694+CC694+CF694+CI694+CL694+CR694+CO694</f>
        <v>384167978</v>
      </c>
      <c r="CV694" s="25">
        <f>S694+V694+Y694+AB694+AE694+AH694+AK694+AN694+AQ694+AT694+AW694+AZ694+BC694+BF694+BI694+BL694+BO694+BR694+BU694+BX694+CA694+CD694+CG694+CJ694+CM694+CS694+CP694</f>
        <v>384167978</v>
      </c>
    </row>
    <row r="695" spans="1:100" ht="15" x14ac:dyDescent="0.25">
      <c r="A695" s="19"/>
      <c r="B695" s="19"/>
      <c r="C695" s="213"/>
      <c r="D695" s="153"/>
      <c r="E695" s="581"/>
      <c r="F695" s="581"/>
      <c r="G695" s="154"/>
      <c r="H695" s="155"/>
      <c r="I695" s="154"/>
      <c r="J695" s="311"/>
      <c r="K695" s="311"/>
      <c r="L695" s="311"/>
      <c r="M695" s="311"/>
      <c r="N695" s="378"/>
      <c r="O695" s="298"/>
      <c r="P695" s="311"/>
      <c r="Q695" s="244">
        <f t="shared" ref="Q695:CB695" si="375">SUM(Q694)</f>
        <v>0</v>
      </c>
      <c r="R695" s="244">
        <f t="shared" si="375"/>
        <v>0</v>
      </c>
      <c r="S695" s="244">
        <f t="shared" si="375"/>
        <v>0</v>
      </c>
      <c r="T695" s="244">
        <f t="shared" si="375"/>
        <v>0</v>
      </c>
      <c r="U695" s="244">
        <f t="shared" si="375"/>
        <v>0</v>
      </c>
      <c r="V695" s="244">
        <f t="shared" si="375"/>
        <v>0</v>
      </c>
      <c r="W695" s="244">
        <f t="shared" si="375"/>
        <v>0</v>
      </c>
      <c r="X695" s="244">
        <f t="shared" si="375"/>
        <v>0</v>
      </c>
      <c r="Y695" s="244">
        <f t="shared" si="375"/>
        <v>0</v>
      </c>
      <c r="Z695" s="244">
        <f t="shared" si="375"/>
        <v>0</v>
      </c>
      <c r="AA695" s="244">
        <f t="shared" si="375"/>
        <v>0</v>
      </c>
      <c r="AB695" s="244">
        <f t="shared" si="375"/>
        <v>0</v>
      </c>
      <c r="AC695" s="244">
        <f t="shared" si="375"/>
        <v>0</v>
      </c>
      <c r="AD695" s="244">
        <f t="shared" si="375"/>
        <v>0</v>
      </c>
      <c r="AE695" s="244">
        <f t="shared" si="375"/>
        <v>0</v>
      </c>
      <c r="AF695" s="244">
        <f t="shared" si="375"/>
        <v>0</v>
      </c>
      <c r="AG695" s="244">
        <f t="shared" si="375"/>
        <v>0</v>
      </c>
      <c r="AH695" s="244">
        <f t="shared" si="375"/>
        <v>0</v>
      </c>
      <c r="AI695" s="244">
        <f t="shared" si="375"/>
        <v>0</v>
      </c>
      <c r="AJ695" s="244">
        <f t="shared" si="375"/>
        <v>0</v>
      </c>
      <c r="AK695" s="244">
        <f t="shared" si="375"/>
        <v>0</v>
      </c>
      <c r="AL695" s="244">
        <f t="shared" si="375"/>
        <v>0</v>
      </c>
      <c r="AM695" s="244">
        <f t="shared" si="375"/>
        <v>0</v>
      </c>
      <c r="AN695" s="244">
        <f t="shared" si="375"/>
        <v>0</v>
      </c>
      <c r="AO695" s="244">
        <f t="shared" si="375"/>
        <v>0</v>
      </c>
      <c r="AP695" s="244">
        <f t="shared" si="375"/>
        <v>0</v>
      </c>
      <c r="AQ695" s="244">
        <f t="shared" si="375"/>
        <v>0</v>
      </c>
      <c r="AR695" s="244">
        <f t="shared" si="375"/>
        <v>0</v>
      </c>
      <c r="AS695" s="244">
        <f t="shared" si="375"/>
        <v>0</v>
      </c>
      <c r="AT695" s="244">
        <f t="shared" si="375"/>
        <v>0</v>
      </c>
      <c r="AU695" s="244">
        <f t="shared" si="375"/>
        <v>0</v>
      </c>
      <c r="AV695" s="244">
        <f t="shared" si="375"/>
        <v>0</v>
      </c>
      <c r="AW695" s="244">
        <f t="shared" si="375"/>
        <v>0</v>
      </c>
      <c r="AX695" s="244">
        <f t="shared" si="375"/>
        <v>0</v>
      </c>
      <c r="AY695" s="244">
        <f t="shared" si="375"/>
        <v>0</v>
      </c>
      <c r="AZ695" s="244">
        <f t="shared" si="375"/>
        <v>0</v>
      </c>
      <c r="BA695" s="244">
        <f t="shared" si="375"/>
        <v>0</v>
      </c>
      <c r="BB695" s="244">
        <f t="shared" si="375"/>
        <v>0</v>
      </c>
      <c r="BC695" s="244">
        <f t="shared" si="375"/>
        <v>0</v>
      </c>
      <c r="BD695" s="244">
        <f t="shared" si="375"/>
        <v>0</v>
      </c>
      <c r="BE695" s="244">
        <f t="shared" si="375"/>
        <v>0</v>
      </c>
      <c r="BF695" s="244">
        <f t="shared" si="375"/>
        <v>0</v>
      </c>
      <c r="BG695" s="244">
        <f t="shared" si="375"/>
        <v>0</v>
      </c>
      <c r="BH695" s="244">
        <f t="shared" si="375"/>
        <v>0</v>
      </c>
      <c r="BI695" s="244">
        <f t="shared" si="375"/>
        <v>0</v>
      </c>
      <c r="BJ695" s="244">
        <f t="shared" si="375"/>
        <v>0</v>
      </c>
      <c r="BK695" s="244">
        <f t="shared" si="375"/>
        <v>0</v>
      </c>
      <c r="BL695" s="244">
        <f t="shared" si="375"/>
        <v>0</v>
      </c>
      <c r="BM695" s="244">
        <f t="shared" si="375"/>
        <v>0</v>
      </c>
      <c r="BN695" s="244">
        <f t="shared" si="375"/>
        <v>0</v>
      </c>
      <c r="BO695" s="244">
        <f t="shared" si="375"/>
        <v>0</v>
      </c>
      <c r="BP695" s="244">
        <f t="shared" si="375"/>
        <v>0</v>
      </c>
      <c r="BQ695" s="244">
        <f t="shared" si="375"/>
        <v>0</v>
      </c>
      <c r="BR695" s="244">
        <f t="shared" si="375"/>
        <v>0</v>
      </c>
      <c r="BS695" s="244">
        <f t="shared" si="375"/>
        <v>0</v>
      </c>
      <c r="BT695" s="244">
        <f t="shared" si="375"/>
        <v>0</v>
      </c>
      <c r="BU695" s="244">
        <f t="shared" si="375"/>
        <v>0</v>
      </c>
      <c r="BV695" s="244">
        <f t="shared" si="375"/>
        <v>0</v>
      </c>
      <c r="BW695" s="244">
        <f t="shared" si="375"/>
        <v>0</v>
      </c>
      <c r="BX695" s="244">
        <f t="shared" si="375"/>
        <v>0</v>
      </c>
      <c r="BY695" s="244">
        <f t="shared" si="375"/>
        <v>0</v>
      </c>
      <c r="BZ695" s="244">
        <f t="shared" si="375"/>
        <v>0</v>
      </c>
      <c r="CA695" s="244">
        <f t="shared" si="375"/>
        <v>0</v>
      </c>
      <c r="CB695" s="244">
        <f t="shared" si="375"/>
        <v>0</v>
      </c>
      <c r="CC695" s="244">
        <f t="shared" ref="CC695:CS695" si="376">SUM(CC694)</f>
        <v>0</v>
      </c>
      <c r="CD695" s="244">
        <f t="shared" si="376"/>
        <v>0</v>
      </c>
      <c r="CE695" s="244">
        <f t="shared" si="376"/>
        <v>280000000</v>
      </c>
      <c r="CF695" s="244">
        <f t="shared" si="376"/>
        <v>263491646</v>
      </c>
      <c r="CG695" s="244">
        <f t="shared" si="376"/>
        <v>263491646</v>
      </c>
      <c r="CH695" s="244">
        <f t="shared" si="376"/>
        <v>125652384</v>
      </c>
      <c r="CI695" s="244">
        <f t="shared" si="376"/>
        <v>120676332</v>
      </c>
      <c r="CJ695" s="244">
        <f t="shared" si="376"/>
        <v>120676332</v>
      </c>
      <c r="CK695" s="244">
        <f t="shared" si="376"/>
        <v>0</v>
      </c>
      <c r="CL695" s="244">
        <f t="shared" si="376"/>
        <v>0</v>
      </c>
      <c r="CM695" s="244">
        <f t="shared" si="376"/>
        <v>0</v>
      </c>
      <c r="CN695" s="244">
        <f t="shared" si="376"/>
        <v>0</v>
      </c>
      <c r="CO695" s="244">
        <f t="shared" si="376"/>
        <v>0</v>
      </c>
      <c r="CP695" s="244">
        <f t="shared" si="376"/>
        <v>0</v>
      </c>
      <c r="CQ695" s="244">
        <f t="shared" si="376"/>
        <v>0</v>
      </c>
      <c r="CR695" s="244">
        <f t="shared" si="376"/>
        <v>0</v>
      </c>
      <c r="CS695" s="244">
        <f t="shared" si="376"/>
        <v>0</v>
      </c>
      <c r="CT695" s="244">
        <f>SUM(CT694)</f>
        <v>405652384</v>
      </c>
      <c r="CU695" s="244">
        <f>SUM(CU694)</f>
        <v>384167978</v>
      </c>
      <c r="CV695" s="244">
        <f>SUM(CV694)</f>
        <v>384167978</v>
      </c>
    </row>
    <row r="696" spans="1:100" s="27" customFormat="1" ht="15" x14ac:dyDescent="0.25">
      <c r="A696" s="19"/>
      <c r="B696" s="19"/>
      <c r="C696" s="949"/>
      <c r="D696" s="177"/>
      <c r="E696" s="949"/>
      <c r="F696" s="949"/>
      <c r="G696" s="177"/>
      <c r="H696" s="949"/>
      <c r="I696" s="177"/>
      <c r="J696" s="949"/>
      <c r="K696" s="949"/>
      <c r="L696" s="930"/>
      <c r="M696" s="930"/>
      <c r="N696" s="230"/>
      <c r="O696" s="221"/>
      <c r="P696" s="949"/>
      <c r="Q696" s="180"/>
      <c r="R696" s="180"/>
      <c r="S696" s="180"/>
      <c r="T696" s="180"/>
      <c r="U696" s="180"/>
      <c r="V696" s="180"/>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80"/>
      <c r="AR696" s="180"/>
      <c r="AS696" s="180"/>
      <c r="AT696" s="180"/>
      <c r="AU696" s="180"/>
      <c r="AV696" s="180"/>
      <c r="AW696" s="180"/>
      <c r="AX696" s="180"/>
      <c r="AY696" s="180"/>
      <c r="AZ696" s="180"/>
      <c r="BA696" s="180"/>
      <c r="BB696" s="180"/>
      <c r="BC696" s="180"/>
      <c r="BD696" s="180"/>
      <c r="BE696" s="180"/>
      <c r="BF696" s="180"/>
      <c r="BG696" s="181"/>
      <c r="BH696" s="181"/>
      <c r="BI696" s="181"/>
      <c r="BJ696" s="181"/>
      <c r="BK696" s="181"/>
      <c r="BL696" s="181"/>
      <c r="BM696" s="181"/>
      <c r="BN696" s="181"/>
      <c r="BO696" s="181"/>
      <c r="BP696" s="181"/>
      <c r="BQ696" s="181"/>
      <c r="BR696" s="181"/>
      <c r="BS696" s="181"/>
      <c r="BT696" s="181"/>
      <c r="BU696" s="181"/>
      <c r="BV696" s="181"/>
      <c r="BW696" s="181"/>
      <c r="BX696" s="181"/>
      <c r="BY696" s="180"/>
      <c r="BZ696" s="180"/>
      <c r="CA696" s="180"/>
      <c r="CB696" s="180"/>
      <c r="CC696" s="180"/>
      <c r="CD696" s="180"/>
      <c r="CE696" s="182"/>
      <c r="CF696" s="182"/>
      <c r="CG696" s="182"/>
      <c r="CH696" s="183"/>
      <c r="CI696" s="183"/>
      <c r="CJ696" s="183"/>
      <c r="CK696" s="180"/>
      <c r="CL696" s="180"/>
      <c r="CM696" s="180"/>
      <c r="CN696" s="180"/>
      <c r="CO696" s="180"/>
      <c r="CP696" s="180"/>
      <c r="CQ696" s="180"/>
      <c r="CR696" s="180"/>
      <c r="CS696" s="180"/>
      <c r="CT696" s="25"/>
      <c r="CU696" s="76"/>
      <c r="CV696" s="76"/>
    </row>
    <row r="697" spans="1:100" s="27" customFormat="1" ht="15" x14ac:dyDescent="0.25">
      <c r="A697" s="19"/>
      <c r="B697" s="19"/>
      <c r="C697" s="949"/>
      <c r="D697" s="153"/>
      <c r="E697" s="581"/>
      <c r="F697" s="581"/>
      <c r="G697" s="339">
        <v>71</v>
      </c>
      <c r="H697" s="189" t="s">
        <v>846</v>
      </c>
      <c r="I697" s="189"/>
      <c r="J697" s="189"/>
      <c r="K697" s="189"/>
      <c r="L697" s="189"/>
      <c r="M697" s="189"/>
      <c r="N697" s="684"/>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c r="BQ697" s="189"/>
      <c r="BR697" s="189"/>
      <c r="BS697" s="189"/>
      <c r="BT697" s="189"/>
      <c r="BU697" s="189"/>
      <c r="BV697" s="189"/>
      <c r="BW697" s="189"/>
      <c r="BX697" s="189"/>
      <c r="BY697" s="189"/>
      <c r="BZ697" s="189"/>
      <c r="CA697" s="189"/>
      <c r="CB697" s="189"/>
      <c r="CC697" s="189"/>
      <c r="CD697" s="189"/>
      <c r="CE697" s="190"/>
      <c r="CF697" s="190"/>
      <c r="CG697" s="190"/>
      <c r="CH697" s="189"/>
      <c r="CI697" s="189"/>
      <c r="CJ697" s="189"/>
      <c r="CK697" s="189"/>
      <c r="CL697" s="189"/>
      <c r="CM697" s="189"/>
      <c r="CN697" s="189"/>
      <c r="CO697" s="189"/>
      <c r="CP697" s="189"/>
      <c r="CQ697" s="189"/>
      <c r="CR697" s="189"/>
      <c r="CS697" s="189"/>
      <c r="CT697" s="522"/>
      <c r="CU697" s="522"/>
      <c r="CV697" s="522"/>
    </row>
    <row r="698" spans="1:100" s="27" customFormat="1" ht="103.5" customHeight="1" x14ac:dyDescent="0.25">
      <c r="A698" s="19"/>
      <c r="B698" s="19"/>
      <c r="C698" s="1032">
        <v>36</v>
      </c>
      <c r="D698" s="1061" t="s">
        <v>835</v>
      </c>
      <c r="E698" s="1042">
        <v>0.4</v>
      </c>
      <c r="F698" s="1045">
        <v>0.6</v>
      </c>
      <c r="G698" s="1021"/>
      <c r="H698" s="929">
        <v>206</v>
      </c>
      <c r="I698" s="928" t="s">
        <v>847</v>
      </c>
      <c r="J698" s="30">
        <v>12</v>
      </c>
      <c r="K698" s="30">
        <v>12</v>
      </c>
      <c r="L698" s="30">
        <v>12</v>
      </c>
      <c r="M698" s="30" t="s">
        <v>837</v>
      </c>
      <c r="N698" s="1029" t="s">
        <v>848</v>
      </c>
      <c r="O698" s="1048" t="s">
        <v>849</v>
      </c>
      <c r="P698" s="30" t="s">
        <v>38</v>
      </c>
      <c r="Q698" s="25">
        <v>0</v>
      </c>
      <c r="R698" s="25"/>
      <c r="S698" s="25"/>
      <c r="T698" s="25">
        <v>0</v>
      </c>
      <c r="U698" s="25"/>
      <c r="V698" s="25"/>
      <c r="W698" s="25">
        <v>0</v>
      </c>
      <c r="X698" s="25"/>
      <c r="Y698" s="25"/>
      <c r="Z698" s="25">
        <v>0</v>
      </c>
      <c r="AA698" s="25"/>
      <c r="AB698" s="25"/>
      <c r="AC698" s="25">
        <v>0</v>
      </c>
      <c r="AD698" s="25"/>
      <c r="AE698" s="25"/>
      <c r="AF698" s="25">
        <v>0</v>
      </c>
      <c r="AG698" s="25"/>
      <c r="AH698" s="25"/>
      <c r="AI698" s="25">
        <v>0</v>
      </c>
      <c r="AJ698" s="25"/>
      <c r="AK698" s="25"/>
      <c r="AL698" s="25"/>
      <c r="AM698" s="25"/>
      <c r="AN698" s="25"/>
      <c r="AO698" s="25"/>
      <c r="AP698" s="25"/>
      <c r="AQ698" s="25"/>
      <c r="AR698" s="25"/>
      <c r="AS698" s="25"/>
      <c r="AT698" s="25"/>
      <c r="AU698" s="25">
        <v>0</v>
      </c>
      <c r="AV698" s="25"/>
      <c r="AW698" s="25"/>
      <c r="AX698" s="17">
        <v>106800000</v>
      </c>
      <c r="AY698" s="17">
        <v>101069999</v>
      </c>
      <c r="AZ698" s="17">
        <v>101069999</v>
      </c>
      <c r="BA698" s="25">
        <v>0</v>
      </c>
      <c r="BB698" s="25"/>
      <c r="BC698" s="25"/>
      <c r="BD698" s="25">
        <v>0</v>
      </c>
      <c r="BE698" s="25"/>
      <c r="BF698" s="25"/>
      <c r="BG698" s="25"/>
      <c r="BH698" s="25"/>
      <c r="BI698" s="25"/>
      <c r="BJ698" s="25"/>
      <c r="BK698" s="25"/>
      <c r="BL698" s="25"/>
      <c r="BM698" s="25"/>
      <c r="BN698" s="25"/>
      <c r="BO698" s="25"/>
      <c r="BP698" s="25"/>
      <c r="BQ698" s="25"/>
      <c r="BR698" s="25"/>
      <c r="BS698" s="25"/>
      <c r="BT698" s="25"/>
      <c r="BU698" s="25"/>
      <c r="BV698" s="25"/>
      <c r="BW698" s="25"/>
      <c r="BX698" s="25"/>
      <c r="BY698" s="25">
        <v>0</v>
      </c>
      <c r="BZ698" s="25"/>
      <c r="CA698" s="25"/>
      <c r="CB698" s="25">
        <v>0</v>
      </c>
      <c r="CC698" s="25"/>
      <c r="CD698" s="25"/>
      <c r="CE698" s="110">
        <v>0</v>
      </c>
      <c r="CF698" s="110"/>
      <c r="CG698" s="110"/>
      <c r="CH698" s="13">
        <f>34991380-34991380</f>
        <v>0</v>
      </c>
      <c r="CI698" s="13"/>
      <c r="CJ698" s="13"/>
      <c r="CK698" s="25">
        <v>0</v>
      </c>
      <c r="CL698" s="26"/>
      <c r="CM698" s="26"/>
      <c r="CN698" s="26">
        <v>0</v>
      </c>
      <c r="CO698" s="26"/>
      <c r="CP698" s="26"/>
      <c r="CQ698" s="26"/>
      <c r="CR698" s="26"/>
      <c r="CS698" s="26"/>
      <c r="CT698" s="25">
        <f t="shared" ref="CT698:CV700" si="377">Q698+T698+W698+Z698+AC698+AF698+AI698+AL698+AO698+AR698+AU698+AX698+BA698+BD698+BG698+BJ698+BM698+BP698+BS698+BV698+BY698+CB698+CE698+CH698+CK698+CQ698+CN698</f>
        <v>106800000</v>
      </c>
      <c r="CU698" s="25">
        <f t="shared" si="377"/>
        <v>101069999</v>
      </c>
      <c r="CV698" s="25">
        <f t="shared" si="377"/>
        <v>101069999</v>
      </c>
    </row>
    <row r="699" spans="1:100" s="27" customFormat="1" ht="50.25" customHeight="1" x14ac:dyDescent="0.25">
      <c r="A699" s="19"/>
      <c r="B699" s="19"/>
      <c r="C699" s="1038"/>
      <c r="D699" s="1062"/>
      <c r="E699" s="1043"/>
      <c r="F699" s="1046"/>
      <c r="G699" s="1023"/>
      <c r="H699" s="929">
        <v>207</v>
      </c>
      <c r="I699" s="928" t="s">
        <v>850</v>
      </c>
      <c r="J699" s="30">
        <v>4</v>
      </c>
      <c r="K699" s="30">
        <v>1</v>
      </c>
      <c r="L699" s="30">
        <v>1</v>
      </c>
      <c r="M699" s="30" t="s">
        <v>837</v>
      </c>
      <c r="N699" s="1030"/>
      <c r="O699" s="1049"/>
      <c r="P699" s="30" t="s">
        <v>34</v>
      </c>
      <c r="Q699" s="25">
        <v>0</v>
      </c>
      <c r="R699" s="25"/>
      <c r="S699" s="25"/>
      <c r="T699" s="25">
        <v>0</v>
      </c>
      <c r="U699" s="25"/>
      <c r="V699" s="25"/>
      <c r="W699" s="25">
        <v>0</v>
      </c>
      <c r="X699" s="25"/>
      <c r="Y699" s="25"/>
      <c r="Z699" s="25">
        <v>0</v>
      </c>
      <c r="AA699" s="25"/>
      <c r="AB699" s="25"/>
      <c r="AC699" s="25">
        <v>0</v>
      </c>
      <c r="AD699" s="25"/>
      <c r="AE699" s="25"/>
      <c r="AF699" s="25">
        <v>0</v>
      </c>
      <c r="AG699" s="25"/>
      <c r="AH699" s="25"/>
      <c r="AI699" s="25">
        <v>0</v>
      </c>
      <c r="AJ699" s="25"/>
      <c r="AK699" s="25"/>
      <c r="AL699" s="25"/>
      <c r="AM699" s="25"/>
      <c r="AN699" s="25"/>
      <c r="AO699" s="25"/>
      <c r="AP699" s="25"/>
      <c r="AQ699" s="25"/>
      <c r="AR699" s="25"/>
      <c r="AS699" s="25"/>
      <c r="AT699" s="25"/>
      <c r="AU699" s="25">
        <v>0</v>
      </c>
      <c r="AV699" s="25"/>
      <c r="AW699" s="25"/>
      <c r="AX699" s="25"/>
      <c r="AY699" s="25"/>
      <c r="AZ699" s="25"/>
      <c r="BA699" s="25">
        <v>0</v>
      </c>
      <c r="BB699" s="25"/>
      <c r="BC699" s="25"/>
      <c r="BD699" s="25">
        <v>0</v>
      </c>
      <c r="BE699" s="25"/>
      <c r="BF699" s="25"/>
      <c r="BG699" s="25"/>
      <c r="BH699" s="25"/>
      <c r="BI699" s="25"/>
      <c r="BJ699" s="25"/>
      <c r="BK699" s="25"/>
      <c r="BL699" s="25"/>
      <c r="BM699" s="25"/>
      <c r="BN699" s="25"/>
      <c r="BO699" s="25"/>
      <c r="BP699" s="25"/>
      <c r="BQ699" s="25"/>
      <c r="BR699" s="25"/>
      <c r="BS699" s="25"/>
      <c r="BT699" s="25"/>
      <c r="BU699" s="25"/>
      <c r="BV699" s="25"/>
      <c r="BW699" s="25"/>
      <c r="BX699" s="25"/>
      <c r="BY699" s="25">
        <v>0</v>
      </c>
      <c r="BZ699" s="25"/>
      <c r="CA699" s="25"/>
      <c r="CB699" s="25">
        <v>0</v>
      </c>
      <c r="CC699" s="25"/>
      <c r="CD699" s="25"/>
      <c r="CE699" s="110">
        <f>107173+333200274</f>
        <v>333307447</v>
      </c>
      <c r="CF699" s="110">
        <v>325472559.19</v>
      </c>
      <c r="CG699" s="110">
        <v>325472559.19</v>
      </c>
      <c r="CH699" s="17">
        <f>20000000+10000000-30000000</f>
        <v>0</v>
      </c>
      <c r="CI699" s="17"/>
      <c r="CJ699" s="17"/>
      <c r="CK699" s="25">
        <v>0</v>
      </c>
      <c r="CL699" s="26"/>
      <c r="CM699" s="26"/>
      <c r="CN699" s="26">
        <v>0</v>
      </c>
      <c r="CO699" s="26"/>
      <c r="CP699" s="26"/>
      <c r="CQ699" s="26"/>
      <c r="CR699" s="26"/>
      <c r="CS699" s="26"/>
      <c r="CT699" s="25">
        <f t="shared" si="377"/>
        <v>333307447</v>
      </c>
      <c r="CU699" s="25">
        <f t="shared" si="377"/>
        <v>325472559.19</v>
      </c>
      <c r="CV699" s="25">
        <f t="shared" si="377"/>
        <v>325472559.19</v>
      </c>
    </row>
    <row r="700" spans="1:100" s="27" customFormat="1" ht="65.25" customHeight="1" x14ac:dyDescent="0.25">
      <c r="A700" s="19"/>
      <c r="B700" s="19"/>
      <c r="C700" s="1033"/>
      <c r="D700" s="1063"/>
      <c r="E700" s="1044"/>
      <c r="F700" s="1047"/>
      <c r="G700" s="1022"/>
      <c r="H700" s="929">
        <v>208</v>
      </c>
      <c r="I700" s="928" t="s">
        <v>851</v>
      </c>
      <c r="J700" s="30">
        <v>1</v>
      </c>
      <c r="K700" s="30">
        <v>1</v>
      </c>
      <c r="L700" s="30">
        <v>1</v>
      </c>
      <c r="M700" s="30" t="s">
        <v>837</v>
      </c>
      <c r="N700" s="1031"/>
      <c r="O700" s="1050"/>
      <c r="P700" s="30" t="s">
        <v>38</v>
      </c>
      <c r="Q700" s="25">
        <v>0</v>
      </c>
      <c r="R700" s="25"/>
      <c r="S700" s="25"/>
      <c r="T700" s="25">
        <v>0</v>
      </c>
      <c r="U700" s="25"/>
      <c r="V700" s="25"/>
      <c r="W700" s="25">
        <v>0</v>
      </c>
      <c r="X700" s="25"/>
      <c r="Y700" s="25"/>
      <c r="Z700" s="25">
        <v>0</v>
      </c>
      <c r="AA700" s="25"/>
      <c r="AB700" s="25"/>
      <c r="AC700" s="25">
        <v>0</v>
      </c>
      <c r="AD700" s="25"/>
      <c r="AE700" s="25"/>
      <c r="AF700" s="25">
        <v>0</v>
      </c>
      <c r="AG700" s="25"/>
      <c r="AH700" s="25"/>
      <c r="AI700" s="25">
        <v>0</v>
      </c>
      <c r="AJ700" s="25"/>
      <c r="AK700" s="25"/>
      <c r="AL700" s="25"/>
      <c r="AM700" s="25"/>
      <c r="AN700" s="25"/>
      <c r="AO700" s="25"/>
      <c r="AP700" s="25"/>
      <c r="AQ700" s="25"/>
      <c r="AR700" s="25"/>
      <c r="AS700" s="25"/>
      <c r="AT700" s="25"/>
      <c r="AU700" s="25">
        <v>0</v>
      </c>
      <c r="AV700" s="25"/>
      <c r="AW700" s="25"/>
      <c r="AX700" s="25"/>
      <c r="AY700" s="25"/>
      <c r="AZ700" s="25"/>
      <c r="BA700" s="25">
        <v>0</v>
      </c>
      <c r="BB700" s="25"/>
      <c r="BC700" s="25"/>
      <c r="BD700" s="25">
        <v>0</v>
      </c>
      <c r="BE700" s="25"/>
      <c r="BF700" s="25"/>
      <c r="BG700" s="25"/>
      <c r="BH700" s="25"/>
      <c r="BI700" s="25"/>
      <c r="BJ700" s="25"/>
      <c r="BK700" s="25"/>
      <c r="BL700" s="25"/>
      <c r="BM700" s="25"/>
      <c r="BN700" s="25"/>
      <c r="BO700" s="25"/>
      <c r="BP700" s="25"/>
      <c r="BQ700" s="25"/>
      <c r="BR700" s="25"/>
      <c r="BS700" s="25"/>
      <c r="BT700" s="25"/>
      <c r="BU700" s="25"/>
      <c r="BV700" s="25"/>
      <c r="BW700" s="25"/>
      <c r="BX700" s="25"/>
      <c r="BY700" s="25">
        <v>0</v>
      </c>
      <c r="BZ700" s="25"/>
      <c r="CA700" s="25"/>
      <c r="CB700" s="25">
        <v>0</v>
      </c>
      <c r="CC700" s="25"/>
      <c r="CD700" s="25"/>
      <c r="CE700" s="110">
        <f>10000000+10000000+30000000</f>
        <v>50000000</v>
      </c>
      <c r="CF700" s="110">
        <v>48936867</v>
      </c>
      <c r="CG700" s="110">
        <v>48936867</v>
      </c>
      <c r="CH700" s="17"/>
      <c r="CI700" s="17"/>
      <c r="CJ700" s="17"/>
      <c r="CK700" s="25">
        <v>0</v>
      </c>
      <c r="CL700" s="26"/>
      <c r="CM700" s="26"/>
      <c r="CN700" s="26">
        <v>0</v>
      </c>
      <c r="CO700" s="26"/>
      <c r="CP700" s="26"/>
      <c r="CQ700" s="26"/>
      <c r="CR700" s="26"/>
      <c r="CS700" s="26"/>
      <c r="CT700" s="25">
        <f t="shared" si="377"/>
        <v>50000000</v>
      </c>
      <c r="CU700" s="25">
        <f t="shared" si="377"/>
        <v>48936867</v>
      </c>
      <c r="CV700" s="25">
        <f t="shared" si="377"/>
        <v>48936867</v>
      </c>
    </row>
    <row r="701" spans="1:100" ht="15" x14ac:dyDescent="0.25">
      <c r="A701" s="19"/>
      <c r="B701" s="152"/>
      <c r="C701" s="544"/>
      <c r="D701" s="153"/>
      <c r="E701" s="581"/>
      <c r="F701" s="581"/>
      <c r="G701" s="154"/>
      <c r="H701" s="155"/>
      <c r="I701" s="154"/>
      <c r="J701" s="311"/>
      <c r="K701" s="311"/>
      <c r="L701" s="311"/>
      <c r="M701" s="311"/>
      <c r="N701" s="378"/>
      <c r="O701" s="298"/>
      <c r="P701" s="311"/>
      <c r="Q701" s="158">
        <f t="shared" ref="Q701:CB701" si="378">SUM(Q698:Q700)</f>
        <v>0</v>
      </c>
      <c r="R701" s="158">
        <f t="shared" si="378"/>
        <v>0</v>
      </c>
      <c r="S701" s="158">
        <f t="shared" si="378"/>
        <v>0</v>
      </c>
      <c r="T701" s="158">
        <f t="shared" si="378"/>
        <v>0</v>
      </c>
      <c r="U701" s="158">
        <f t="shared" si="378"/>
        <v>0</v>
      </c>
      <c r="V701" s="158">
        <f t="shared" si="378"/>
        <v>0</v>
      </c>
      <c r="W701" s="158">
        <f t="shared" si="378"/>
        <v>0</v>
      </c>
      <c r="X701" s="158">
        <f t="shared" si="378"/>
        <v>0</v>
      </c>
      <c r="Y701" s="158">
        <f t="shared" si="378"/>
        <v>0</v>
      </c>
      <c r="Z701" s="158">
        <f t="shared" si="378"/>
        <v>0</v>
      </c>
      <c r="AA701" s="158">
        <f t="shared" si="378"/>
        <v>0</v>
      </c>
      <c r="AB701" s="158">
        <f t="shared" si="378"/>
        <v>0</v>
      </c>
      <c r="AC701" s="158">
        <f t="shared" si="378"/>
        <v>0</v>
      </c>
      <c r="AD701" s="158">
        <f t="shared" si="378"/>
        <v>0</v>
      </c>
      <c r="AE701" s="158">
        <f t="shared" si="378"/>
        <v>0</v>
      </c>
      <c r="AF701" s="158">
        <f t="shared" si="378"/>
        <v>0</v>
      </c>
      <c r="AG701" s="158">
        <f t="shared" si="378"/>
        <v>0</v>
      </c>
      <c r="AH701" s="158">
        <f t="shared" si="378"/>
        <v>0</v>
      </c>
      <c r="AI701" s="158">
        <f t="shared" si="378"/>
        <v>0</v>
      </c>
      <c r="AJ701" s="158">
        <f t="shared" si="378"/>
        <v>0</v>
      </c>
      <c r="AK701" s="158">
        <f t="shared" si="378"/>
        <v>0</v>
      </c>
      <c r="AL701" s="158">
        <f t="shared" si="378"/>
        <v>0</v>
      </c>
      <c r="AM701" s="158">
        <f t="shared" si="378"/>
        <v>0</v>
      </c>
      <c r="AN701" s="158">
        <f t="shared" si="378"/>
        <v>0</v>
      </c>
      <c r="AO701" s="158">
        <f t="shared" si="378"/>
        <v>0</v>
      </c>
      <c r="AP701" s="158">
        <f t="shared" si="378"/>
        <v>0</v>
      </c>
      <c r="AQ701" s="158">
        <f t="shared" si="378"/>
        <v>0</v>
      </c>
      <c r="AR701" s="158">
        <f t="shared" si="378"/>
        <v>0</v>
      </c>
      <c r="AS701" s="158">
        <f t="shared" si="378"/>
        <v>0</v>
      </c>
      <c r="AT701" s="158">
        <f t="shared" si="378"/>
        <v>0</v>
      </c>
      <c r="AU701" s="158">
        <f t="shared" si="378"/>
        <v>0</v>
      </c>
      <c r="AV701" s="158">
        <f t="shared" si="378"/>
        <v>0</v>
      </c>
      <c r="AW701" s="158">
        <f t="shared" si="378"/>
        <v>0</v>
      </c>
      <c r="AX701" s="158">
        <f t="shared" si="378"/>
        <v>106800000</v>
      </c>
      <c r="AY701" s="158">
        <f t="shared" si="378"/>
        <v>101069999</v>
      </c>
      <c r="AZ701" s="158">
        <f t="shared" si="378"/>
        <v>101069999</v>
      </c>
      <c r="BA701" s="158">
        <f t="shared" si="378"/>
        <v>0</v>
      </c>
      <c r="BB701" s="158">
        <f t="shared" si="378"/>
        <v>0</v>
      </c>
      <c r="BC701" s="158">
        <f t="shared" si="378"/>
        <v>0</v>
      </c>
      <c r="BD701" s="158">
        <f t="shared" si="378"/>
        <v>0</v>
      </c>
      <c r="BE701" s="158">
        <f t="shared" si="378"/>
        <v>0</v>
      </c>
      <c r="BF701" s="158">
        <f t="shared" si="378"/>
        <v>0</v>
      </c>
      <c r="BG701" s="158">
        <f t="shared" si="378"/>
        <v>0</v>
      </c>
      <c r="BH701" s="158">
        <f t="shared" si="378"/>
        <v>0</v>
      </c>
      <c r="BI701" s="158">
        <f t="shared" si="378"/>
        <v>0</v>
      </c>
      <c r="BJ701" s="158">
        <f t="shared" si="378"/>
        <v>0</v>
      </c>
      <c r="BK701" s="158">
        <f t="shared" si="378"/>
        <v>0</v>
      </c>
      <c r="BL701" s="158">
        <f t="shared" si="378"/>
        <v>0</v>
      </c>
      <c r="BM701" s="158">
        <f t="shared" si="378"/>
        <v>0</v>
      </c>
      <c r="BN701" s="158">
        <f t="shared" si="378"/>
        <v>0</v>
      </c>
      <c r="BO701" s="158">
        <f t="shared" si="378"/>
        <v>0</v>
      </c>
      <c r="BP701" s="158">
        <f t="shared" si="378"/>
        <v>0</v>
      </c>
      <c r="BQ701" s="158">
        <f t="shared" si="378"/>
        <v>0</v>
      </c>
      <c r="BR701" s="158">
        <f t="shared" si="378"/>
        <v>0</v>
      </c>
      <c r="BS701" s="158">
        <f t="shared" si="378"/>
        <v>0</v>
      </c>
      <c r="BT701" s="158">
        <f t="shared" si="378"/>
        <v>0</v>
      </c>
      <c r="BU701" s="158">
        <f t="shared" si="378"/>
        <v>0</v>
      </c>
      <c r="BV701" s="158">
        <f t="shared" si="378"/>
        <v>0</v>
      </c>
      <c r="BW701" s="158">
        <f t="shared" si="378"/>
        <v>0</v>
      </c>
      <c r="BX701" s="158">
        <f t="shared" si="378"/>
        <v>0</v>
      </c>
      <c r="BY701" s="158">
        <f t="shared" si="378"/>
        <v>0</v>
      </c>
      <c r="BZ701" s="158">
        <f t="shared" si="378"/>
        <v>0</v>
      </c>
      <c r="CA701" s="158">
        <f t="shared" si="378"/>
        <v>0</v>
      </c>
      <c r="CB701" s="158">
        <f t="shared" si="378"/>
        <v>0</v>
      </c>
      <c r="CC701" s="158">
        <f t="shared" ref="CC701:CS701" si="379">SUM(CC698:CC700)</f>
        <v>0</v>
      </c>
      <c r="CD701" s="158">
        <f t="shared" si="379"/>
        <v>0</v>
      </c>
      <c r="CE701" s="158">
        <f t="shared" si="379"/>
        <v>383307447</v>
      </c>
      <c r="CF701" s="158">
        <f t="shared" si="379"/>
        <v>374409426.19</v>
      </c>
      <c r="CG701" s="158">
        <f t="shared" si="379"/>
        <v>374409426.19</v>
      </c>
      <c r="CH701" s="158">
        <f t="shared" si="379"/>
        <v>0</v>
      </c>
      <c r="CI701" s="158">
        <f t="shared" si="379"/>
        <v>0</v>
      </c>
      <c r="CJ701" s="158">
        <f t="shared" si="379"/>
        <v>0</v>
      </c>
      <c r="CK701" s="158">
        <f t="shared" si="379"/>
        <v>0</v>
      </c>
      <c r="CL701" s="158">
        <f t="shared" si="379"/>
        <v>0</v>
      </c>
      <c r="CM701" s="158">
        <f t="shared" si="379"/>
        <v>0</v>
      </c>
      <c r="CN701" s="158">
        <f t="shared" si="379"/>
        <v>0</v>
      </c>
      <c r="CO701" s="158">
        <f t="shared" si="379"/>
        <v>0</v>
      </c>
      <c r="CP701" s="158">
        <f t="shared" si="379"/>
        <v>0</v>
      </c>
      <c r="CQ701" s="158">
        <f t="shared" si="379"/>
        <v>0</v>
      </c>
      <c r="CR701" s="158">
        <f t="shared" si="379"/>
        <v>0</v>
      </c>
      <c r="CS701" s="158">
        <f t="shared" si="379"/>
        <v>0</v>
      </c>
      <c r="CT701" s="158">
        <f>SUM(CT698:CT700)</f>
        <v>490107447</v>
      </c>
      <c r="CU701" s="158">
        <f>SUM(CU698:CU700)</f>
        <v>475479425.19</v>
      </c>
      <c r="CV701" s="158">
        <f>SUM(CV698:CV700)</f>
        <v>475479425.19</v>
      </c>
    </row>
    <row r="702" spans="1:100" ht="15" x14ac:dyDescent="0.25">
      <c r="A702" s="19"/>
      <c r="B702" s="386"/>
      <c r="C702" s="220"/>
      <c r="D702" s="161"/>
      <c r="E702" s="162"/>
      <c r="F702" s="162"/>
      <c r="G702" s="161"/>
      <c r="H702" s="162"/>
      <c r="I702" s="161"/>
      <c r="J702" s="323"/>
      <c r="K702" s="323"/>
      <c r="L702" s="323"/>
      <c r="M702" s="323"/>
      <c r="N702" s="545"/>
      <c r="O702" s="546"/>
      <c r="P702" s="323"/>
      <c r="Q702" s="165">
        <f t="shared" ref="Q702:CB702" si="380">Q701+Q695+Q691+Q687</f>
        <v>0</v>
      </c>
      <c r="R702" s="165">
        <f t="shared" si="380"/>
        <v>0</v>
      </c>
      <c r="S702" s="165">
        <f t="shared" si="380"/>
        <v>0</v>
      </c>
      <c r="T702" s="165">
        <f t="shared" si="380"/>
        <v>0</v>
      </c>
      <c r="U702" s="165">
        <f t="shared" si="380"/>
        <v>0</v>
      </c>
      <c r="V702" s="165">
        <f t="shared" si="380"/>
        <v>0</v>
      </c>
      <c r="W702" s="165">
        <f t="shared" si="380"/>
        <v>0</v>
      </c>
      <c r="X702" s="165">
        <f t="shared" si="380"/>
        <v>0</v>
      </c>
      <c r="Y702" s="165">
        <f t="shared" si="380"/>
        <v>0</v>
      </c>
      <c r="Z702" s="165">
        <f t="shared" si="380"/>
        <v>0</v>
      </c>
      <c r="AA702" s="165">
        <f t="shared" si="380"/>
        <v>0</v>
      </c>
      <c r="AB702" s="165">
        <f t="shared" si="380"/>
        <v>0</v>
      </c>
      <c r="AC702" s="165">
        <f t="shared" si="380"/>
        <v>0</v>
      </c>
      <c r="AD702" s="165">
        <f t="shared" si="380"/>
        <v>0</v>
      </c>
      <c r="AE702" s="165">
        <f t="shared" si="380"/>
        <v>0</v>
      </c>
      <c r="AF702" s="165">
        <f t="shared" si="380"/>
        <v>0</v>
      </c>
      <c r="AG702" s="165">
        <f t="shared" si="380"/>
        <v>0</v>
      </c>
      <c r="AH702" s="165">
        <f t="shared" si="380"/>
        <v>0</v>
      </c>
      <c r="AI702" s="165">
        <f t="shared" si="380"/>
        <v>0</v>
      </c>
      <c r="AJ702" s="165">
        <f t="shared" si="380"/>
        <v>0</v>
      </c>
      <c r="AK702" s="165">
        <f t="shared" si="380"/>
        <v>0</v>
      </c>
      <c r="AL702" s="165">
        <f t="shared" si="380"/>
        <v>0</v>
      </c>
      <c r="AM702" s="165">
        <f t="shared" si="380"/>
        <v>0</v>
      </c>
      <c r="AN702" s="165">
        <f t="shared" si="380"/>
        <v>0</v>
      </c>
      <c r="AO702" s="165">
        <f t="shared" si="380"/>
        <v>0</v>
      </c>
      <c r="AP702" s="165">
        <f t="shared" si="380"/>
        <v>0</v>
      </c>
      <c r="AQ702" s="165">
        <f t="shared" si="380"/>
        <v>0</v>
      </c>
      <c r="AR702" s="165">
        <f t="shared" si="380"/>
        <v>0</v>
      </c>
      <c r="AS702" s="165">
        <f t="shared" si="380"/>
        <v>0</v>
      </c>
      <c r="AT702" s="165">
        <f t="shared" si="380"/>
        <v>0</v>
      </c>
      <c r="AU702" s="165">
        <f t="shared" si="380"/>
        <v>0</v>
      </c>
      <c r="AV702" s="165">
        <f t="shared" si="380"/>
        <v>0</v>
      </c>
      <c r="AW702" s="165">
        <f t="shared" si="380"/>
        <v>0</v>
      </c>
      <c r="AX702" s="165">
        <f t="shared" si="380"/>
        <v>680664333.80999994</v>
      </c>
      <c r="AY702" s="165">
        <f t="shared" si="380"/>
        <v>642637159.80999994</v>
      </c>
      <c r="AZ702" s="165">
        <f t="shared" si="380"/>
        <v>636112519.62</v>
      </c>
      <c r="BA702" s="165">
        <f t="shared" si="380"/>
        <v>0</v>
      </c>
      <c r="BB702" s="165">
        <f t="shared" si="380"/>
        <v>0</v>
      </c>
      <c r="BC702" s="165">
        <f t="shared" si="380"/>
        <v>0</v>
      </c>
      <c r="BD702" s="165">
        <f t="shared" si="380"/>
        <v>0</v>
      </c>
      <c r="BE702" s="165">
        <f t="shared" si="380"/>
        <v>0</v>
      </c>
      <c r="BF702" s="165">
        <f t="shared" si="380"/>
        <v>0</v>
      </c>
      <c r="BG702" s="165">
        <f t="shared" si="380"/>
        <v>0</v>
      </c>
      <c r="BH702" s="165">
        <f t="shared" si="380"/>
        <v>0</v>
      </c>
      <c r="BI702" s="165">
        <f t="shared" si="380"/>
        <v>0</v>
      </c>
      <c r="BJ702" s="165">
        <f t="shared" si="380"/>
        <v>0</v>
      </c>
      <c r="BK702" s="165">
        <f t="shared" si="380"/>
        <v>0</v>
      </c>
      <c r="BL702" s="165">
        <f t="shared" si="380"/>
        <v>0</v>
      </c>
      <c r="BM702" s="165">
        <f t="shared" si="380"/>
        <v>0</v>
      </c>
      <c r="BN702" s="165">
        <f t="shared" si="380"/>
        <v>0</v>
      </c>
      <c r="BO702" s="165">
        <f t="shared" si="380"/>
        <v>0</v>
      </c>
      <c r="BP702" s="165">
        <f t="shared" si="380"/>
        <v>0</v>
      </c>
      <c r="BQ702" s="165">
        <f t="shared" si="380"/>
        <v>0</v>
      </c>
      <c r="BR702" s="165">
        <f t="shared" si="380"/>
        <v>0</v>
      </c>
      <c r="BS702" s="165">
        <f t="shared" si="380"/>
        <v>0</v>
      </c>
      <c r="BT702" s="165">
        <f t="shared" si="380"/>
        <v>0</v>
      </c>
      <c r="BU702" s="165">
        <f t="shared" si="380"/>
        <v>0</v>
      </c>
      <c r="BV702" s="165">
        <f t="shared" si="380"/>
        <v>0</v>
      </c>
      <c r="BW702" s="165">
        <f t="shared" si="380"/>
        <v>0</v>
      </c>
      <c r="BX702" s="165">
        <f t="shared" si="380"/>
        <v>0</v>
      </c>
      <c r="BY702" s="165">
        <f t="shared" si="380"/>
        <v>0</v>
      </c>
      <c r="BZ702" s="165">
        <f t="shared" si="380"/>
        <v>0</v>
      </c>
      <c r="CA702" s="165">
        <f t="shared" si="380"/>
        <v>0</v>
      </c>
      <c r="CB702" s="165">
        <f t="shared" si="380"/>
        <v>0</v>
      </c>
      <c r="CC702" s="165">
        <f t="shared" ref="CC702:CS702" si="381">CC701+CC695+CC691+CC687</f>
        <v>0</v>
      </c>
      <c r="CD702" s="165">
        <f t="shared" si="381"/>
        <v>0</v>
      </c>
      <c r="CE702" s="165">
        <f t="shared" si="381"/>
        <v>1104044680</v>
      </c>
      <c r="CF702" s="165">
        <f t="shared" si="381"/>
        <v>1038168638.1900001</v>
      </c>
      <c r="CG702" s="165">
        <f t="shared" si="381"/>
        <v>1038168638.1900001</v>
      </c>
      <c r="CH702" s="165">
        <f t="shared" si="381"/>
        <v>125652384</v>
      </c>
      <c r="CI702" s="165">
        <f t="shared" si="381"/>
        <v>120676332</v>
      </c>
      <c r="CJ702" s="165">
        <f t="shared" si="381"/>
        <v>120676332</v>
      </c>
      <c r="CK702" s="165">
        <f t="shared" si="381"/>
        <v>5276896</v>
      </c>
      <c r="CL702" s="165">
        <f t="shared" si="381"/>
        <v>5276896</v>
      </c>
      <c r="CM702" s="165">
        <f t="shared" si="381"/>
        <v>5276896</v>
      </c>
      <c r="CN702" s="165">
        <f t="shared" si="381"/>
        <v>0</v>
      </c>
      <c r="CO702" s="165">
        <f t="shared" si="381"/>
        <v>0</v>
      </c>
      <c r="CP702" s="165">
        <f t="shared" si="381"/>
        <v>0</v>
      </c>
      <c r="CQ702" s="165">
        <f t="shared" si="381"/>
        <v>0</v>
      </c>
      <c r="CR702" s="165">
        <f t="shared" si="381"/>
        <v>0</v>
      </c>
      <c r="CS702" s="165">
        <f t="shared" si="381"/>
        <v>0</v>
      </c>
      <c r="CT702" s="165">
        <f>CT701+CT695+CT691+CT687</f>
        <v>1915638293.8099999</v>
      </c>
      <c r="CU702" s="165">
        <f>CU701+CU695+CU691+CU687</f>
        <v>1806759026</v>
      </c>
      <c r="CV702" s="165">
        <f>CV701+CV695+CV691+CV687</f>
        <v>1800234385.8099999</v>
      </c>
    </row>
    <row r="703" spans="1:100" ht="15" x14ac:dyDescent="0.25">
      <c r="A703" s="19"/>
      <c r="B703" s="177"/>
      <c r="C703" s="949"/>
      <c r="D703" s="177"/>
      <c r="E703" s="949"/>
      <c r="F703" s="949"/>
      <c r="G703" s="177"/>
      <c r="H703" s="949"/>
      <c r="I703" s="177"/>
      <c r="J703" s="949"/>
      <c r="K703" s="949"/>
      <c r="L703" s="930"/>
      <c r="M703" s="930"/>
      <c r="N703" s="230"/>
      <c r="O703" s="221"/>
      <c r="P703" s="949"/>
      <c r="Q703" s="180"/>
      <c r="R703" s="180"/>
      <c r="S703" s="180"/>
      <c r="T703" s="180"/>
      <c r="U703" s="180"/>
      <c r="V703" s="180"/>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80"/>
      <c r="AR703" s="180"/>
      <c r="AS703" s="180"/>
      <c r="AT703" s="180"/>
      <c r="AU703" s="180"/>
      <c r="AV703" s="180"/>
      <c r="AW703" s="180"/>
      <c r="AX703" s="180"/>
      <c r="AY703" s="180"/>
      <c r="AZ703" s="180"/>
      <c r="BA703" s="180"/>
      <c r="BB703" s="180"/>
      <c r="BC703" s="180"/>
      <c r="BD703" s="180"/>
      <c r="BE703" s="180"/>
      <c r="BF703" s="180"/>
      <c r="BG703" s="181"/>
      <c r="BH703" s="181"/>
      <c r="BI703" s="181"/>
      <c r="BJ703" s="181"/>
      <c r="BK703" s="181"/>
      <c r="BL703" s="181"/>
      <c r="BM703" s="181"/>
      <c r="BN703" s="181"/>
      <c r="BO703" s="181"/>
      <c r="BP703" s="181"/>
      <c r="BQ703" s="181"/>
      <c r="BR703" s="181"/>
      <c r="BS703" s="181"/>
      <c r="BT703" s="181"/>
      <c r="BU703" s="181"/>
      <c r="BV703" s="181"/>
      <c r="BW703" s="181"/>
      <c r="BX703" s="181"/>
      <c r="BY703" s="180"/>
      <c r="BZ703" s="180"/>
      <c r="CA703" s="180"/>
      <c r="CB703" s="180"/>
      <c r="CC703" s="180"/>
      <c r="CD703" s="180"/>
      <c r="CE703" s="182"/>
      <c r="CF703" s="182"/>
      <c r="CG703" s="182"/>
      <c r="CH703" s="180"/>
      <c r="CI703" s="180"/>
      <c r="CJ703" s="180"/>
      <c r="CK703" s="180"/>
      <c r="CL703" s="180"/>
      <c r="CM703" s="180"/>
      <c r="CN703" s="180"/>
      <c r="CO703" s="180"/>
      <c r="CP703" s="180"/>
      <c r="CQ703" s="180"/>
      <c r="CR703" s="180"/>
      <c r="CS703" s="180"/>
      <c r="CT703" s="25"/>
      <c r="CU703" s="516"/>
      <c r="CV703" s="516"/>
    </row>
    <row r="704" spans="1:100" ht="15" x14ac:dyDescent="0.25">
      <c r="A704" s="19"/>
      <c r="B704" s="547">
        <v>21</v>
      </c>
      <c r="C704" s="146" t="s">
        <v>852</v>
      </c>
      <c r="D704" s="146"/>
      <c r="E704" s="146"/>
      <c r="F704" s="146"/>
      <c r="G704" s="146"/>
      <c r="H704" s="147"/>
      <c r="I704" s="146"/>
      <c r="J704" s="146"/>
      <c r="K704" s="146"/>
      <c r="L704" s="146"/>
      <c r="M704" s="146"/>
      <c r="N704" s="677"/>
      <c r="O704" s="146"/>
      <c r="P704" s="146"/>
      <c r="Q704" s="146"/>
      <c r="R704" s="146"/>
      <c r="S704" s="146"/>
      <c r="T704" s="146"/>
      <c r="U704" s="146"/>
      <c r="V704" s="146"/>
      <c r="W704" s="146"/>
      <c r="X704" s="146"/>
      <c r="Y704" s="146"/>
      <c r="Z704" s="146"/>
      <c r="AA704" s="146"/>
      <c r="AB704" s="146"/>
      <c r="AC704" s="146"/>
      <c r="AD704" s="146"/>
      <c r="AE704" s="146"/>
      <c r="AF704" s="146"/>
      <c r="AG704" s="146"/>
      <c r="AH704" s="146"/>
      <c r="AI704" s="146"/>
      <c r="AJ704" s="146"/>
      <c r="AK704" s="146"/>
      <c r="AL704" s="146"/>
      <c r="AM704" s="146"/>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c r="BI704" s="146"/>
      <c r="BJ704" s="146"/>
      <c r="BK704" s="146"/>
      <c r="BL704" s="146"/>
      <c r="BM704" s="146"/>
      <c r="BN704" s="146"/>
      <c r="BO704" s="146"/>
      <c r="BP704" s="146"/>
      <c r="BQ704" s="146"/>
      <c r="BR704" s="146"/>
      <c r="BS704" s="146"/>
      <c r="BT704" s="146"/>
      <c r="BU704" s="146"/>
      <c r="BV704" s="146"/>
      <c r="BW704" s="146"/>
      <c r="BX704" s="146"/>
      <c r="BY704" s="146"/>
      <c r="BZ704" s="146"/>
      <c r="CA704" s="146"/>
      <c r="CB704" s="146"/>
      <c r="CC704" s="146"/>
      <c r="CD704" s="146"/>
      <c r="CE704" s="148"/>
      <c r="CF704" s="148"/>
      <c r="CG704" s="148"/>
      <c r="CH704" s="146"/>
      <c r="CI704" s="146"/>
      <c r="CJ704" s="146"/>
      <c r="CK704" s="146"/>
      <c r="CL704" s="146"/>
      <c r="CM704" s="146"/>
      <c r="CN704" s="146"/>
      <c r="CO704" s="146"/>
      <c r="CP704" s="146"/>
      <c r="CQ704" s="146"/>
      <c r="CR704" s="146"/>
      <c r="CS704" s="146"/>
      <c r="CT704" s="526"/>
      <c r="CU704" s="526"/>
      <c r="CV704" s="526"/>
    </row>
    <row r="705" spans="1:100" ht="15" x14ac:dyDescent="0.25">
      <c r="A705" s="19"/>
      <c r="B705" s="1004"/>
      <c r="C705" s="949"/>
      <c r="D705" s="177"/>
      <c r="E705" s="949"/>
      <c r="F705" s="927"/>
      <c r="G705" s="339">
        <v>72</v>
      </c>
      <c r="H705" s="189" t="s">
        <v>853</v>
      </c>
      <c r="I705" s="189"/>
      <c r="J705" s="189"/>
      <c r="K705" s="189"/>
      <c r="L705" s="189"/>
      <c r="M705" s="189"/>
      <c r="N705" s="684"/>
      <c r="O705" s="189"/>
      <c r="P705" s="189"/>
      <c r="Q705" s="189"/>
      <c r="R705" s="189"/>
      <c r="S705" s="189"/>
      <c r="T705" s="189"/>
      <c r="U705" s="189"/>
      <c r="V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c r="BG705" s="189"/>
      <c r="BH705" s="189"/>
      <c r="BI705" s="189"/>
      <c r="BJ705" s="189"/>
      <c r="BK705" s="189"/>
      <c r="BL705" s="189"/>
      <c r="BM705" s="189"/>
      <c r="BN705" s="189"/>
      <c r="BO705" s="189"/>
      <c r="BP705" s="189"/>
      <c r="BQ705" s="189"/>
      <c r="BR705" s="189"/>
      <c r="BS705" s="189"/>
      <c r="BT705" s="189"/>
      <c r="BU705" s="189"/>
      <c r="BV705" s="189"/>
      <c r="BW705" s="189"/>
      <c r="BX705" s="189"/>
      <c r="BY705" s="189"/>
      <c r="BZ705" s="189"/>
      <c r="CA705" s="189"/>
      <c r="CB705" s="189"/>
      <c r="CC705" s="189"/>
      <c r="CD705" s="189"/>
      <c r="CE705" s="190"/>
      <c r="CF705" s="190"/>
      <c r="CG705" s="190"/>
      <c r="CH705" s="189"/>
      <c r="CI705" s="189"/>
      <c r="CJ705" s="189"/>
      <c r="CK705" s="189"/>
      <c r="CL705" s="189"/>
      <c r="CM705" s="189"/>
      <c r="CN705" s="189"/>
      <c r="CO705" s="189"/>
      <c r="CP705" s="189"/>
      <c r="CQ705" s="189"/>
      <c r="CR705" s="189"/>
      <c r="CS705" s="189"/>
      <c r="CT705" s="522"/>
      <c r="CU705" s="522"/>
      <c r="CV705" s="522"/>
    </row>
    <row r="706" spans="1:100" s="27" customFormat="1" ht="52.5" customHeight="1" x14ac:dyDescent="0.25">
      <c r="A706" s="19"/>
      <c r="B706" s="1004"/>
      <c r="C706" s="1032">
        <v>36</v>
      </c>
      <c r="D706" s="1039" t="s">
        <v>835</v>
      </c>
      <c r="E706" s="1042">
        <v>0.4</v>
      </c>
      <c r="F706" s="1045">
        <v>0.6</v>
      </c>
      <c r="G706" s="1021" t="s">
        <v>421</v>
      </c>
      <c r="H706" s="929">
        <v>209</v>
      </c>
      <c r="I706" s="928" t="s">
        <v>854</v>
      </c>
      <c r="J706" s="30">
        <v>1</v>
      </c>
      <c r="K706" s="30">
        <v>1</v>
      </c>
      <c r="L706" s="30">
        <v>1</v>
      </c>
      <c r="M706" s="30" t="s">
        <v>837</v>
      </c>
      <c r="N706" s="1029" t="s">
        <v>855</v>
      </c>
      <c r="O706" s="1048" t="s">
        <v>856</v>
      </c>
      <c r="P706" s="30" t="s">
        <v>38</v>
      </c>
      <c r="Q706" s="25">
        <v>0</v>
      </c>
      <c r="R706" s="25"/>
      <c r="S706" s="25"/>
      <c r="T706" s="25">
        <v>0</v>
      </c>
      <c r="U706" s="25"/>
      <c r="V706" s="25"/>
      <c r="W706" s="25">
        <v>0</v>
      </c>
      <c r="X706" s="25"/>
      <c r="Y706" s="25"/>
      <c r="Z706" s="25">
        <v>0</v>
      </c>
      <c r="AA706" s="25"/>
      <c r="AB706" s="25"/>
      <c r="AC706" s="25">
        <v>0</v>
      </c>
      <c r="AD706" s="25"/>
      <c r="AE706" s="25"/>
      <c r="AF706" s="25">
        <v>0</v>
      </c>
      <c r="AG706" s="25"/>
      <c r="AH706" s="25"/>
      <c r="AI706" s="25">
        <v>0</v>
      </c>
      <c r="AJ706" s="25"/>
      <c r="AK706" s="25"/>
      <c r="AL706" s="25"/>
      <c r="AM706" s="25"/>
      <c r="AN706" s="25"/>
      <c r="AO706" s="25"/>
      <c r="AP706" s="25"/>
      <c r="AQ706" s="25"/>
      <c r="AR706" s="25"/>
      <c r="AS706" s="25"/>
      <c r="AT706" s="25"/>
      <c r="AU706" s="25">
        <v>0</v>
      </c>
      <c r="AV706" s="25"/>
      <c r="AW706" s="25"/>
      <c r="AX706" s="25">
        <v>32000000</v>
      </c>
      <c r="AY706" s="25">
        <v>32000000</v>
      </c>
      <c r="AZ706" s="25">
        <v>32000000</v>
      </c>
      <c r="BA706" s="25">
        <v>0</v>
      </c>
      <c r="BB706" s="25"/>
      <c r="BC706" s="25"/>
      <c r="BD706" s="25">
        <v>0</v>
      </c>
      <c r="BE706" s="25"/>
      <c r="BF706" s="25"/>
      <c r="BG706" s="25"/>
      <c r="BH706" s="25"/>
      <c r="BI706" s="25"/>
      <c r="BJ706" s="25"/>
      <c r="BK706" s="25"/>
      <c r="BL706" s="25"/>
      <c r="BM706" s="25"/>
      <c r="BN706" s="25"/>
      <c r="BO706" s="25"/>
      <c r="BP706" s="25"/>
      <c r="BQ706" s="25"/>
      <c r="BR706" s="25"/>
      <c r="BS706" s="25"/>
      <c r="BT706" s="25"/>
      <c r="BU706" s="25"/>
      <c r="BV706" s="25"/>
      <c r="BW706" s="25"/>
      <c r="BX706" s="25"/>
      <c r="BY706" s="25">
        <v>0</v>
      </c>
      <c r="BZ706" s="25"/>
      <c r="CA706" s="25"/>
      <c r="CB706" s="25"/>
      <c r="CC706" s="25"/>
      <c r="CD706" s="25"/>
      <c r="CE706" s="110">
        <f>10000000-2000000</f>
        <v>8000000</v>
      </c>
      <c r="CF706" s="110">
        <v>8000000</v>
      </c>
      <c r="CG706" s="110">
        <v>8000000</v>
      </c>
      <c r="CH706" s="17">
        <v>18154184</v>
      </c>
      <c r="CI706" s="17">
        <v>9156016</v>
      </c>
      <c r="CJ706" s="17">
        <v>9156016</v>
      </c>
      <c r="CK706" s="25">
        <v>0</v>
      </c>
      <c r="CL706" s="26"/>
      <c r="CM706" s="26"/>
      <c r="CN706" s="26">
        <v>0</v>
      </c>
      <c r="CO706" s="26"/>
      <c r="CP706" s="26"/>
      <c r="CQ706" s="26"/>
      <c r="CR706" s="26"/>
      <c r="CS706" s="26"/>
      <c r="CT706" s="25">
        <f t="shared" ref="CT706:CV708" si="382">Q706+T706+W706+Z706+AC706+AF706+AI706+AL706+AO706+AR706+AU706+AX706+BA706+BD706+BG706+BJ706+BM706+BP706+BS706+BV706+BY706+CB706+CE706+CH706+CK706+CQ706+CN706</f>
        <v>58154184</v>
      </c>
      <c r="CU706" s="25">
        <f t="shared" si="382"/>
        <v>49156016</v>
      </c>
      <c r="CV706" s="25">
        <f t="shared" si="382"/>
        <v>49156016</v>
      </c>
    </row>
    <row r="707" spans="1:100" s="27" customFormat="1" ht="48" customHeight="1" x14ac:dyDescent="0.25">
      <c r="A707" s="19"/>
      <c r="B707" s="1004"/>
      <c r="C707" s="1038"/>
      <c r="D707" s="1040"/>
      <c r="E707" s="1043"/>
      <c r="F707" s="1046"/>
      <c r="G707" s="1023"/>
      <c r="H707" s="929">
        <v>210</v>
      </c>
      <c r="I707" s="928" t="s">
        <v>857</v>
      </c>
      <c r="J707" s="929">
        <v>1</v>
      </c>
      <c r="K707" s="929">
        <v>1</v>
      </c>
      <c r="L707" s="929">
        <v>1</v>
      </c>
      <c r="M707" s="30" t="s">
        <v>837</v>
      </c>
      <c r="N707" s="1030"/>
      <c r="O707" s="1049"/>
      <c r="P707" s="30" t="s">
        <v>38</v>
      </c>
      <c r="Q707" s="25">
        <v>0</v>
      </c>
      <c r="R707" s="25"/>
      <c r="S707" s="25"/>
      <c r="T707" s="25">
        <v>0</v>
      </c>
      <c r="U707" s="25"/>
      <c r="V707" s="25"/>
      <c r="W707" s="25">
        <v>0</v>
      </c>
      <c r="X707" s="25"/>
      <c r="Y707" s="25"/>
      <c r="Z707" s="25">
        <v>0</v>
      </c>
      <c r="AA707" s="25"/>
      <c r="AB707" s="25"/>
      <c r="AC707" s="25">
        <v>0</v>
      </c>
      <c r="AD707" s="25"/>
      <c r="AE707" s="25"/>
      <c r="AF707" s="25">
        <v>0</v>
      </c>
      <c r="AG707" s="25"/>
      <c r="AH707" s="25"/>
      <c r="AI707" s="25">
        <v>0</v>
      </c>
      <c r="AJ707" s="25"/>
      <c r="AK707" s="25"/>
      <c r="AL707" s="25"/>
      <c r="AM707" s="25"/>
      <c r="AN707" s="25"/>
      <c r="AO707" s="25"/>
      <c r="AP707" s="25"/>
      <c r="AQ707" s="25"/>
      <c r="AR707" s="25"/>
      <c r="AS707" s="25"/>
      <c r="AT707" s="25"/>
      <c r="AU707" s="25">
        <v>0</v>
      </c>
      <c r="AV707" s="25"/>
      <c r="AW707" s="25"/>
      <c r="AX707" s="25">
        <v>32567760</v>
      </c>
      <c r="AY707" s="25">
        <v>32566899</v>
      </c>
      <c r="AZ707" s="25">
        <v>32566899</v>
      </c>
      <c r="BA707" s="25">
        <v>0</v>
      </c>
      <c r="BB707" s="25"/>
      <c r="BC707" s="25"/>
      <c r="BD707" s="25">
        <v>0</v>
      </c>
      <c r="BE707" s="25"/>
      <c r="BF707" s="25"/>
      <c r="BG707" s="25"/>
      <c r="BH707" s="25"/>
      <c r="BI707" s="25"/>
      <c r="BJ707" s="25"/>
      <c r="BK707" s="25"/>
      <c r="BL707" s="25"/>
      <c r="BM707" s="25"/>
      <c r="BN707" s="25"/>
      <c r="BO707" s="25"/>
      <c r="BP707" s="25"/>
      <c r="BQ707" s="25"/>
      <c r="BR707" s="25"/>
      <c r="BS707" s="25"/>
      <c r="BT707" s="25"/>
      <c r="BU707" s="25"/>
      <c r="BV707" s="25"/>
      <c r="BW707" s="25"/>
      <c r="BX707" s="25"/>
      <c r="BY707" s="25">
        <v>0</v>
      </c>
      <c r="BZ707" s="25"/>
      <c r="CA707" s="25"/>
      <c r="CB707" s="25"/>
      <c r="CC707" s="25"/>
      <c r="CD707" s="25"/>
      <c r="CE707" s="110">
        <v>42000000</v>
      </c>
      <c r="CF707" s="110">
        <v>31830611</v>
      </c>
      <c r="CG707" s="110">
        <v>31830611</v>
      </c>
      <c r="CH707" s="17">
        <v>14650016</v>
      </c>
      <c r="CI707" s="17">
        <v>5000000</v>
      </c>
      <c r="CJ707" s="17">
        <v>5000000</v>
      </c>
      <c r="CK707" s="25">
        <v>0</v>
      </c>
      <c r="CL707" s="26"/>
      <c r="CM707" s="26"/>
      <c r="CN707" s="26">
        <v>0</v>
      </c>
      <c r="CO707" s="26"/>
      <c r="CP707" s="26"/>
      <c r="CQ707" s="26"/>
      <c r="CR707" s="26"/>
      <c r="CS707" s="26"/>
      <c r="CT707" s="25">
        <f t="shared" si="382"/>
        <v>89217776</v>
      </c>
      <c r="CU707" s="25">
        <f t="shared" si="382"/>
        <v>69397510</v>
      </c>
      <c r="CV707" s="25">
        <f t="shared" si="382"/>
        <v>69397510</v>
      </c>
    </row>
    <row r="708" spans="1:100" s="27" customFormat="1" ht="83.25" customHeight="1" x14ac:dyDescent="0.25">
      <c r="A708" s="19"/>
      <c r="B708" s="1004"/>
      <c r="C708" s="1033"/>
      <c r="D708" s="1041"/>
      <c r="E708" s="1044"/>
      <c r="F708" s="1047"/>
      <c r="G708" s="1023"/>
      <c r="H708" s="929">
        <v>211</v>
      </c>
      <c r="I708" s="928" t="s">
        <v>858</v>
      </c>
      <c r="J708" s="30">
        <v>1</v>
      </c>
      <c r="K708" s="30">
        <v>1</v>
      </c>
      <c r="L708" s="30">
        <v>1</v>
      </c>
      <c r="M708" s="30" t="s">
        <v>837</v>
      </c>
      <c r="N708" s="1031"/>
      <c r="O708" s="1050"/>
      <c r="P708" s="30" t="s">
        <v>38</v>
      </c>
      <c r="Q708" s="25">
        <v>0</v>
      </c>
      <c r="R708" s="25"/>
      <c r="S708" s="25"/>
      <c r="T708" s="25">
        <v>0</v>
      </c>
      <c r="U708" s="25"/>
      <c r="V708" s="25"/>
      <c r="W708" s="25">
        <v>0</v>
      </c>
      <c r="X708" s="25"/>
      <c r="Y708" s="25"/>
      <c r="Z708" s="25">
        <v>0</v>
      </c>
      <c r="AA708" s="25"/>
      <c r="AB708" s="25"/>
      <c r="AC708" s="25">
        <v>0</v>
      </c>
      <c r="AD708" s="25"/>
      <c r="AE708" s="25"/>
      <c r="AF708" s="25">
        <v>0</v>
      </c>
      <c r="AG708" s="25"/>
      <c r="AH708" s="25"/>
      <c r="AI708" s="25">
        <v>0</v>
      </c>
      <c r="AJ708" s="25"/>
      <c r="AK708" s="25"/>
      <c r="AL708" s="25"/>
      <c r="AM708" s="25"/>
      <c r="AN708" s="25"/>
      <c r="AO708" s="25"/>
      <c r="AP708" s="25"/>
      <c r="AQ708" s="25"/>
      <c r="AR708" s="25"/>
      <c r="AS708" s="25"/>
      <c r="AT708" s="25"/>
      <c r="AU708" s="25">
        <v>0</v>
      </c>
      <c r="AV708" s="25"/>
      <c r="AW708" s="25"/>
      <c r="AX708" s="25"/>
      <c r="AY708" s="25"/>
      <c r="AZ708" s="25"/>
      <c r="BA708" s="25">
        <v>0</v>
      </c>
      <c r="BB708" s="25"/>
      <c r="BC708" s="25"/>
      <c r="BD708" s="25">
        <v>0</v>
      </c>
      <c r="BE708" s="25"/>
      <c r="BF708" s="25"/>
      <c r="BG708" s="25"/>
      <c r="BH708" s="25"/>
      <c r="BI708" s="25"/>
      <c r="BJ708" s="25"/>
      <c r="BK708" s="25"/>
      <c r="BL708" s="25"/>
      <c r="BM708" s="25"/>
      <c r="BN708" s="25"/>
      <c r="BO708" s="25"/>
      <c r="BP708" s="25"/>
      <c r="BQ708" s="25"/>
      <c r="BR708" s="25"/>
      <c r="BS708" s="25"/>
      <c r="BT708" s="25"/>
      <c r="BU708" s="25"/>
      <c r="BV708" s="25"/>
      <c r="BW708" s="25"/>
      <c r="BX708" s="25"/>
      <c r="BY708" s="25">
        <v>0</v>
      </c>
      <c r="BZ708" s="25"/>
      <c r="CA708" s="25"/>
      <c r="CB708" s="25"/>
      <c r="CC708" s="25"/>
      <c r="CD708" s="25"/>
      <c r="CE708" s="110">
        <f>20000000-20000000</f>
        <v>0</v>
      </c>
      <c r="CF708" s="110"/>
      <c r="CG708" s="110"/>
      <c r="CH708" s="548">
        <v>12800000</v>
      </c>
      <c r="CI708" s="548">
        <v>8746667</v>
      </c>
      <c r="CJ708" s="548">
        <v>8746667</v>
      </c>
      <c r="CK708" s="25">
        <v>0</v>
      </c>
      <c r="CL708" s="26"/>
      <c r="CM708" s="26"/>
      <c r="CN708" s="26">
        <v>0</v>
      </c>
      <c r="CO708" s="26"/>
      <c r="CP708" s="26"/>
      <c r="CQ708" s="26"/>
      <c r="CR708" s="26"/>
      <c r="CS708" s="26"/>
      <c r="CT708" s="25">
        <f t="shared" si="382"/>
        <v>12800000</v>
      </c>
      <c r="CU708" s="25">
        <f t="shared" si="382"/>
        <v>8746667</v>
      </c>
      <c r="CV708" s="25">
        <f t="shared" si="382"/>
        <v>8746667</v>
      </c>
    </row>
    <row r="709" spans="1:100" ht="15" x14ac:dyDescent="0.25">
      <c r="A709" s="19"/>
      <c r="B709" s="1004"/>
      <c r="C709" s="544"/>
      <c r="D709" s="953"/>
      <c r="E709" s="944"/>
      <c r="F709" s="944"/>
      <c r="G709" s="214"/>
      <c r="H709" s="215"/>
      <c r="I709" s="214"/>
      <c r="J709" s="549"/>
      <c r="K709" s="549"/>
      <c r="L709" s="549"/>
      <c r="M709" s="549"/>
      <c r="N709" s="550"/>
      <c r="O709" s="551"/>
      <c r="P709" s="549"/>
      <c r="Q709" s="244">
        <f t="shared" ref="Q709:CB709" si="383">SUM(Q706:Q708)</f>
        <v>0</v>
      </c>
      <c r="R709" s="244">
        <f t="shared" si="383"/>
        <v>0</v>
      </c>
      <c r="S709" s="244">
        <f t="shared" si="383"/>
        <v>0</v>
      </c>
      <c r="T709" s="244">
        <f t="shared" si="383"/>
        <v>0</v>
      </c>
      <c r="U709" s="244">
        <f t="shared" si="383"/>
        <v>0</v>
      </c>
      <c r="V709" s="244">
        <f t="shared" si="383"/>
        <v>0</v>
      </c>
      <c r="W709" s="244">
        <f t="shared" si="383"/>
        <v>0</v>
      </c>
      <c r="X709" s="244">
        <f t="shared" si="383"/>
        <v>0</v>
      </c>
      <c r="Y709" s="244">
        <f t="shared" si="383"/>
        <v>0</v>
      </c>
      <c r="Z709" s="244">
        <f t="shared" si="383"/>
        <v>0</v>
      </c>
      <c r="AA709" s="244">
        <f t="shared" si="383"/>
        <v>0</v>
      </c>
      <c r="AB709" s="244">
        <f t="shared" si="383"/>
        <v>0</v>
      </c>
      <c r="AC709" s="244">
        <f t="shared" si="383"/>
        <v>0</v>
      </c>
      <c r="AD709" s="244">
        <f t="shared" si="383"/>
        <v>0</v>
      </c>
      <c r="AE709" s="244">
        <f t="shared" si="383"/>
        <v>0</v>
      </c>
      <c r="AF709" s="244">
        <f t="shared" si="383"/>
        <v>0</v>
      </c>
      <c r="AG709" s="244">
        <f t="shared" si="383"/>
        <v>0</v>
      </c>
      <c r="AH709" s="244">
        <f t="shared" si="383"/>
        <v>0</v>
      </c>
      <c r="AI709" s="244">
        <f t="shared" si="383"/>
        <v>0</v>
      </c>
      <c r="AJ709" s="244">
        <f t="shared" si="383"/>
        <v>0</v>
      </c>
      <c r="AK709" s="244">
        <f t="shared" si="383"/>
        <v>0</v>
      </c>
      <c r="AL709" s="244">
        <f t="shared" si="383"/>
        <v>0</v>
      </c>
      <c r="AM709" s="244">
        <f t="shared" si="383"/>
        <v>0</v>
      </c>
      <c r="AN709" s="244">
        <f t="shared" si="383"/>
        <v>0</v>
      </c>
      <c r="AO709" s="244">
        <f t="shared" si="383"/>
        <v>0</v>
      </c>
      <c r="AP709" s="244">
        <f t="shared" si="383"/>
        <v>0</v>
      </c>
      <c r="AQ709" s="244">
        <f t="shared" si="383"/>
        <v>0</v>
      </c>
      <c r="AR709" s="244">
        <f t="shared" si="383"/>
        <v>0</v>
      </c>
      <c r="AS709" s="244">
        <f t="shared" si="383"/>
        <v>0</v>
      </c>
      <c r="AT709" s="244">
        <f t="shared" si="383"/>
        <v>0</v>
      </c>
      <c r="AU709" s="244">
        <f t="shared" si="383"/>
        <v>0</v>
      </c>
      <c r="AV709" s="244">
        <f t="shared" si="383"/>
        <v>0</v>
      </c>
      <c r="AW709" s="244">
        <f t="shared" si="383"/>
        <v>0</v>
      </c>
      <c r="AX709" s="244">
        <f t="shared" si="383"/>
        <v>64567760</v>
      </c>
      <c r="AY709" s="244">
        <f t="shared" si="383"/>
        <v>64566899</v>
      </c>
      <c r="AZ709" s="244">
        <f t="shared" si="383"/>
        <v>64566899</v>
      </c>
      <c r="BA709" s="244">
        <f t="shared" si="383"/>
        <v>0</v>
      </c>
      <c r="BB709" s="244">
        <f t="shared" si="383"/>
        <v>0</v>
      </c>
      <c r="BC709" s="244">
        <f t="shared" si="383"/>
        <v>0</v>
      </c>
      <c r="BD709" s="244">
        <f t="shared" si="383"/>
        <v>0</v>
      </c>
      <c r="BE709" s="244">
        <f t="shared" si="383"/>
        <v>0</v>
      </c>
      <c r="BF709" s="244">
        <f t="shared" si="383"/>
        <v>0</v>
      </c>
      <c r="BG709" s="244">
        <f t="shared" si="383"/>
        <v>0</v>
      </c>
      <c r="BH709" s="244">
        <f t="shared" si="383"/>
        <v>0</v>
      </c>
      <c r="BI709" s="244">
        <f t="shared" si="383"/>
        <v>0</v>
      </c>
      <c r="BJ709" s="244">
        <f t="shared" si="383"/>
        <v>0</v>
      </c>
      <c r="BK709" s="244">
        <f t="shared" si="383"/>
        <v>0</v>
      </c>
      <c r="BL709" s="244">
        <f t="shared" si="383"/>
        <v>0</v>
      </c>
      <c r="BM709" s="244">
        <f t="shared" si="383"/>
        <v>0</v>
      </c>
      <c r="BN709" s="244">
        <f t="shared" si="383"/>
        <v>0</v>
      </c>
      <c r="BO709" s="244">
        <f t="shared" si="383"/>
        <v>0</v>
      </c>
      <c r="BP709" s="244">
        <f t="shared" si="383"/>
        <v>0</v>
      </c>
      <c r="BQ709" s="244">
        <f t="shared" si="383"/>
        <v>0</v>
      </c>
      <c r="BR709" s="244">
        <f t="shared" si="383"/>
        <v>0</v>
      </c>
      <c r="BS709" s="244">
        <f t="shared" si="383"/>
        <v>0</v>
      </c>
      <c r="BT709" s="244">
        <f t="shared" si="383"/>
        <v>0</v>
      </c>
      <c r="BU709" s="244">
        <f t="shared" si="383"/>
        <v>0</v>
      </c>
      <c r="BV709" s="244">
        <f t="shared" si="383"/>
        <v>0</v>
      </c>
      <c r="BW709" s="244">
        <f t="shared" si="383"/>
        <v>0</v>
      </c>
      <c r="BX709" s="244">
        <f t="shared" si="383"/>
        <v>0</v>
      </c>
      <c r="BY709" s="244">
        <f t="shared" si="383"/>
        <v>0</v>
      </c>
      <c r="BZ709" s="244">
        <f t="shared" si="383"/>
        <v>0</v>
      </c>
      <c r="CA709" s="244">
        <f t="shared" si="383"/>
        <v>0</v>
      </c>
      <c r="CB709" s="244">
        <f t="shared" si="383"/>
        <v>0</v>
      </c>
      <c r="CC709" s="244">
        <f t="shared" ref="CC709:CS709" si="384">SUM(CC706:CC708)</f>
        <v>0</v>
      </c>
      <c r="CD709" s="244">
        <f t="shared" si="384"/>
        <v>0</v>
      </c>
      <c r="CE709" s="244">
        <f t="shared" si="384"/>
        <v>50000000</v>
      </c>
      <c r="CF709" s="244">
        <f t="shared" si="384"/>
        <v>39830611</v>
      </c>
      <c r="CG709" s="244">
        <f t="shared" si="384"/>
        <v>39830611</v>
      </c>
      <c r="CH709" s="244">
        <f t="shared" si="384"/>
        <v>45604200</v>
      </c>
      <c r="CI709" s="244">
        <f t="shared" si="384"/>
        <v>22902683</v>
      </c>
      <c r="CJ709" s="244">
        <f t="shared" si="384"/>
        <v>22902683</v>
      </c>
      <c r="CK709" s="244">
        <f t="shared" si="384"/>
        <v>0</v>
      </c>
      <c r="CL709" s="244">
        <f t="shared" si="384"/>
        <v>0</v>
      </c>
      <c r="CM709" s="244">
        <f t="shared" si="384"/>
        <v>0</v>
      </c>
      <c r="CN709" s="244">
        <f t="shared" si="384"/>
        <v>0</v>
      </c>
      <c r="CO709" s="244">
        <f t="shared" si="384"/>
        <v>0</v>
      </c>
      <c r="CP709" s="244">
        <f t="shared" si="384"/>
        <v>0</v>
      </c>
      <c r="CQ709" s="244">
        <f t="shared" si="384"/>
        <v>0</v>
      </c>
      <c r="CR709" s="244">
        <f t="shared" si="384"/>
        <v>0</v>
      </c>
      <c r="CS709" s="244">
        <f t="shared" si="384"/>
        <v>0</v>
      </c>
      <c r="CT709" s="244">
        <f>SUM(CT706:CT708)</f>
        <v>160171960</v>
      </c>
      <c r="CU709" s="244">
        <f>SUM(CU706:CU708)</f>
        <v>127300193</v>
      </c>
      <c r="CV709" s="244">
        <f>SUM(CV706:CV708)</f>
        <v>127300193</v>
      </c>
    </row>
    <row r="710" spans="1:100" ht="15" x14ac:dyDescent="0.25">
      <c r="A710" s="19"/>
      <c r="B710" s="1004"/>
      <c r="C710" s="949"/>
      <c r="D710" s="177"/>
      <c r="E710" s="949"/>
      <c r="F710" s="949"/>
      <c r="G710" s="177"/>
      <c r="H710" s="949"/>
      <c r="I710" s="177"/>
      <c r="J710" s="949"/>
      <c r="K710" s="949"/>
      <c r="L710" s="930"/>
      <c r="M710" s="930"/>
      <c r="N710" s="230"/>
      <c r="O710" s="221"/>
      <c r="P710" s="949"/>
      <c r="Q710" s="180"/>
      <c r="R710" s="180"/>
      <c r="S710" s="180"/>
      <c r="T710" s="180"/>
      <c r="U710" s="180"/>
      <c r="V710" s="180"/>
      <c r="W710" s="180"/>
      <c r="X710" s="180"/>
      <c r="Y710" s="180"/>
      <c r="Z710" s="180"/>
      <c r="AA710" s="180"/>
      <c r="AB710" s="180"/>
      <c r="AC710" s="180"/>
      <c r="AD710" s="180"/>
      <c r="AE710" s="180"/>
      <c r="AF710" s="180"/>
      <c r="AG710" s="180"/>
      <c r="AH710" s="180"/>
      <c r="AI710" s="180"/>
      <c r="AJ710" s="180"/>
      <c r="AK710" s="180"/>
      <c r="AL710" s="180"/>
      <c r="AM710" s="180"/>
      <c r="AN710" s="180"/>
      <c r="AO710" s="180"/>
      <c r="AP710" s="180"/>
      <c r="AQ710" s="180"/>
      <c r="AR710" s="180"/>
      <c r="AS710" s="180"/>
      <c r="AT710" s="180"/>
      <c r="AU710" s="180"/>
      <c r="AV710" s="180"/>
      <c r="AW710" s="180"/>
      <c r="AX710" s="180"/>
      <c r="AY710" s="180"/>
      <c r="AZ710" s="180"/>
      <c r="BA710" s="180"/>
      <c r="BB710" s="180"/>
      <c r="BC710" s="180"/>
      <c r="BD710" s="180"/>
      <c r="BE710" s="180"/>
      <c r="BF710" s="180"/>
      <c r="BG710" s="181"/>
      <c r="BH710" s="181"/>
      <c r="BI710" s="181"/>
      <c r="BJ710" s="181"/>
      <c r="BK710" s="181"/>
      <c r="BL710" s="181"/>
      <c r="BM710" s="181"/>
      <c r="BN710" s="181"/>
      <c r="BO710" s="181"/>
      <c r="BP710" s="181"/>
      <c r="BQ710" s="181"/>
      <c r="BR710" s="181"/>
      <c r="BS710" s="181"/>
      <c r="BT710" s="181"/>
      <c r="BU710" s="181"/>
      <c r="BV710" s="181"/>
      <c r="BW710" s="181"/>
      <c r="BX710" s="181"/>
      <c r="BY710" s="180"/>
      <c r="BZ710" s="180"/>
      <c r="CA710" s="180"/>
      <c r="CB710" s="180"/>
      <c r="CC710" s="180"/>
      <c r="CD710" s="180"/>
      <c r="CE710" s="182"/>
      <c r="CF710" s="182"/>
      <c r="CG710" s="182"/>
      <c r="CH710" s="183"/>
      <c r="CI710" s="183"/>
      <c r="CJ710" s="183"/>
      <c r="CK710" s="180"/>
      <c r="CL710" s="180"/>
      <c r="CM710" s="180"/>
      <c r="CN710" s="180"/>
      <c r="CO710" s="180"/>
      <c r="CP710" s="180"/>
      <c r="CQ710" s="180"/>
      <c r="CR710" s="180"/>
      <c r="CS710" s="180"/>
      <c r="CT710" s="25"/>
      <c r="CU710" s="516"/>
      <c r="CV710" s="516"/>
    </row>
    <row r="711" spans="1:100" ht="15" x14ac:dyDescent="0.25">
      <c r="A711" s="19"/>
      <c r="B711" s="1004"/>
      <c r="C711" s="949"/>
      <c r="D711" s="153"/>
      <c r="E711" s="581"/>
      <c r="F711" s="581"/>
      <c r="G711" s="339">
        <v>73</v>
      </c>
      <c r="H711" s="189" t="s">
        <v>859</v>
      </c>
      <c r="I711" s="189"/>
      <c r="J711" s="189"/>
      <c r="K711" s="189"/>
      <c r="L711" s="189"/>
      <c r="M711" s="189"/>
      <c r="N711" s="684"/>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c r="BG711" s="189"/>
      <c r="BH711" s="189"/>
      <c r="BI711" s="189"/>
      <c r="BJ711" s="189"/>
      <c r="BK711" s="189"/>
      <c r="BL711" s="189"/>
      <c r="BM711" s="189"/>
      <c r="BN711" s="189"/>
      <c r="BO711" s="189"/>
      <c r="BP711" s="189"/>
      <c r="BQ711" s="189"/>
      <c r="BR711" s="189"/>
      <c r="BS711" s="189"/>
      <c r="BT711" s="189"/>
      <c r="BU711" s="189"/>
      <c r="BV711" s="189"/>
      <c r="BW711" s="189"/>
      <c r="BX711" s="189"/>
      <c r="BY711" s="189"/>
      <c r="BZ711" s="189"/>
      <c r="CA711" s="189"/>
      <c r="CB711" s="189"/>
      <c r="CC711" s="189"/>
      <c r="CD711" s="189"/>
      <c r="CE711" s="190"/>
      <c r="CF711" s="190"/>
      <c r="CG711" s="190"/>
      <c r="CH711" s="189"/>
      <c r="CI711" s="189"/>
      <c r="CJ711" s="189"/>
      <c r="CK711" s="189"/>
      <c r="CL711" s="189"/>
      <c r="CM711" s="189"/>
      <c r="CN711" s="189"/>
      <c r="CO711" s="189"/>
      <c r="CP711" s="189"/>
      <c r="CQ711" s="189"/>
      <c r="CR711" s="189"/>
      <c r="CS711" s="189"/>
      <c r="CT711" s="522"/>
      <c r="CU711" s="522"/>
      <c r="CV711" s="522"/>
    </row>
    <row r="712" spans="1:100" ht="81" customHeight="1" x14ac:dyDescent="0.25">
      <c r="A712" s="19"/>
      <c r="B712" s="1004"/>
      <c r="C712" s="469">
        <v>36</v>
      </c>
      <c r="D712" s="475" t="s">
        <v>835</v>
      </c>
      <c r="E712" s="504">
        <v>0.4</v>
      </c>
      <c r="F712" s="489">
        <v>0.6</v>
      </c>
      <c r="G712" s="917"/>
      <c r="H712" s="914">
        <v>212</v>
      </c>
      <c r="I712" s="917" t="s">
        <v>860</v>
      </c>
      <c r="J712" s="956">
        <v>1</v>
      </c>
      <c r="K712" s="956">
        <v>1</v>
      </c>
      <c r="L712" s="956">
        <v>1</v>
      </c>
      <c r="M712" s="8" t="s">
        <v>837</v>
      </c>
      <c r="N712" s="967" t="s">
        <v>861</v>
      </c>
      <c r="O712" s="543" t="s">
        <v>886</v>
      </c>
      <c r="P712" s="30" t="s">
        <v>38</v>
      </c>
      <c r="Q712" s="80">
        <v>0</v>
      </c>
      <c r="R712" s="80"/>
      <c r="S712" s="80"/>
      <c r="T712" s="80">
        <v>0</v>
      </c>
      <c r="U712" s="80"/>
      <c r="V712" s="80"/>
      <c r="W712" s="80">
        <v>0</v>
      </c>
      <c r="X712" s="80"/>
      <c r="Y712" s="80"/>
      <c r="Z712" s="80">
        <v>0</v>
      </c>
      <c r="AA712" s="80"/>
      <c r="AB712" s="80"/>
      <c r="AC712" s="80">
        <v>0</v>
      </c>
      <c r="AD712" s="80"/>
      <c r="AE712" s="80"/>
      <c r="AF712" s="80">
        <v>0</v>
      </c>
      <c r="AG712" s="80"/>
      <c r="AH712" s="80"/>
      <c r="AI712" s="80">
        <v>0</v>
      </c>
      <c r="AJ712" s="80"/>
      <c r="AK712" s="80"/>
      <c r="AL712" s="80"/>
      <c r="AM712" s="80"/>
      <c r="AN712" s="80"/>
      <c r="AO712" s="80"/>
      <c r="AP712" s="80"/>
      <c r="AQ712" s="80"/>
      <c r="AR712" s="80"/>
      <c r="AS712" s="80"/>
      <c r="AT712" s="80"/>
      <c r="AU712" s="80">
        <v>0</v>
      </c>
      <c r="AV712" s="80"/>
      <c r="AW712" s="80"/>
      <c r="AX712" s="80"/>
      <c r="AY712" s="80"/>
      <c r="AZ712" s="80"/>
      <c r="BA712" s="80">
        <v>0</v>
      </c>
      <c r="BB712" s="80"/>
      <c r="BC712" s="80"/>
      <c r="BD712" s="80">
        <v>0</v>
      </c>
      <c r="BE712" s="80"/>
      <c r="BF712" s="80"/>
      <c r="BG712" s="552"/>
      <c r="BH712" s="552"/>
      <c r="BI712" s="552"/>
      <c r="BJ712" s="552"/>
      <c r="BK712" s="552"/>
      <c r="BL712" s="552"/>
      <c r="BM712" s="552"/>
      <c r="BN712" s="552"/>
      <c r="BO712" s="552"/>
      <c r="BP712" s="552"/>
      <c r="BQ712" s="552"/>
      <c r="BR712" s="552"/>
      <c r="BS712" s="552"/>
      <c r="BT712" s="552"/>
      <c r="BU712" s="552"/>
      <c r="BV712" s="552"/>
      <c r="BW712" s="552"/>
      <c r="BX712" s="552"/>
      <c r="BY712" s="80">
        <v>0</v>
      </c>
      <c r="BZ712" s="80"/>
      <c r="CA712" s="80"/>
      <c r="CB712" s="80">
        <v>0</v>
      </c>
      <c r="CC712" s="80"/>
      <c r="CD712" s="80"/>
      <c r="CE712" s="110">
        <v>51200000</v>
      </c>
      <c r="CF712" s="115">
        <v>27180000</v>
      </c>
      <c r="CG712" s="115">
        <v>27180000</v>
      </c>
      <c r="CH712" s="553">
        <v>103500000</v>
      </c>
      <c r="CI712" s="553">
        <v>81029999</v>
      </c>
      <c r="CJ712" s="553">
        <v>81029999</v>
      </c>
      <c r="CK712" s="80">
        <v>0</v>
      </c>
      <c r="CL712" s="711"/>
      <c r="CM712" s="711"/>
      <c r="CN712" s="81">
        <v>0</v>
      </c>
      <c r="CO712" s="711"/>
      <c r="CP712" s="711"/>
      <c r="CQ712" s="81"/>
      <c r="CR712" s="711"/>
      <c r="CS712" s="711"/>
      <c r="CT712" s="25">
        <f>Q712+T712+W712+Z712+AC712+AF712+AI712+AL712+AO712+AR712+AU712+AX712+BA712+BD712+BG712+BJ712+BM712+BP712+BS712+BV712+BY712+CB712+CE712+CH712+CK712+CQ712+CN712</f>
        <v>154700000</v>
      </c>
      <c r="CU712" s="25">
        <f>R712+U712+X712+AA712+AD712+AG712+AJ712+AM712+AP712+AS712+AV712+AY712+BB712+BE712+BH712+BK712+BN712+BQ712+BT712+BW712+BZ712+CC712+CF712+CI712+CL712+CR712+CO712</f>
        <v>108209999</v>
      </c>
      <c r="CV712" s="25">
        <f>S712+V712+Y712+AB712+AE712+AH712+AK712+AN712+AQ712+AT712+AW712+AZ712+BC712+BF712+BI712+BL712+BO712+BR712+BU712+BX712+CA712+CD712+CG712+CJ712+CM712+CS712+CP712</f>
        <v>108209999</v>
      </c>
    </row>
    <row r="713" spans="1:100" s="46" customFormat="1" ht="20.25" x14ac:dyDescent="0.25">
      <c r="A713" s="19"/>
      <c r="B713" s="1004"/>
      <c r="C713" s="544"/>
      <c r="D713" s="953"/>
      <c r="E713" s="944"/>
      <c r="F713" s="944"/>
      <c r="G713" s="214"/>
      <c r="H713" s="215"/>
      <c r="I713" s="214"/>
      <c r="J713" s="549"/>
      <c r="K713" s="549"/>
      <c r="L713" s="549"/>
      <c r="M713" s="549"/>
      <c r="N713" s="550"/>
      <c r="O713" s="551"/>
      <c r="P713" s="549"/>
      <c r="Q713" s="295">
        <f>SUM(Q712)</f>
        <v>0</v>
      </c>
      <c r="R713" s="295">
        <f t="shared" ref="R713:CC713" si="385">SUM(R712)</f>
        <v>0</v>
      </c>
      <c r="S713" s="295">
        <f t="shared" si="385"/>
        <v>0</v>
      </c>
      <c r="T713" s="295">
        <f t="shared" si="385"/>
        <v>0</v>
      </c>
      <c r="U713" s="295">
        <f t="shared" si="385"/>
        <v>0</v>
      </c>
      <c r="V713" s="295">
        <f t="shared" si="385"/>
        <v>0</v>
      </c>
      <c r="W713" s="295">
        <f t="shared" si="385"/>
        <v>0</v>
      </c>
      <c r="X713" s="295">
        <f t="shared" si="385"/>
        <v>0</v>
      </c>
      <c r="Y713" s="295">
        <f t="shared" si="385"/>
        <v>0</v>
      </c>
      <c r="Z713" s="295">
        <f t="shared" si="385"/>
        <v>0</v>
      </c>
      <c r="AA713" s="295">
        <f t="shared" si="385"/>
        <v>0</v>
      </c>
      <c r="AB713" s="295">
        <f t="shared" si="385"/>
        <v>0</v>
      </c>
      <c r="AC713" s="295">
        <f t="shared" si="385"/>
        <v>0</v>
      </c>
      <c r="AD713" s="295">
        <f t="shared" si="385"/>
        <v>0</v>
      </c>
      <c r="AE713" s="295">
        <f t="shared" si="385"/>
        <v>0</v>
      </c>
      <c r="AF713" s="295">
        <f t="shared" si="385"/>
        <v>0</v>
      </c>
      <c r="AG713" s="295">
        <f t="shared" si="385"/>
        <v>0</v>
      </c>
      <c r="AH713" s="295">
        <f t="shared" si="385"/>
        <v>0</v>
      </c>
      <c r="AI713" s="295">
        <f t="shared" si="385"/>
        <v>0</v>
      </c>
      <c r="AJ713" s="295">
        <f t="shared" si="385"/>
        <v>0</v>
      </c>
      <c r="AK713" s="295">
        <f t="shared" si="385"/>
        <v>0</v>
      </c>
      <c r="AL713" s="295">
        <f t="shared" si="385"/>
        <v>0</v>
      </c>
      <c r="AM713" s="295">
        <f t="shared" si="385"/>
        <v>0</v>
      </c>
      <c r="AN713" s="295">
        <f t="shared" si="385"/>
        <v>0</v>
      </c>
      <c r="AO713" s="295">
        <f t="shared" si="385"/>
        <v>0</v>
      </c>
      <c r="AP713" s="295">
        <f t="shared" si="385"/>
        <v>0</v>
      </c>
      <c r="AQ713" s="295">
        <f t="shared" si="385"/>
        <v>0</v>
      </c>
      <c r="AR713" s="295">
        <f t="shared" si="385"/>
        <v>0</v>
      </c>
      <c r="AS713" s="295">
        <f t="shared" si="385"/>
        <v>0</v>
      </c>
      <c r="AT713" s="295">
        <f t="shared" si="385"/>
        <v>0</v>
      </c>
      <c r="AU713" s="295">
        <f t="shared" si="385"/>
        <v>0</v>
      </c>
      <c r="AV713" s="295">
        <f t="shared" si="385"/>
        <v>0</v>
      </c>
      <c r="AW713" s="295">
        <f t="shared" si="385"/>
        <v>0</v>
      </c>
      <c r="AX713" s="295">
        <f t="shared" si="385"/>
        <v>0</v>
      </c>
      <c r="AY713" s="295">
        <f t="shared" si="385"/>
        <v>0</v>
      </c>
      <c r="AZ713" s="295">
        <f t="shared" si="385"/>
        <v>0</v>
      </c>
      <c r="BA713" s="295">
        <f t="shared" si="385"/>
        <v>0</v>
      </c>
      <c r="BB713" s="295">
        <f t="shared" si="385"/>
        <v>0</v>
      </c>
      <c r="BC713" s="295">
        <f t="shared" si="385"/>
        <v>0</v>
      </c>
      <c r="BD713" s="295">
        <f t="shared" si="385"/>
        <v>0</v>
      </c>
      <c r="BE713" s="295">
        <f t="shared" si="385"/>
        <v>0</v>
      </c>
      <c r="BF713" s="295">
        <f t="shared" si="385"/>
        <v>0</v>
      </c>
      <c r="BG713" s="295">
        <f t="shared" si="385"/>
        <v>0</v>
      </c>
      <c r="BH713" s="295">
        <f t="shared" si="385"/>
        <v>0</v>
      </c>
      <c r="BI713" s="295">
        <f t="shared" si="385"/>
        <v>0</v>
      </c>
      <c r="BJ713" s="295">
        <f t="shared" si="385"/>
        <v>0</v>
      </c>
      <c r="BK713" s="295">
        <f t="shared" si="385"/>
        <v>0</v>
      </c>
      <c r="BL713" s="295">
        <f t="shared" si="385"/>
        <v>0</v>
      </c>
      <c r="BM713" s="295">
        <f t="shared" si="385"/>
        <v>0</v>
      </c>
      <c r="BN713" s="295">
        <f t="shared" si="385"/>
        <v>0</v>
      </c>
      <c r="BO713" s="295">
        <f t="shared" si="385"/>
        <v>0</v>
      </c>
      <c r="BP713" s="295">
        <f t="shared" si="385"/>
        <v>0</v>
      </c>
      <c r="BQ713" s="295">
        <f t="shared" si="385"/>
        <v>0</v>
      </c>
      <c r="BR713" s="295">
        <f t="shared" si="385"/>
        <v>0</v>
      </c>
      <c r="BS713" s="295">
        <f t="shared" si="385"/>
        <v>0</v>
      </c>
      <c r="BT713" s="295">
        <f t="shared" si="385"/>
        <v>0</v>
      </c>
      <c r="BU713" s="295">
        <f t="shared" si="385"/>
        <v>0</v>
      </c>
      <c r="BV713" s="295">
        <f t="shared" si="385"/>
        <v>0</v>
      </c>
      <c r="BW713" s="295">
        <f t="shared" si="385"/>
        <v>0</v>
      </c>
      <c r="BX713" s="295">
        <f t="shared" si="385"/>
        <v>0</v>
      </c>
      <c r="BY713" s="295">
        <f t="shared" si="385"/>
        <v>0</v>
      </c>
      <c r="BZ713" s="295">
        <f t="shared" si="385"/>
        <v>0</v>
      </c>
      <c r="CA713" s="295">
        <f t="shared" si="385"/>
        <v>0</v>
      </c>
      <c r="CB713" s="295">
        <f t="shared" si="385"/>
        <v>0</v>
      </c>
      <c r="CC713" s="295">
        <f t="shared" si="385"/>
        <v>0</v>
      </c>
      <c r="CD713" s="295">
        <f t="shared" ref="CD713:CS713" si="386">SUM(CD712)</f>
        <v>0</v>
      </c>
      <c r="CE713" s="295">
        <f t="shared" si="386"/>
        <v>51200000</v>
      </c>
      <c r="CF713" s="295">
        <f t="shared" si="386"/>
        <v>27180000</v>
      </c>
      <c r="CG713" s="295">
        <f t="shared" si="386"/>
        <v>27180000</v>
      </c>
      <c r="CH713" s="295">
        <f t="shared" si="386"/>
        <v>103500000</v>
      </c>
      <c r="CI713" s="295">
        <f t="shared" si="386"/>
        <v>81029999</v>
      </c>
      <c r="CJ713" s="295">
        <f t="shared" si="386"/>
        <v>81029999</v>
      </c>
      <c r="CK713" s="295">
        <f t="shared" si="386"/>
        <v>0</v>
      </c>
      <c r="CL713" s="295">
        <f t="shared" si="386"/>
        <v>0</v>
      </c>
      <c r="CM713" s="295">
        <f t="shared" si="386"/>
        <v>0</v>
      </c>
      <c r="CN713" s="295">
        <f t="shared" si="386"/>
        <v>0</v>
      </c>
      <c r="CO713" s="295">
        <f t="shared" si="386"/>
        <v>0</v>
      </c>
      <c r="CP713" s="295">
        <f t="shared" si="386"/>
        <v>0</v>
      </c>
      <c r="CQ713" s="295">
        <f t="shared" si="386"/>
        <v>0</v>
      </c>
      <c r="CR713" s="295">
        <f t="shared" si="386"/>
        <v>0</v>
      </c>
      <c r="CS713" s="295">
        <f t="shared" si="386"/>
        <v>0</v>
      </c>
      <c r="CT713" s="244">
        <f>SUM(CT712)</f>
        <v>154700000</v>
      </c>
      <c r="CU713" s="244">
        <f>SUM(CU712)</f>
        <v>108209999</v>
      </c>
      <c r="CV713" s="244">
        <f>SUM(CV712)</f>
        <v>108209999</v>
      </c>
    </row>
    <row r="714" spans="1:100" s="27" customFormat="1" ht="15" x14ac:dyDescent="0.25">
      <c r="A714" s="19"/>
      <c r="B714" s="386"/>
      <c r="C714" s="220"/>
      <c r="D714" s="219"/>
      <c r="E714" s="220"/>
      <c r="F714" s="220"/>
      <c r="G714" s="219"/>
      <c r="H714" s="220"/>
      <c r="I714" s="219"/>
      <c r="J714" s="554"/>
      <c r="K714" s="554"/>
      <c r="L714" s="554"/>
      <c r="M714" s="554"/>
      <c r="N714" s="555"/>
      <c r="O714" s="556"/>
      <c r="P714" s="554"/>
      <c r="Q714" s="389">
        <f>Q713+Q709</f>
        <v>0</v>
      </c>
      <c r="R714" s="389">
        <f t="shared" ref="R714:CC714" si="387">R713+R709</f>
        <v>0</v>
      </c>
      <c r="S714" s="389">
        <f t="shared" si="387"/>
        <v>0</v>
      </c>
      <c r="T714" s="389">
        <f t="shared" si="387"/>
        <v>0</v>
      </c>
      <c r="U714" s="389">
        <f t="shared" si="387"/>
        <v>0</v>
      </c>
      <c r="V714" s="389">
        <f t="shared" si="387"/>
        <v>0</v>
      </c>
      <c r="W714" s="389">
        <f t="shared" si="387"/>
        <v>0</v>
      </c>
      <c r="X714" s="389">
        <f t="shared" si="387"/>
        <v>0</v>
      </c>
      <c r="Y714" s="389">
        <f t="shared" si="387"/>
        <v>0</v>
      </c>
      <c r="Z714" s="389">
        <f t="shared" si="387"/>
        <v>0</v>
      </c>
      <c r="AA714" s="389">
        <f t="shared" si="387"/>
        <v>0</v>
      </c>
      <c r="AB714" s="389">
        <f t="shared" si="387"/>
        <v>0</v>
      </c>
      <c r="AC714" s="389">
        <f t="shared" si="387"/>
        <v>0</v>
      </c>
      <c r="AD714" s="389">
        <f t="shared" si="387"/>
        <v>0</v>
      </c>
      <c r="AE714" s="389">
        <f t="shared" si="387"/>
        <v>0</v>
      </c>
      <c r="AF714" s="389">
        <f t="shared" si="387"/>
        <v>0</v>
      </c>
      <c r="AG714" s="389">
        <f t="shared" si="387"/>
        <v>0</v>
      </c>
      <c r="AH714" s="389">
        <f t="shared" si="387"/>
        <v>0</v>
      </c>
      <c r="AI714" s="389">
        <f t="shared" si="387"/>
        <v>0</v>
      </c>
      <c r="AJ714" s="389">
        <f t="shared" si="387"/>
        <v>0</v>
      </c>
      <c r="AK714" s="389">
        <f t="shared" si="387"/>
        <v>0</v>
      </c>
      <c r="AL714" s="389">
        <f t="shared" si="387"/>
        <v>0</v>
      </c>
      <c r="AM714" s="389">
        <f t="shared" si="387"/>
        <v>0</v>
      </c>
      <c r="AN714" s="389">
        <f t="shared" si="387"/>
        <v>0</v>
      </c>
      <c r="AO714" s="389">
        <f t="shared" si="387"/>
        <v>0</v>
      </c>
      <c r="AP714" s="389">
        <f t="shared" si="387"/>
        <v>0</v>
      </c>
      <c r="AQ714" s="389">
        <f t="shared" si="387"/>
        <v>0</v>
      </c>
      <c r="AR714" s="389">
        <f t="shared" si="387"/>
        <v>0</v>
      </c>
      <c r="AS714" s="389">
        <f t="shared" si="387"/>
        <v>0</v>
      </c>
      <c r="AT714" s="389">
        <f t="shared" si="387"/>
        <v>0</v>
      </c>
      <c r="AU714" s="389">
        <f t="shared" si="387"/>
        <v>0</v>
      </c>
      <c r="AV714" s="389">
        <f t="shared" si="387"/>
        <v>0</v>
      </c>
      <c r="AW714" s="389">
        <f t="shared" si="387"/>
        <v>0</v>
      </c>
      <c r="AX714" s="389">
        <f t="shared" si="387"/>
        <v>64567760</v>
      </c>
      <c r="AY714" s="389">
        <f t="shared" si="387"/>
        <v>64566899</v>
      </c>
      <c r="AZ714" s="389">
        <f t="shared" si="387"/>
        <v>64566899</v>
      </c>
      <c r="BA714" s="389">
        <f t="shared" si="387"/>
        <v>0</v>
      </c>
      <c r="BB714" s="389">
        <f t="shared" si="387"/>
        <v>0</v>
      </c>
      <c r="BC714" s="389">
        <f t="shared" si="387"/>
        <v>0</v>
      </c>
      <c r="BD714" s="389">
        <f t="shared" si="387"/>
        <v>0</v>
      </c>
      <c r="BE714" s="389">
        <f t="shared" si="387"/>
        <v>0</v>
      </c>
      <c r="BF714" s="389">
        <f t="shared" si="387"/>
        <v>0</v>
      </c>
      <c r="BG714" s="389">
        <f t="shared" si="387"/>
        <v>0</v>
      </c>
      <c r="BH714" s="389">
        <f t="shared" si="387"/>
        <v>0</v>
      </c>
      <c r="BI714" s="389">
        <f t="shared" si="387"/>
        <v>0</v>
      </c>
      <c r="BJ714" s="389">
        <f t="shared" si="387"/>
        <v>0</v>
      </c>
      <c r="BK714" s="389">
        <f t="shared" si="387"/>
        <v>0</v>
      </c>
      <c r="BL714" s="389">
        <f t="shared" si="387"/>
        <v>0</v>
      </c>
      <c r="BM714" s="389">
        <f t="shared" si="387"/>
        <v>0</v>
      </c>
      <c r="BN714" s="389">
        <f t="shared" si="387"/>
        <v>0</v>
      </c>
      <c r="BO714" s="389">
        <f t="shared" si="387"/>
        <v>0</v>
      </c>
      <c r="BP714" s="389">
        <f t="shared" si="387"/>
        <v>0</v>
      </c>
      <c r="BQ714" s="389">
        <f t="shared" si="387"/>
        <v>0</v>
      </c>
      <c r="BR714" s="389">
        <f t="shared" si="387"/>
        <v>0</v>
      </c>
      <c r="BS714" s="389">
        <f t="shared" si="387"/>
        <v>0</v>
      </c>
      <c r="BT714" s="389">
        <f t="shared" si="387"/>
        <v>0</v>
      </c>
      <c r="BU714" s="389">
        <f t="shared" si="387"/>
        <v>0</v>
      </c>
      <c r="BV714" s="389">
        <f t="shared" si="387"/>
        <v>0</v>
      </c>
      <c r="BW714" s="389">
        <f t="shared" si="387"/>
        <v>0</v>
      </c>
      <c r="BX714" s="389">
        <f t="shared" si="387"/>
        <v>0</v>
      </c>
      <c r="BY714" s="389">
        <f t="shared" si="387"/>
        <v>0</v>
      </c>
      <c r="BZ714" s="389">
        <f t="shared" si="387"/>
        <v>0</v>
      </c>
      <c r="CA714" s="389">
        <f t="shared" si="387"/>
        <v>0</v>
      </c>
      <c r="CB714" s="389">
        <f t="shared" si="387"/>
        <v>0</v>
      </c>
      <c r="CC714" s="389">
        <f t="shared" si="387"/>
        <v>0</v>
      </c>
      <c r="CD714" s="389">
        <f t="shared" ref="CD714:CS714" si="388">CD713+CD709</f>
        <v>0</v>
      </c>
      <c r="CE714" s="389">
        <f t="shared" si="388"/>
        <v>101200000</v>
      </c>
      <c r="CF714" s="389">
        <f t="shared" si="388"/>
        <v>67010611</v>
      </c>
      <c r="CG714" s="389">
        <f t="shared" si="388"/>
        <v>67010611</v>
      </c>
      <c r="CH714" s="389">
        <f t="shared" si="388"/>
        <v>149104200</v>
      </c>
      <c r="CI714" s="389">
        <f t="shared" si="388"/>
        <v>103932682</v>
      </c>
      <c r="CJ714" s="389">
        <f t="shared" si="388"/>
        <v>103932682</v>
      </c>
      <c r="CK714" s="389">
        <f t="shared" si="388"/>
        <v>0</v>
      </c>
      <c r="CL714" s="389">
        <f t="shared" si="388"/>
        <v>0</v>
      </c>
      <c r="CM714" s="389">
        <f t="shared" si="388"/>
        <v>0</v>
      </c>
      <c r="CN714" s="389">
        <f t="shared" si="388"/>
        <v>0</v>
      </c>
      <c r="CO714" s="389">
        <f t="shared" si="388"/>
        <v>0</v>
      </c>
      <c r="CP714" s="389">
        <f t="shared" si="388"/>
        <v>0</v>
      </c>
      <c r="CQ714" s="389">
        <f t="shared" si="388"/>
        <v>0</v>
      </c>
      <c r="CR714" s="389">
        <f t="shared" si="388"/>
        <v>0</v>
      </c>
      <c r="CS714" s="389">
        <f t="shared" si="388"/>
        <v>0</v>
      </c>
      <c r="CT714" s="245">
        <f>CT713+CT709</f>
        <v>314871960</v>
      </c>
      <c r="CU714" s="245">
        <f>CU713+CU709</f>
        <v>235510192</v>
      </c>
      <c r="CV714" s="245">
        <f>CV713+CV709</f>
        <v>235510192</v>
      </c>
    </row>
    <row r="715" spans="1:100" s="27" customFormat="1" ht="15" x14ac:dyDescent="0.25">
      <c r="A715" s="19"/>
      <c r="B715" s="177"/>
      <c r="C715" s="949"/>
      <c r="D715" s="177"/>
      <c r="E715" s="949"/>
      <c r="F715" s="949"/>
      <c r="G715" s="177"/>
      <c r="H715" s="949"/>
      <c r="I715" s="177"/>
      <c r="J715" s="949"/>
      <c r="K715" s="949"/>
      <c r="L715" s="930"/>
      <c r="M715" s="930"/>
      <c r="N715" s="230"/>
      <c r="O715" s="221"/>
      <c r="P715" s="949"/>
      <c r="Q715" s="180"/>
      <c r="R715" s="180"/>
      <c r="S715" s="180"/>
      <c r="T715" s="180"/>
      <c r="U715" s="180"/>
      <c r="V715" s="180"/>
      <c r="W715" s="180"/>
      <c r="X715" s="180"/>
      <c r="Y715" s="180"/>
      <c r="Z715" s="180"/>
      <c r="AA715" s="180"/>
      <c r="AB715" s="180"/>
      <c r="AC715" s="180"/>
      <c r="AD715" s="180"/>
      <c r="AE715" s="180"/>
      <c r="AF715" s="180"/>
      <c r="AG715" s="180"/>
      <c r="AH715" s="180"/>
      <c r="AI715" s="180"/>
      <c r="AJ715" s="180"/>
      <c r="AK715" s="180"/>
      <c r="AL715" s="180"/>
      <c r="AM715" s="180"/>
      <c r="AN715" s="180"/>
      <c r="AO715" s="180"/>
      <c r="AP715" s="180"/>
      <c r="AQ715" s="180"/>
      <c r="AR715" s="180"/>
      <c r="AS715" s="180"/>
      <c r="AT715" s="180"/>
      <c r="AU715" s="180"/>
      <c r="AV715" s="180"/>
      <c r="AW715" s="180"/>
      <c r="AX715" s="180"/>
      <c r="AY715" s="180"/>
      <c r="AZ715" s="180"/>
      <c r="BA715" s="180"/>
      <c r="BB715" s="180"/>
      <c r="BC715" s="180"/>
      <c r="BD715" s="180"/>
      <c r="BE715" s="180"/>
      <c r="BF715" s="180"/>
      <c r="BG715" s="181"/>
      <c r="BH715" s="181"/>
      <c r="BI715" s="181"/>
      <c r="BJ715" s="181"/>
      <c r="BK715" s="181"/>
      <c r="BL715" s="181"/>
      <c r="BM715" s="181"/>
      <c r="BN715" s="181"/>
      <c r="BO715" s="181"/>
      <c r="BP715" s="181"/>
      <c r="BQ715" s="181"/>
      <c r="BR715" s="181"/>
      <c r="BS715" s="181"/>
      <c r="BT715" s="181"/>
      <c r="BU715" s="181"/>
      <c r="BV715" s="181"/>
      <c r="BW715" s="181"/>
      <c r="BX715" s="181"/>
      <c r="BY715" s="180"/>
      <c r="BZ715" s="180"/>
      <c r="CA715" s="180"/>
      <c r="CB715" s="180"/>
      <c r="CC715" s="180"/>
      <c r="CD715" s="180"/>
      <c r="CE715" s="182"/>
      <c r="CF715" s="182"/>
      <c r="CG715" s="182"/>
      <c r="CH715" s="180"/>
      <c r="CI715" s="180"/>
      <c r="CJ715" s="180"/>
      <c r="CK715" s="180"/>
      <c r="CL715" s="180"/>
      <c r="CM715" s="180"/>
      <c r="CN715" s="180"/>
      <c r="CO715" s="180"/>
      <c r="CP715" s="180"/>
      <c r="CQ715" s="180"/>
      <c r="CR715" s="180"/>
      <c r="CS715" s="180"/>
      <c r="CT715" s="25"/>
      <c r="CU715" s="76"/>
      <c r="CV715" s="76"/>
    </row>
    <row r="716" spans="1:100" s="27" customFormat="1" ht="15" x14ac:dyDescent="0.25">
      <c r="A716" s="19"/>
      <c r="B716" s="557">
        <v>22</v>
      </c>
      <c r="C716" s="146" t="s">
        <v>862</v>
      </c>
      <c r="D716" s="146"/>
      <c r="E716" s="146"/>
      <c r="F716" s="146"/>
      <c r="G716" s="146"/>
      <c r="H716" s="147"/>
      <c r="I716" s="146"/>
      <c r="J716" s="146"/>
      <c r="K716" s="146"/>
      <c r="L716" s="146"/>
      <c r="M716" s="146"/>
      <c r="N716" s="677"/>
      <c r="O716" s="146"/>
      <c r="P716" s="146"/>
      <c r="Q716" s="146"/>
      <c r="R716" s="146"/>
      <c r="S716" s="146"/>
      <c r="T716" s="146"/>
      <c r="U716" s="146"/>
      <c r="V716" s="146"/>
      <c r="W716" s="146"/>
      <c r="X716" s="146"/>
      <c r="Y716" s="146"/>
      <c r="Z716" s="146"/>
      <c r="AA716" s="146"/>
      <c r="AB716" s="146"/>
      <c r="AC716" s="146"/>
      <c r="AD716" s="146"/>
      <c r="AE716" s="146"/>
      <c r="AF716" s="146"/>
      <c r="AG716" s="146"/>
      <c r="AH716" s="146"/>
      <c r="AI716" s="146"/>
      <c r="AJ716" s="146"/>
      <c r="AK716" s="146"/>
      <c r="AL716" s="146"/>
      <c r="AM716" s="146"/>
      <c r="AN716" s="146"/>
      <c r="AO716" s="146"/>
      <c r="AP716" s="146"/>
      <c r="AQ716" s="146"/>
      <c r="AR716" s="146"/>
      <c r="AS716" s="146"/>
      <c r="AT716" s="146"/>
      <c r="AU716" s="146"/>
      <c r="AV716" s="146"/>
      <c r="AW716" s="146"/>
      <c r="AX716" s="146"/>
      <c r="AY716" s="146"/>
      <c r="AZ716" s="146"/>
      <c r="BA716" s="146"/>
      <c r="BB716" s="146"/>
      <c r="BC716" s="146"/>
      <c r="BD716" s="146"/>
      <c r="BE716" s="146"/>
      <c r="BF716" s="146"/>
      <c r="BG716" s="146"/>
      <c r="BH716" s="146"/>
      <c r="BI716" s="146"/>
      <c r="BJ716" s="146"/>
      <c r="BK716" s="146"/>
      <c r="BL716" s="146"/>
      <c r="BM716" s="146"/>
      <c r="BN716" s="146"/>
      <c r="BO716" s="146"/>
      <c r="BP716" s="146"/>
      <c r="BQ716" s="146"/>
      <c r="BR716" s="146"/>
      <c r="BS716" s="146"/>
      <c r="BT716" s="146"/>
      <c r="BU716" s="146"/>
      <c r="BV716" s="146"/>
      <c r="BW716" s="146"/>
      <c r="BX716" s="146"/>
      <c r="BY716" s="146"/>
      <c r="BZ716" s="146"/>
      <c r="CA716" s="146"/>
      <c r="CB716" s="146"/>
      <c r="CC716" s="146"/>
      <c r="CD716" s="146"/>
      <c r="CE716" s="148"/>
      <c r="CF716" s="148"/>
      <c r="CG716" s="148"/>
      <c r="CH716" s="146"/>
      <c r="CI716" s="146"/>
      <c r="CJ716" s="146"/>
      <c r="CK716" s="146"/>
      <c r="CL716" s="146"/>
      <c r="CM716" s="146"/>
      <c r="CN716" s="146"/>
      <c r="CO716" s="146"/>
      <c r="CP716" s="146"/>
      <c r="CQ716" s="146"/>
      <c r="CR716" s="146"/>
      <c r="CS716" s="146"/>
      <c r="CT716" s="526"/>
      <c r="CU716" s="526"/>
      <c r="CV716" s="526"/>
    </row>
    <row r="717" spans="1:100" s="27" customFormat="1" ht="15" x14ac:dyDescent="0.25">
      <c r="A717" s="19"/>
      <c r="B717" s="1004"/>
      <c r="C717" s="949"/>
      <c r="D717" s="177"/>
      <c r="E717" s="949"/>
      <c r="F717" s="927"/>
      <c r="G717" s="339">
        <v>74</v>
      </c>
      <c r="H717" s="189" t="s">
        <v>863</v>
      </c>
      <c r="I717" s="189"/>
      <c r="J717" s="189"/>
      <c r="K717" s="189"/>
      <c r="L717" s="189"/>
      <c r="M717" s="189"/>
      <c r="N717" s="678"/>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189"/>
      <c r="BE717" s="189"/>
      <c r="BF717" s="189"/>
      <c r="BG717" s="189"/>
      <c r="BH717" s="189"/>
      <c r="BI717" s="189"/>
      <c r="BJ717" s="189"/>
      <c r="BK717" s="189"/>
      <c r="BL717" s="189"/>
      <c r="BM717" s="189"/>
      <c r="BN717" s="189"/>
      <c r="BO717" s="189"/>
      <c r="BP717" s="189"/>
      <c r="BQ717" s="189"/>
      <c r="BR717" s="189"/>
      <c r="BS717" s="189"/>
      <c r="BT717" s="189"/>
      <c r="BU717" s="189"/>
      <c r="BV717" s="189"/>
      <c r="BW717" s="189"/>
      <c r="BX717" s="189"/>
      <c r="BY717" s="189"/>
      <c r="BZ717" s="189"/>
      <c r="CA717" s="189"/>
      <c r="CB717" s="189"/>
      <c r="CC717" s="189"/>
      <c r="CD717" s="189"/>
      <c r="CE717" s="190"/>
      <c r="CF717" s="190"/>
      <c r="CG717" s="190"/>
      <c r="CH717" s="189"/>
      <c r="CI717" s="189"/>
      <c r="CJ717" s="189"/>
      <c r="CK717" s="189"/>
      <c r="CL717" s="189"/>
      <c r="CM717" s="189"/>
      <c r="CN717" s="189"/>
      <c r="CO717" s="189"/>
      <c r="CP717" s="189"/>
      <c r="CQ717" s="189"/>
      <c r="CR717" s="189"/>
      <c r="CS717" s="189"/>
      <c r="CT717" s="522"/>
      <c r="CU717" s="522"/>
      <c r="CV717" s="522"/>
    </row>
    <row r="718" spans="1:100" s="27" customFormat="1" ht="65.099999999999994" customHeight="1" x14ac:dyDescent="0.25">
      <c r="A718" s="19"/>
      <c r="B718" s="1004"/>
      <c r="C718" s="469">
        <v>36</v>
      </c>
      <c r="D718" s="475" t="s">
        <v>835</v>
      </c>
      <c r="E718" s="504">
        <v>0.4</v>
      </c>
      <c r="F718" s="489">
        <v>0.6</v>
      </c>
      <c r="G718" s="928"/>
      <c r="H718" s="929">
        <v>213</v>
      </c>
      <c r="I718" s="928" t="s">
        <v>864</v>
      </c>
      <c r="J718" s="30">
        <v>12</v>
      </c>
      <c r="K718" s="30">
        <v>12</v>
      </c>
      <c r="L718" s="30">
        <v>12</v>
      </c>
      <c r="M718" s="8" t="s">
        <v>837</v>
      </c>
      <c r="N718" s="967" t="s">
        <v>865</v>
      </c>
      <c r="O718" s="558" t="s">
        <v>866</v>
      </c>
      <c r="P718" s="30" t="s">
        <v>38</v>
      </c>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0"/>
      <c r="BH718" s="250"/>
      <c r="BI718" s="250"/>
      <c r="BJ718" s="250"/>
      <c r="BK718" s="250"/>
      <c r="BL718" s="250"/>
      <c r="BM718" s="250"/>
      <c r="BN718" s="250"/>
      <c r="BO718" s="250"/>
      <c r="BP718" s="250"/>
      <c r="BQ718" s="250"/>
      <c r="BR718" s="250"/>
      <c r="BS718" s="250"/>
      <c r="BT718" s="250"/>
      <c r="BU718" s="250"/>
      <c r="BV718" s="250"/>
      <c r="BW718" s="250"/>
      <c r="BX718" s="250"/>
      <c r="BY718" s="25"/>
      <c r="BZ718" s="25"/>
      <c r="CA718" s="25"/>
      <c r="CB718" s="25"/>
      <c r="CC718" s="25"/>
      <c r="CD718" s="25"/>
      <c r="CE718" s="110"/>
      <c r="CF718" s="110"/>
      <c r="CG718" s="110"/>
      <c r="CH718" s="37"/>
      <c r="CI718" s="37"/>
      <c r="CJ718" s="37"/>
      <c r="CK718" s="25">
        <f>236949833+5875533-30272190</f>
        <v>212553176</v>
      </c>
      <c r="CL718" s="26">
        <v>212523130.55999997</v>
      </c>
      <c r="CM718" s="26">
        <v>212523130.55999991</v>
      </c>
      <c r="CN718" s="288"/>
      <c r="CO718" s="288"/>
      <c r="CP718" s="288"/>
      <c r="CQ718" s="288"/>
      <c r="CR718" s="288"/>
      <c r="CS718" s="288"/>
      <c r="CT718" s="25">
        <f>Q718+T718+W718+Z718+AC718+AF718+AI718+AL718+AO718+AR718+AU718+AX718+BA718+BD718+BG718+BJ718+BM718+BP718+BS718+BV718+BY718+CB718+CE718+CH718+CK718+CQ718+CN718</f>
        <v>212553176</v>
      </c>
      <c r="CU718" s="25">
        <f>R718+U718+X718+AA718+AD718+AG718+AJ718+AM718+AP718+AS718+AV718+AY718+BB718+BE718+BH718+BK718+BN718+BQ718+BT718+BW718+BZ718+CC718+CF718+CI718+CL718+CR718+CO718</f>
        <v>212523130.55999997</v>
      </c>
      <c r="CV718" s="25">
        <f>S718+V718+Y718+AB718+AE718+AH718+AK718+AN718+AQ718+AT718+AW718+AZ718+BC718+BF718+BI718+BL718+BO718+BR718+BU718+BX718+CA718+CD718+CG718+CJ718+CM718+CS718+CP718</f>
        <v>212523130.55999991</v>
      </c>
    </row>
    <row r="719" spans="1:100" s="27" customFormat="1" ht="15" x14ac:dyDescent="0.25">
      <c r="A719" s="19"/>
      <c r="B719" s="1004"/>
      <c r="C719" s="213"/>
      <c r="D719" s="153"/>
      <c r="E719" s="581"/>
      <c r="F719" s="581"/>
      <c r="G719" s="154"/>
      <c r="H719" s="155"/>
      <c r="I719" s="154"/>
      <c r="J719" s="311"/>
      <c r="K719" s="311"/>
      <c r="L719" s="311"/>
      <c r="M719" s="311"/>
      <c r="N719" s="378"/>
      <c r="O719" s="298"/>
      <c r="P719" s="311"/>
      <c r="Q719" s="766">
        <f t="shared" ref="Q719:CB719" si="389">SUM(Q718)</f>
        <v>0</v>
      </c>
      <c r="R719" s="766">
        <f t="shared" si="389"/>
        <v>0</v>
      </c>
      <c r="S719" s="766">
        <f t="shared" si="389"/>
        <v>0</v>
      </c>
      <c r="T719" s="766">
        <f t="shared" si="389"/>
        <v>0</v>
      </c>
      <c r="U719" s="766">
        <f t="shared" si="389"/>
        <v>0</v>
      </c>
      <c r="V719" s="766">
        <f t="shared" si="389"/>
        <v>0</v>
      </c>
      <c r="W719" s="766">
        <f t="shared" si="389"/>
        <v>0</v>
      </c>
      <c r="X719" s="766">
        <f t="shared" si="389"/>
        <v>0</v>
      </c>
      <c r="Y719" s="766">
        <f t="shared" si="389"/>
        <v>0</v>
      </c>
      <c r="Z719" s="766">
        <f t="shared" si="389"/>
        <v>0</v>
      </c>
      <c r="AA719" s="766">
        <f t="shared" si="389"/>
        <v>0</v>
      </c>
      <c r="AB719" s="766">
        <f t="shared" si="389"/>
        <v>0</v>
      </c>
      <c r="AC719" s="766">
        <f t="shared" si="389"/>
        <v>0</v>
      </c>
      <c r="AD719" s="766">
        <f t="shared" si="389"/>
        <v>0</v>
      </c>
      <c r="AE719" s="766">
        <f t="shared" si="389"/>
        <v>0</v>
      </c>
      <c r="AF719" s="766">
        <f t="shared" si="389"/>
        <v>0</v>
      </c>
      <c r="AG719" s="766">
        <f t="shared" si="389"/>
        <v>0</v>
      </c>
      <c r="AH719" s="766">
        <f t="shared" si="389"/>
        <v>0</v>
      </c>
      <c r="AI719" s="766">
        <f t="shared" si="389"/>
        <v>0</v>
      </c>
      <c r="AJ719" s="766">
        <f t="shared" si="389"/>
        <v>0</v>
      </c>
      <c r="AK719" s="766">
        <f t="shared" si="389"/>
        <v>0</v>
      </c>
      <c r="AL719" s="766">
        <f t="shared" si="389"/>
        <v>0</v>
      </c>
      <c r="AM719" s="766">
        <f t="shared" si="389"/>
        <v>0</v>
      </c>
      <c r="AN719" s="766">
        <f t="shared" si="389"/>
        <v>0</v>
      </c>
      <c r="AO719" s="766">
        <f t="shared" si="389"/>
        <v>0</v>
      </c>
      <c r="AP719" s="766">
        <f t="shared" si="389"/>
        <v>0</v>
      </c>
      <c r="AQ719" s="766">
        <f t="shared" si="389"/>
        <v>0</v>
      </c>
      <c r="AR719" s="766">
        <f t="shared" si="389"/>
        <v>0</v>
      </c>
      <c r="AS719" s="766">
        <f t="shared" si="389"/>
        <v>0</v>
      </c>
      <c r="AT719" s="766">
        <f t="shared" si="389"/>
        <v>0</v>
      </c>
      <c r="AU719" s="766">
        <f t="shared" si="389"/>
        <v>0</v>
      </c>
      <c r="AV719" s="766">
        <f t="shared" si="389"/>
        <v>0</v>
      </c>
      <c r="AW719" s="766">
        <f t="shared" si="389"/>
        <v>0</v>
      </c>
      <c r="AX719" s="766">
        <f t="shared" si="389"/>
        <v>0</v>
      </c>
      <c r="AY719" s="766">
        <f t="shared" si="389"/>
        <v>0</v>
      </c>
      <c r="AZ719" s="766">
        <f t="shared" si="389"/>
        <v>0</v>
      </c>
      <c r="BA719" s="766">
        <f t="shared" si="389"/>
        <v>0</v>
      </c>
      <c r="BB719" s="766">
        <f t="shared" si="389"/>
        <v>0</v>
      </c>
      <c r="BC719" s="766">
        <f t="shared" si="389"/>
        <v>0</v>
      </c>
      <c r="BD719" s="766">
        <f t="shared" si="389"/>
        <v>0</v>
      </c>
      <c r="BE719" s="766">
        <f t="shared" si="389"/>
        <v>0</v>
      </c>
      <c r="BF719" s="766">
        <f t="shared" si="389"/>
        <v>0</v>
      </c>
      <c r="BG719" s="766">
        <f t="shared" si="389"/>
        <v>0</v>
      </c>
      <c r="BH719" s="766">
        <f t="shared" si="389"/>
        <v>0</v>
      </c>
      <c r="BI719" s="766">
        <f t="shared" si="389"/>
        <v>0</v>
      </c>
      <c r="BJ719" s="766">
        <f t="shared" si="389"/>
        <v>0</v>
      </c>
      <c r="BK719" s="766">
        <f t="shared" si="389"/>
        <v>0</v>
      </c>
      <c r="BL719" s="766">
        <f t="shared" si="389"/>
        <v>0</v>
      </c>
      <c r="BM719" s="766">
        <f t="shared" si="389"/>
        <v>0</v>
      </c>
      <c r="BN719" s="766">
        <f t="shared" si="389"/>
        <v>0</v>
      </c>
      <c r="BO719" s="766">
        <f t="shared" si="389"/>
        <v>0</v>
      </c>
      <c r="BP719" s="766">
        <f t="shared" si="389"/>
        <v>0</v>
      </c>
      <c r="BQ719" s="766">
        <f t="shared" si="389"/>
        <v>0</v>
      </c>
      <c r="BR719" s="766">
        <f t="shared" si="389"/>
        <v>0</v>
      </c>
      <c r="BS719" s="766">
        <f t="shared" si="389"/>
        <v>0</v>
      </c>
      <c r="BT719" s="766">
        <f t="shared" si="389"/>
        <v>0</v>
      </c>
      <c r="BU719" s="766">
        <f t="shared" si="389"/>
        <v>0</v>
      </c>
      <c r="BV719" s="766">
        <f t="shared" si="389"/>
        <v>0</v>
      </c>
      <c r="BW719" s="766">
        <f t="shared" si="389"/>
        <v>0</v>
      </c>
      <c r="BX719" s="766">
        <f t="shared" si="389"/>
        <v>0</v>
      </c>
      <c r="BY719" s="766">
        <f t="shared" si="389"/>
        <v>0</v>
      </c>
      <c r="BZ719" s="766">
        <f t="shared" si="389"/>
        <v>0</v>
      </c>
      <c r="CA719" s="766">
        <f t="shared" si="389"/>
        <v>0</v>
      </c>
      <c r="CB719" s="766">
        <f t="shared" si="389"/>
        <v>0</v>
      </c>
      <c r="CC719" s="766">
        <f t="shared" ref="CC719:CS719" si="390">SUM(CC718)</f>
        <v>0</v>
      </c>
      <c r="CD719" s="766">
        <f t="shared" si="390"/>
        <v>0</v>
      </c>
      <c r="CE719" s="766">
        <f t="shared" si="390"/>
        <v>0</v>
      </c>
      <c r="CF719" s="766">
        <f t="shared" si="390"/>
        <v>0</v>
      </c>
      <c r="CG719" s="766">
        <f t="shared" si="390"/>
        <v>0</v>
      </c>
      <c r="CH719" s="766">
        <f t="shared" si="390"/>
        <v>0</v>
      </c>
      <c r="CI719" s="766">
        <f t="shared" si="390"/>
        <v>0</v>
      </c>
      <c r="CJ719" s="766">
        <f t="shared" si="390"/>
        <v>0</v>
      </c>
      <c r="CK719" s="766">
        <f t="shared" si="390"/>
        <v>212553176</v>
      </c>
      <c r="CL719" s="766">
        <f t="shared" si="390"/>
        <v>212523130.55999997</v>
      </c>
      <c r="CM719" s="766">
        <f t="shared" si="390"/>
        <v>212523130.55999991</v>
      </c>
      <c r="CN719" s="766">
        <f t="shared" si="390"/>
        <v>0</v>
      </c>
      <c r="CO719" s="766">
        <f t="shared" si="390"/>
        <v>0</v>
      </c>
      <c r="CP719" s="766">
        <f t="shared" si="390"/>
        <v>0</v>
      </c>
      <c r="CQ719" s="766">
        <f t="shared" si="390"/>
        <v>0</v>
      </c>
      <c r="CR719" s="766">
        <f t="shared" si="390"/>
        <v>0</v>
      </c>
      <c r="CS719" s="766">
        <f t="shared" si="390"/>
        <v>0</v>
      </c>
      <c r="CT719" s="766">
        <f>SUM(CT718)</f>
        <v>212553176</v>
      </c>
      <c r="CU719" s="766">
        <f>SUM(CU718)</f>
        <v>212523130.55999997</v>
      </c>
      <c r="CV719" s="766">
        <f>SUM(CV718)</f>
        <v>212523130.55999991</v>
      </c>
    </row>
    <row r="720" spans="1:100" s="27" customFormat="1" ht="15" x14ac:dyDescent="0.25">
      <c r="A720" s="152"/>
      <c r="B720" s="216"/>
      <c r="C720" s="162"/>
      <c r="D720" s="161"/>
      <c r="E720" s="162"/>
      <c r="F720" s="162"/>
      <c r="G720" s="161"/>
      <c r="H720" s="162"/>
      <c r="I720" s="161"/>
      <c r="J720" s="323"/>
      <c r="K720" s="323"/>
      <c r="L720" s="323"/>
      <c r="M720" s="323"/>
      <c r="N720" s="545"/>
      <c r="O720" s="546"/>
      <c r="P720" s="323"/>
      <c r="Q720" s="767">
        <f t="shared" ref="Q720:CB720" si="391">Q719</f>
        <v>0</v>
      </c>
      <c r="R720" s="767">
        <f t="shared" si="391"/>
        <v>0</v>
      </c>
      <c r="S720" s="767">
        <f t="shared" si="391"/>
        <v>0</v>
      </c>
      <c r="T720" s="767">
        <f t="shared" si="391"/>
        <v>0</v>
      </c>
      <c r="U720" s="767">
        <f t="shared" si="391"/>
        <v>0</v>
      </c>
      <c r="V720" s="767">
        <f t="shared" si="391"/>
        <v>0</v>
      </c>
      <c r="W720" s="767">
        <f t="shared" si="391"/>
        <v>0</v>
      </c>
      <c r="X720" s="767">
        <f t="shared" si="391"/>
        <v>0</v>
      </c>
      <c r="Y720" s="767">
        <f t="shared" si="391"/>
        <v>0</v>
      </c>
      <c r="Z720" s="767">
        <f t="shared" si="391"/>
        <v>0</v>
      </c>
      <c r="AA720" s="767">
        <f t="shared" si="391"/>
        <v>0</v>
      </c>
      <c r="AB720" s="767">
        <f t="shared" si="391"/>
        <v>0</v>
      </c>
      <c r="AC720" s="767">
        <f t="shared" si="391"/>
        <v>0</v>
      </c>
      <c r="AD720" s="767">
        <f t="shared" si="391"/>
        <v>0</v>
      </c>
      <c r="AE720" s="767">
        <f t="shared" si="391"/>
        <v>0</v>
      </c>
      <c r="AF720" s="767">
        <f t="shared" si="391"/>
        <v>0</v>
      </c>
      <c r="AG720" s="767">
        <f t="shared" si="391"/>
        <v>0</v>
      </c>
      <c r="AH720" s="767">
        <f t="shared" si="391"/>
        <v>0</v>
      </c>
      <c r="AI720" s="767">
        <f t="shared" si="391"/>
        <v>0</v>
      </c>
      <c r="AJ720" s="767">
        <f t="shared" si="391"/>
        <v>0</v>
      </c>
      <c r="AK720" s="767">
        <f t="shared" si="391"/>
        <v>0</v>
      </c>
      <c r="AL720" s="767">
        <f t="shared" si="391"/>
        <v>0</v>
      </c>
      <c r="AM720" s="767">
        <f t="shared" si="391"/>
        <v>0</v>
      </c>
      <c r="AN720" s="767">
        <f t="shared" si="391"/>
        <v>0</v>
      </c>
      <c r="AO720" s="767">
        <f t="shared" si="391"/>
        <v>0</v>
      </c>
      <c r="AP720" s="767">
        <f t="shared" si="391"/>
        <v>0</v>
      </c>
      <c r="AQ720" s="767">
        <f t="shared" si="391"/>
        <v>0</v>
      </c>
      <c r="AR720" s="767">
        <f t="shared" si="391"/>
        <v>0</v>
      </c>
      <c r="AS720" s="767">
        <f t="shared" si="391"/>
        <v>0</v>
      </c>
      <c r="AT720" s="767">
        <f t="shared" si="391"/>
        <v>0</v>
      </c>
      <c r="AU720" s="767">
        <f t="shared" si="391"/>
        <v>0</v>
      </c>
      <c r="AV720" s="767">
        <f t="shared" si="391"/>
        <v>0</v>
      </c>
      <c r="AW720" s="767">
        <f t="shared" si="391"/>
        <v>0</v>
      </c>
      <c r="AX720" s="767">
        <f t="shared" si="391"/>
        <v>0</v>
      </c>
      <c r="AY720" s="767">
        <f t="shared" si="391"/>
        <v>0</v>
      </c>
      <c r="AZ720" s="767">
        <f t="shared" si="391"/>
        <v>0</v>
      </c>
      <c r="BA720" s="767">
        <f t="shared" si="391"/>
        <v>0</v>
      </c>
      <c r="BB720" s="767">
        <f t="shared" si="391"/>
        <v>0</v>
      </c>
      <c r="BC720" s="767">
        <f t="shared" si="391"/>
        <v>0</v>
      </c>
      <c r="BD720" s="767">
        <f t="shared" si="391"/>
        <v>0</v>
      </c>
      <c r="BE720" s="767">
        <f t="shared" si="391"/>
        <v>0</v>
      </c>
      <c r="BF720" s="767">
        <f t="shared" si="391"/>
        <v>0</v>
      </c>
      <c r="BG720" s="767">
        <f t="shared" si="391"/>
        <v>0</v>
      </c>
      <c r="BH720" s="767">
        <f t="shared" si="391"/>
        <v>0</v>
      </c>
      <c r="BI720" s="767">
        <f t="shared" si="391"/>
        <v>0</v>
      </c>
      <c r="BJ720" s="767">
        <f t="shared" si="391"/>
        <v>0</v>
      </c>
      <c r="BK720" s="767">
        <f t="shared" si="391"/>
        <v>0</v>
      </c>
      <c r="BL720" s="767">
        <f t="shared" si="391"/>
        <v>0</v>
      </c>
      <c r="BM720" s="767">
        <f t="shared" si="391"/>
        <v>0</v>
      </c>
      <c r="BN720" s="767">
        <f t="shared" si="391"/>
        <v>0</v>
      </c>
      <c r="BO720" s="767">
        <f t="shared" si="391"/>
        <v>0</v>
      </c>
      <c r="BP720" s="767">
        <f t="shared" si="391"/>
        <v>0</v>
      </c>
      <c r="BQ720" s="767">
        <f t="shared" si="391"/>
        <v>0</v>
      </c>
      <c r="BR720" s="767">
        <f t="shared" si="391"/>
        <v>0</v>
      </c>
      <c r="BS720" s="767">
        <f t="shared" si="391"/>
        <v>0</v>
      </c>
      <c r="BT720" s="767">
        <f t="shared" si="391"/>
        <v>0</v>
      </c>
      <c r="BU720" s="767">
        <f t="shared" si="391"/>
        <v>0</v>
      </c>
      <c r="BV720" s="767">
        <f t="shared" si="391"/>
        <v>0</v>
      </c>
      <c r="BW720" s="767">
        <f t="shared" si="391"/>
        <v>0</v>
      </c>
      <c r="BX720" s="767">
        <f t="shared" si="391"/>
        <v>0</v>
      </c>
      <c r="BY720" s="767">
        <f t="shared" si="391"/>
        <v>0</v>
      </c>
      <c r="BZ720" s="767">
        <f t="shared" si="391"/>
        <v>0</v>
      </c>
      <c r="CA720" s="767">
        <f t="shared" si="391"/>
        <v>0</v>
      </c>
      <c r="CB720" s="767">
        <f t="shared" si="391"/>
        <v>0</v>
      </c>
      <c r="CC720" s="767">
        <f t="shared" ref="CC720:CS720" si="392">CC719</f>
        <v>0</v>
      </c>
      <c r="CD720" s="767">
        <f t="shared" si="392"/>
        <v>0</v>
      </c>
      <c r="CE720" s="767">
        <f t="shared" si="392"/>
        <v>0</v>
      </c>
      <c r="CF720" s="767">
        <f t="shared" si="392"/>
        <v>0</v>
      </c>
      <c r="CG720" s="767">
        <f t="shared" si="392"/>
        <v>0</v>
      </c>
      <c r="CH720" s="767">
        <f t="shared" si="392"/>
        <v>0</v>
      </c>
      <c r="CI720" s="767">
        <f t="shared" si="392"/>
        <v>0</v>
      </c>
      <c r="CJ720" s="767">
        <f t="shared" si="392"/>
        <v>0</v>
      </c>
      <c r="CK720" s="767">
        <f t="shared" si="392"/>
        <v>212553176</v>
      </c>
      <c r="CL720" s="767">
        <f t="shared" si="392"/>
        <v>212523130.55999997</v>
      </c>
      <c r="CM720" s="767">
        <f t="shared" si="392"/>
        <v>212523130.55999991</v>
      </c>
      <c r="CN720" s="767">
        <f t="shared" si="392"/>
        <v>0</v>
      </c>
      <c r="CO720" s="767">
        <f t="shared" si="392"/>
        <v>0</v>
      </c>
      <c r="CP720" s="767">
        <f t="shared" si="392"/>
        <v>0</v>
      </c>
      <c r="CQ720" s="767">
        <f t="shared" si="392"/>
        <v>0</v>
      </c>
      <c r="CR720" s="767">
        <f t="shared" si="392"/>
        <v>0</v>
      </c>
      <c r="CS720" s="767">
        <f t="shared" si="392"/>
        <v>0</v>
      </c>
      <c r="CT720" s="767">
        <f>CT719</f>
        <v>212553176</v>
      </c>
      <c r="CU720" s="767">
        <f>CU719</f>
        <v>212523130.55999997</v>
      </c>
      <c r="CV720" s="767">
        <f>CV719</f>
        <v>212523130.55999991</v>
      </c>
    </row>
    <row r="721" spans="1:100" s="27" customFormat="1" ht="15" x14ac:dyDescent="0.25">
      <c r="A721" s="166"/>
      <c r="B721" s="166"/>
      <c r="C721" s="167"/>
      <c r="D721" s="166"/>
      <c r="E721" s="167"/>
      <c r="F721" s="167"/>
      <c r="G721" s="166"/>
      <c r="H721" s="167"/>
      <c r="I721" s="166"/>
      <c r="J721" s="334"/>
      <c r="K721" s="334"/>
      <c r="L721" s="334"/>
      <c r="M721" s="334"/>
      <c r="N721" s="559"/>
      <c r="O721" s="560"/>
      <c r="P721" s="334"/>
      <c r="Q721" s="768">
        <f t="shared" ref="Q721:CB721" si="393">Q720+Q714+Q702</f>
        <v>0</v>
      </c>
      <c r="R721" s="768">
        <f t="shared" si="393"/>
        <v>0</v>
      </c>
      <c r="S721" s="768">
        <f t="shared" si="393"/>
        <v>0</v>
      </c>
      <c r="T721" s="768">
        <f t="shared" si="393"/>
        <v>0</v>
      </c>
      <c r="U721" s="768">
        <f t="shared" si="393"/>
        <v>0</v>
      </c>
      <c r="V721" s="768">
        <f t="shared" si="393"/>
        <v>0</v>
      </c>
      <c r="W721" s="768">
        <f t="shared" si="393"/>
        <v>0</v>
      </c>
      <c r="X721" s="768">
        <f t="shared" si="393"/>
        <v>0</v>
      </c>
      <c r="Y721" s="768">
        <f t="shared" si="393"/>
        <v>0</v>
      </c>
      <c r="Z721" s="768">
        <f t="shared" si="393"/>
        <v>0</v>
      </c>
      <c r="AA721" s="768">
        <f t="shared" si="393"/>
        <v>0</v>
      </c>
      <c r="AB721" s="768">
        <f t="shared" si="393"/>
        <v>0</v>
      </c>
      <c r="AC721" s="768">
        <f t="shared" si="393"/>
        <v>0</v>
      </c>
      <c r="AD721" s="768">
        <f t="shared" si="393"/>
        <v>0</v>
      </c>
      <c r="AE721" s="768">
        <f t="shared" si="393"/>
        <v>0</v>
      </c>
      <c r="AF721" s="768">
        <f t="shared" si="393"/>
        <v>0</v>
      </c>
      <c r="AG721" s="768">
        <f t="shared" si="393"/>
        <v>0</v>
      </c>
      <c r="AH721" s="768">
        <f t="shared" si="393"/>
        <v>0</v>
      </c>
      <c r="AI721" s="768">
        <f t="shared" si="393"/>
        <v>0</v>
      </c>
      <c r="AJ721" s="768">
        <f t="shared" si="393"/>
        <v>0</v>
      </c>
      <c r="AK721" s="768">
        <f t="shared" si="393"/>
        <v>0</v>
      </c>
      <c r="AL721" s="768">
        <f t="shared" si="393"/>
        <v>0</v>
      </c>
      <c r="AM721" s="768">
        <f t="shared" si="393"/>
        <v>0</v>
      </c>
      <c r="AN721" s="768">
        <f t="shared" si="393"/>
        <v>0</v>
      </c>
      <c r="AO721" s="768">
        <f t="shared" si="393"/>
        <v>0</v>
      </c>
      <c r="AP721" s="768">
        <f t="shared" si="393"/>
        <v>0</v>
      </c>
      <c r="AQ721" s="768">
        <f t="shared" si="393"/>
        <v>0</v>
      </c>
      <c r="AR721" s="768">
        <f t="shared" si="393"/>
        <v>0</v>
      </c>
      <c r="AS721" s="768">
        <f t="shared" si="393"/>
        <v>0</v>
      </c>
      <c r="AT721" s="768">
        <f t="shared" si="393"/>
        <v>0</v>
      </c>
      <c r="AU721" s="768">
        <f t="shared" si="393"/>
        <v>0</v>
      </c>
      <c r="AV721" s="768">
        <f t="shared" si="393"/>
        <v>0</v>
      </c>
      <c r="AW721" s="768">
        <f t="shared" si="393"/>
        <v>0</v>
      </c>
      <c r="AX721" s="768">
        <f t="shared" si="393"/>
        <v>745232093.80999994</v>
      </c>
      <c r="AY721" s="768">
        <f t="shared" si="393"/>
        <v>707204058.80999994</v>
      </c>
      <c r="AZ721" s="768">
        <f t="shared" si="393"/>
        <v>700679418.62</v>
      </c>
      <c r="BA721" s="768">
        <f t="shared" si="393"/>
        <v>0</v>
      </c>
      <c r="BB721" s="768">
        <f t="shared" si="393"/>
        <v>0</v>
      </c>
      <c r="BC721" s="768">
        <f t="shared" si="393"/>
        <v>0</v>
      </c>
      <c r="BD721" s="768">
        <f t="shared" si="393"/>
        <v>0</v>
      </c>
      <c r="BE721" s="768">
        <f t="shared" si="393"/>
        <v>0</v>
      </c>
      <c r="BF721" s="768">
        <f t="shared" si="393"/>
        <v>0</v>
      </c>
      <c r="BG721" s="768">
        <f t="shared" si="393"/>
        <v>0</v>
      </c>
      <c r="BH721" s="768">
        <f t="shared" si="393"/>
        <v>0</v>
      </c>
      <c r="BI721" s="768">
        <f t="shared" si="393"/>
        <v>0</v>
      </c>
      <c r="BJ721" s="768">
        <f t="shared" si="393"/>
        <v>0</v>
      </c>
      <c r="BK721" s="768">
        <f t="shared" si="393"/>
        <v>0</v>
      </c>
      <c r="BL721" s="768">
        <f t="shared" si="393"/>
        <v>0</v>
      </c>
      <c r="BM721" s="768">
        <f t="shared" si="393"/>
        <v>0</v>
      </c>
      <c r="BN721" s="768">
        <f t="shared" si="393"/>
        <v>0</v>
      </c>
      <c r="BO721" s="768">
        <f t="shared" si="393"/>
        <v>0</v>
      </c>
      <c r="BP721" s="768">
        <f t="shared" si="393"/>
        <v>0</v>
      </c>
      <c r="BQ721" s="768">
        <f t="shared" si="393"/>
        <v>0</v>
      </c>
      <c r="BR721" s="768">
        <f t="shared" si="393"/>
        <v>0</v>
      </c>
      <c r="BS721" s="768">
        <f t="shared" si="393"/>
        <v>0</v>
      </c>
      <c r="BT721" s="768">
        <f t="shared" si="393"/>
        <v>0</v>
      </c>
      <c r="BU721" s="768">
        <f t="shared" si="393"/>
        <v>0</v>
      </c>
      <c r="BV721" s="768">
        <f t="shared" si="393"/>
        <v>0</v>
      </c>
      <c r="BW721" s="768">
        <f t="shared" si="393"/>
        <v>0</v>
      </c>
      <c r="BX721" s="768">
        <f t="shared" si="393"/>
        <v>0</v>
      </c>
      <c r="BY721" s="768">
        <f t="shared" si="393"/>
        <v>0</v>
      </c>
      <c r="BZ721" s="768">
        <f t="shared" si="393"/>
        <v>0</v>
      </c>
      <c r="CA721" s="768">
        <f t="shared" si="393"/>
        <v>0</v>
      </c>
      <c r="CB721" s="768">
        <f t="shared" si="393"/>
        <v>0</v>
      </c>
      <c r="CC721" s="768">
        <f t="shared" ref="CC721:CS721" si="394">CC720+CC714+CC702</f>
        <v>0</v>
      </c>
      <c r="CD721" s="768">
        <f t="shared" si="394"/>
        <v>0</v>
      </c>
      <c r="CE721" s="768">
        <f t="shared" si="394"/>
        <v>1205244680</v>
      </c>
      <c r="CF721" s="768">
        <f t="shared" si="394"/>
        <v>1105179249.1900001</v>
      </c>
      <c r="CG721" s="768">
        <f t="shared" si="394"/>
        <v>1105179249.1900001</v>
      </c>
      <c r="CH721" s="768">
        <f t="shared" si="394"/>
        <v>274756584</v>
      </c>
      <c r="CI721" s="768">
        <f t="shared" si="394"/>
        <v>224609014</v>
      </c>
      <c r="CJ721" s="768">
        <f t="shared" si="394"/>
        <v>224609014</v>
      </c>
      <c r="CK721" s="768">
        <f t="shared" si="394"/>
        <v>217830072</v>
      </c>
      <c r="CL721" s="768">
        <f t="shared" si="394"/>
        <v>217800026.55999997</v>
      </c>
      <c r="CM721" s="768">
        <f t="shared" si="394"/>
        <v>217800026.55999991</v>
      </c>
      <c r="CN721" s="768">
        <f t="shared" si="394"/>
        <v>0</v>
      </c>
      <c r="CO721" s="768">
        <f t="shared" si="394"/>
        <v>0</v>
      </c>
      <c r="CP721" s="768">
        <f t="shared" si="394"/>
        <v>0</v>
      </c>
      <c r="CQ721" s="768">
        <f t="shared" si="394"/>
        <v>0</v>
      </c>
      <c r="CR721" s="768">
        <f t="shared" si="394"/>
        <v>0</v>
      </c>
      <c r="CS721" s="768">
        <f t="shared" si="394"/>
        <v>0</v>
      </c>
      <c r="CT721" s="768">
        <f>CT720+CT714+CT702</f>
        <v>2443063429.8099999</v>
      </c>
      <c r="CU721" s="768">
        <f>CU720+CU714+CU702</f>
        <v>2254792348.5599999</v>
      </c>
      <c r="CV721" s="768">
        <f>CV720+CV714+CV702</f>
        <v>2248267708.3699999</v>
      </c>
    </row>
    <row r="722" spans="1:100" s="46" customFormat="1" ht="20.25" x14ac:dyDescent="0.25">
      <c r="A722" s="171"/>
      <c r="B722" s="171"/>
      <c r="C722" s="172"/>
      <c r="D722" s="171"/>
      <c r="E722" s="172"/>
      <c r="F722" s="172"/>
      <c r="G722" s="171"/>
      <c r="H722" s="172"/>
      <c r="I722" s="171"/>
      <c r="J722" s="337"/>
      <c r="K722" s="337"/>
      <c r="L722" s="337"/>
      <c r="M722" s="337"/>
      <c r="N722" s="561"/>
      <c r="O722" s="488"/>
      <c r="P722" s="337"/>
      <c r="Q722" s="769">
        <f t="shared" ref="Q722:CB722" si="395">Q721</f>
        <v>0</v>
      </c>
      <c r="R722" s="769">
        <f t="shared" si="395"/>
        <v>0</v>
      </c>
      <c r="S722" s="769">
        <f t="shared" si="395"/>
        <v>0</v>
      </c>
      <c r="T722" s="769">
        <f t="shared" si="395"/>
        <v>0</v>
      </c>
      <c r="U722" s="769">
        <f t="shared" si="395"/>
        <v>0</v>
      </c>
      <c r="V722" s="769">
        <f t="shared" si="395"/>
        <v>0</v>
      </c>
      <c r="W722" s="769">
        <f t="shared" si="395"/>
        <v>0</v>
      </c>
      <c r="X722" s="769">
        <f t="shared" si="395"/>
        <v>0</v>
      </c>
      <c r="Y722" s="769">
        <f t="shared" si="395"/>
        <v>0</v>
      </c>
      <c r="Z722" s="769">
        <f t="shared" si="395"/>
        <v>0</v>
      </c>
      <c r="AA722" s="769">
        <f t="shared" si="395"/>
        <v>0</v>
      </c>
      <c r="AB722" s="769">
        <f t="shared" si="395"/>
        <v>0</v>
      </c>
      <c r="AC722" s="769">
        <f t="shared" si="395"/>
        <v>0</v>
      </c>
      <c r="AD722" s="769">
        <f t="shared" si="395"/>
        <v>0</v>
      </c>
      <c r="AE722" s="769">
        <f t="shared" si="395"/>
        <v>0</v>
      </c>
      <c r="AF722" s="769">
        <f t="shared" si="395"/>
        <v>0</v>
      </c>
      <c r="AG722" s="769">
        <f t="shared" si="395"/>
        <v>0</v>
      </c>
      <c r="AH722" s="769">
        <f t="shared" si="395"/>
        <v>0</v>
      </c>
      <c r="AI722" s="769">
        <f t="shared" si="395"/>
        <v>0</v>
      </c>
      <c r="AJ722" s="769">
        <f t="shared" si="395"/>
        <v>0</v>
      </c>
      <c r="AK722" s="769">
        <f t="shared" si="395"/>
        <v>0</v>
      </c>
      <c r="AL722" s="769">
        <f t="shared" si="395"/>
        <v>0</v>
      </c>
      <c r="AM722" s="769">
        <f t="shared" si="395"/>
        <v>0</v>
      </c>
      <c r="AN722" s="769">
        <f t="shared" si="395"/>
        <v>0</v>
      </c>
      <c r="AO722" s="769">
        <f t="shared" si="395"/>
        <v>0</v>
      </c>
      <c r="AP722" s="769">
        <f t="shared" si="395"/>
        <v>0</v>
      </c>
      <c r="AQ722" s="769">
        <f t="shared" si="395"/>
        <v>0</v>
      </c>
      <c r="AR722" s="769">
        <f t="shared" si="395"/>
        <v>0</v>
      </c>
      <c r="AS722" s="769">
        <f t="shared" si="395"/>
        <v>0</v>
      </c>
      <c r="AT722" s="769">
        <f t="shared" si="395"/>
        <v>0</v>
      </c>
      <c r="AU722" s="769">
        <f t="shared" si="395"/>
        <v>0</v>
      </c>
      <c r="AV722" s="769">
        <f t="shared" si="395"/>
        <v>0</v>
      </c>
      <c r="AW722" s="769">
        <f t="shared" si="395"/>
        <v>0</v>
      </c>
      <c r="AX722" s="769">
        <f t="shared" si="395"/>
        <v>745232093.80999994</v>
      </c>
      <c r="AY722" s="769">
        <f t="shared" si="395"/>
        <v>707204058.80999994</v>
      </c>
      <c r="AZ722" s="769">
        <f t="shared" si="395"/>
        <v>700679418.62</v>
      </c>
      <c r="BA722" s="769">
        <f t="shared" si="395"/>
        <v>0</v>
      </c>
      <c r="BB722" s="769">
        <f t="shared" si="395"/>
        <v>0</v>
      </c>
      <c r="BC722" s="769">
        <f t="shared" si="395"/>
        <v>0</v>
      </c>
      <c r="BD722" s="769">
        <f t="shared" si="395"/>
        <v>0</v>
      </c>
      <c r="BE722" s="769">
        <f t="shared" si="395"/>
        <v>0</v>
      </c>
      <c r="BF722" s="769">
        <f t="shared" si="395"/>
        <v>0</v>
      </c>
      <c r="BG722" s="769">
        <f t="shared" si="395"/>
        <v>0</v>
      </c>
      <c r="BH722" s="769">
        <f t="shared" si="395"/>
        <v>0</v>
      </c>
      <c r="BI722" s="769">
        <f t="shared" si="395"/>
        <v>0</v>
      </c>
      <c r="BJ722" s="769">
        <f t="shared" si="395"/>
        <v>0</v>
      </c>
      <c r="BK722" s="769">
        <f t="shared" si="395"/>
        <v>0</v>
      </c>
      <c r="BL722" s="769">
        <f t="shared" si="395"/>
        <v>0</v>
      </c>
      <c r="BM722" s="769">
        <f t="shared" si="395"/>
        <v>0</v>
      </c>
      <c r="BN722" s="769">
        <f t="shared" si="395"/>
        <v>0</v>
      </c>
      <c r="BO722" s="769">
        <f t="shared" si="395"/>
        <v>0</v>
      </c>
      <c r="BP722" s="769">
        <f t="shared" si="395"/>
        <v>0</v>
      </c>
      <c r="BQ722" s="769">
        <f t="shared" si="395"/>
        <v>0</v>
      </c>
      <c r="BR722" s="769">
        <f t="shared" si="395"/>
        <v>0</v>
      </c>
      <c r="BS722" s="769">
        <f t="shared" si="395"/>
        <v>0</v>
      </c>
      <c r="BT722" s="769">
        <f t="shared" si="395"/>
        <v>0</v>
      </c>
      <c r="BU722" s="769">
        <f t="shared" si="395"/>
        <v>0</v>
      </c>
      <c r="BV722" s="769">
        <f t="shared" si="395"/>
        <v>0</v>
      </c>
      <c r="BW722" s="769">
        <f t="shared" si="395"/>
        <v>0</v>
      </c>
      <c r="BX722" s="769">
        <f t="shared" si="395"/>
        <v>0</v>
      </c>
      <c r="BY722" s="769">
        <f t="shared" si="395"/>
        <v>0</v>
      </c>
      <c r="BZ722" s="769">
        <f t="shared" si="395"/>
        <v>0</v>
      </c>
      <c r="CA722" s="769">
        <f t="shared" si="395"/>
        <v>0</v>
      </c>
      <c r="CB722" s="769">
        <f t="shared" si="395"/>
        <v>0</v>
      </c>
      <c r="CC722" s="769">
        <f t="shared" ref="CC722:CS722" si="396">CC721</f>
        <v>0</v>
      </c>
      <c r="CD722" s="769">
        <f t="shared" si="396"/>
        <v>0</v>
      </c>
      <c r="CE722" s="769">
        <f t="shared" si="396"/>
        <v>1205244680</v>
      </c>
      <c r="CF722" s="769">
        <f t="shared" si="396"/>
        <v>1105179249.1900001</v>
      </c>
      <c r="CG722" s="769">
        <f t="shared" si="396"/>
        <v>1105179249.1900001</v>
      </c>
      <c r="CH722" s="769">
        <f t="shared" si="396"/>
        <v>274756584</v>
      </c>
      <c r="CI722" s="769">
        <f t="shared" si="396"/>
        <v>224609014</v>
      </c>
      <c r="CJ722" s="769">
        <f t="shared" si="396"/>
        <v>224609014</v>
      </c>
      <c r="CK722" s="769">
        <f t="shared" si="396"/>
        <v>217830072</v>
      </c>
      <c r="CL722" s="769">
        <f t="shared" si="396"/>
        <v>217800026.55999997</v>
      </c>
      <c r="CM722" s="769">
        <f t="shared" si="396"/>
        <v>217800026.55999991</v>
      </c>
      <c r="CN722" s="769">
        <f t="shared" si="396"/>
        <v>0</v>
      </c>
      <c r="CO722" s="769">
        <f t="shared" si="396"/>
        <v>0</v>
      </c>
      <c r="CP722" s="769">
        <f t="shared" si="396"/>
        <v>0</v>
      </c>
      <c r="CQ722" s="769">
        <f t="shared" si="396"/>
        <v>0</v>
      </c>
      <c r="CR722" s="769">
        <f t="shared" si="396"/>
        <v>0</v>
      </c>
      <c r="CS722" s="769">
        <f t="shared" si="396"/>
        <v>0</v>
      </c>
      <c r="CT722" s="1002">
        <f>CT721</f>
        <v>2443063429.8099999</v>
      </c>
      <c r="CU722" s="1002">
        <f>CU721</f>
        <v>2254792348.5599999</v>
      </c>
      <c r="CV722" s="1002">
        <f>CV721</f>
        <v>2248267708.3699999</v>
      </c>
    </row>
    <row r="723" spans="1:100" s="227" customFormat="1" ht="34.5" customHeight="1" x14ac:dyDescent="0.25">
      <c r="A723" s="562"/>
      <c r="B723" s="562"/>
      <c r="C723" s="532"/>
      <c r="D723" s="562"/>
      <c r="E723" s="562"/>
      <c r="F723" s="562"/>
      <c r="G723" s="562"/>
      <c r="H723" s="532"/>
      <c r="I723" s="562"/>
      <c r="J723" s="562"/>
      <c r="K723" s="562"/>
      <c r="L723" s="562"/>
      <c r="M723" s="562"/>
      <c r="N723" s="533"/>
      <c r="O723" s="562"/>
      <c r="P723" s="562"/>
      <c r="Q723" s="562"/>
      <c r="R723" s="562"/>
      <c r="S723" s="562"/>
      <c r="T723" s="562"/>
      <c r="U723" s="562"/>
      <c r="V723" s="562"/>
      <c r="W723" s="562"/>
      <c r="X723" s="562"/>
      <c r="Y723" s="562"/>
      <c r="Z723" s="562"/>
      <c r="AA723" s="562"/>
      <c r="AB723" s="562"/>
      <c r="AC723" s="562"/>
      <c r="AD723" s="562"/>
      <c r="AE723" s="562"/>
      <c r="AF723" s="562"/>
      <c r="AG723" s="562"/>
      <c r="AH723" s="562"/>
      <c r="AI723" s="562"/>
      <c r="AJ723" s="562"/>
      <c r="AK723" s="562"/>
      <c r="AL723" s="562"/>
      <c r="AM723" s="562"/>
      <c r="AN723" s="562"/>
      <c r="AO723" s="562"/>
      <c r="AP723" s="562"/>
      <c r="AQ723" s="562"/>
      <c r="AR723" s="562"/>
      <c r="AS723" s="562"/>
      <c r="AT723" s="562"/>
      <c r="AU723" s="562"/>
      <c r="AV723" s="562"/>
      <c r="AW723" s="562"/>
      <c r="AX723" s="562"/>
      <c r="AY723" s="562"/>
      <c r="AZ723" s="562"/>
      <c r="BA723" s="562"/>
      <c r="BB723" s="562"/>
      <c r="BC723" s="562"/>
      <c r="BD723" s="562"/>
      <c r="BE723" s="562"/>
      <c r="BF723" s="562"/>
      <c r="BG723" s="562"/>
      <c r="BH723" s="562"/>
      <c r="BI723" s="562"/>
      <c r="BJ723" s="562"/>
      <c r="BK723" s="562"/>
      <c r="BL723" s="562"/>
      <c r="BM723" s="562"/>
      <c r="BN723" s="562"/>
      <c r="BO723" s="562"/>
      <c r="BP723" s="562"/>
      <c r="BQ723" s="562"/>
      <c r="BR723" s="562"/>
      <c r="BS723" s="562"/>
      <c r="BT723" s="562"/>
      <c r="BU723" s="562"/>
      <c r="BV723" s="562"/>
      <c r="BW723" s="562"/>
      <c r="BX723" s="562"/>
      <c r="BY723" s="562"/>
      <c r="BZ723" s="562"/>
      <c r="CA723" s="562"/>
      <c r="CB723" s="562"/>
      <c r="CC723" s="562"/>
      <c r="CD723" s="562"/>
      <c r="CE723" s="563"/>
      <c r="CF723" s="563"/>
      <c r="CG723" s="563"/>
      <c r="CH723" s="562"/>
      <c r="CI723" s="562"/>
      <c r="CJ723" s="562"/>
      <c r="CK723" s="562"/>
      <c r="CL723" s="562"/>
      <c r="CM723" s="562"/>
      <c r="CN723" s="562"/>
      <c r="CO723" s="562"/>
      <c r="CP723" s="562"/>
      <c r="CQ723" s="562"/>
      <c r="CR723" s="562"/>
      <c r="CS723" s="562"/>
      <c r="CT723" s="770"/>
      <c r="CU723" s="771"/>
      <c r="CV723" s="771"/>
    </row>
    <row r="724" spans="1:100" ht="20.25" x14ac:dyDescent="0.25">
      <c r="A724" s="564" t="s">
        <v>867</v>
      </c>
      <c r="B724" s="564"/>
      <c r="C724" s="565"/>
      <c r="D724" s="564"/>
      <c r="E724" s="564"/>
      <c r="F724" s="564"/>
      <c r="G724" s="135"/>
      <c r="H724" s="136"/>
      <c r="I724" s="135"/>
      <c r="J724" s="135"/>
      <c r="K724" s="135"/>
      <c r="L724" s="135"/>
      <c r="M724" s="135"/>
      <c r="N724" s="675"/>
      <c r="O724" s="135"/>
      <c r="P724" s="136"/>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35"/>
      <c r="BN724" s="135"/>
      <c r="BO724" s="135"/>
      <c r="BP724" s="135"/>
      <c r="BQ724" s="135"/>
      <c r="BR724" s="135"/>
      <c r="BS724" s="135"/>
      <c r="BT724" s="135"/>
      <c r="BU724" s="135"/>
      <c r="BV724" s="135"/>
      <c r="BW724" s="135"/>
      <c r="BX724" s="135"/>
      <c r="BY724" s="135"/>
      <c r="BZ724" s="135"/>
      <c r="CA724" s="135"/>
      <c r="CB724" s="135"/>
      <c r="CC724" s="135"/>
      <c r="CD724" s="135"/>
      <c r="CE724" s="137"/>
      <c r="CF724" s="137"/>
      <c r="CG724" s="137"/>
      <c r="CH724" s="138"/>
      <c r="CI724" s="138"/>
      <c r="CJ724" s="138"/>
      <c r="CK724" s="135"/>
      <c r="CL724" s="135"/>
      <c r="CM724" s="135"/>
      <c r="CN724" s="135"/>
      <c r="CO724" s="135"/>
      <c r="CP724" s="135"/>
      <c r="CQ724" s="135"/>
      <c r="CR724" s="135"/>
      <c r="CS724" s="135"/>
      <c r="CT724" s="566"/>
      <c r="CU724" s="566"/>
      <c r="CV724" s="566"/>
    </row>
    <row r="725" spans="1:100" ht="15" x14ac:dyDescent="0.25">
      <c r="A725" s="962">
        <v>2</v>
      </c>
      <c r="B725" s="1051" t="s">
        <v>113</v>
      </c>
      <c r="C725" s="1051"/>
      <c r="D725" s="1051"/>
      <c r="E725" s="1051"/>
      <c r="F725" s="364"/>
      <c r="G725" s="567"/>
      <c r="H725" s="568"/>
      <c r="I725" s="567"/>
      <c r="J725" s="567"/>
      <c r="K725" s="567"/>
      <c r="L725" s="567"/>
      <c r="M725" s="567"/>
      <c r="N725" s="688"/>
      <c r="O725" s="567"/>
      <c r="P725" s="567"/>
      <c r="Q725" s="567"/>
      <c r="R725" s="567"/>
      <c r="S725" s="567"/>
      <c r="T725" s="567"/>
      <c r="U725" s="567"/>
      <c r="V725" s="567"/>
      <c r="W725" s="567"/>
      <c r="X725" s="567"/>
      <c r="Y725" s="567"/>
      <c r="Z725" s="567"/>
      <c r="AA725" s="567"/>
      <c r="AB725" s="567"/>
      <c r="AC725" s="567"/>
      <c r="AD725" s="567"/>
      <c r="AE725" s="567"/>
      <c r="AF725" s="567"/>
      <c r="AG725" s="567"/>
      <c r="AH725" s="567"/>
      <c r="AI725" s="567"/>
      <c r="AJ725" s="567"/>
      <c r="AK725" s="567"/>
      <c r="AL725" s="567"/>
      <c r="AM725" s="567"/>
      <c r="AN725" s="567"/>
      <c r="AO725" s="567"/>
      <c r="AP725" s="567"/>
      <c r="AQ725" s="567"/>
      <c r="AR725" s="567"/>
      <c r="AS725" s="567"/>
      <c r="AT725" s="567"/>
      <c r="AU725" s="567"/>
      <c r="AV725" s="567"/>
      <c r="AW725" s="567"/>
      <c r="AX725" s="567"/>
      <c r="AY725" s="567"/>
      <c r="AZ725" s="567"/>
      <c r="BA725" s="567"/>
      <c r="BB725" s="567"/>
      <c r="BC725" s="567"/>
      <c r="BD725" s="567"/>
      <c r="BE725" s="567"/>
      <c r="BF725" s="567"/>
      <c r="BG725" s="567"/>
      <c r="BH725" s="567"/>
      <c r="BI725" s="567"/>
      <c r="BJ725" s="567"/>
      <c r="BK725" s="567"/>
      <c r="BL725" s="567"/>
      <c r="BM725" s="567"/>
      <c r="BN725" s="567"/>
      <c r="BO725" s="567"/>
      <c r="BP725" s="567"/>
      <c r="BQ725" s="567"/>
      <c r="BR725" s="567"/>
      <c r="BS725" s="567"/>
      <c r="BT725" s="567"/>
      <c r="BU725" s="567"/>
      <c r="BV725" s="567"/>
      <c r="BW725" s="567"/>
      <c r="BX725" s="567"/>
      <c r="BY725" s="567"/>
      <c r="BZ725" s="567"/>
      <c r="CA725" s="567"/>
      <c r="CB725" s="567"/>
      <c r="CC725" s="567"/>
      <c r="CD725" s="567"/>
      <c r="CE725" s="569"/>
      <c r="CF725" s="569"/>
      <c r="CG725" s="569"/>
      <c r="CH725" s="567"/>
      <c r="CI725" s="567"/>
      <c r="CJ725" s="567"/>
      <c r="CK725" s="567"/>
      <c r="CL725" s="567"/>
      <c r="CM725" s="567"/>
      <c r="CN725" s="567"/>
      <c r="CO725" s="567"/>
      <c r="CP725" s="567"/>
      <c r="CQ725" s="567"/>
      <c r="CR725" s="567"/>
      <c r="CS725" s="567"/>
      <c r="CT725" s="364"/>
      <c r="CU725" s="364"/>
      <c r="CV725" s="364"/>
    </row>
    <row r="726" spans="1:100" ht="15" x14ac:dyDescent="0.25">
      <c r="A726" s="570"/>
      <c r="B726" s="262">
        <v>4</v>
      </c>
      <c r="C726" s="1052" t="s">
        <v>114</v>
      </c>
      <c r="D726" s="1052"/>
      <c r="E726" s="1052"/>
      <c r="F726" s="1052"/>
      <c r="G726" s="571"/>
      <c r="H726" s="572"/>
      <c r="I726" s="571"/>
      <c r="J726" s="571"/>
      <c r="K726" s="571"/>
      <c r="L726" s="571"/>
      <c r="M726" s="571"/>
      <c r="N726" s="205"/>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1"/>
      <c r="AY726" s="571"/>
      <c r="AZ726" s="571"/>
      <c r="BA726" s="571"/>
      <c r="BB726" s="571"/>
      <c r="BC726" s="571"/>
      <c r="BD726" s="571"/>
      <c r="BE726" s="571"/>
      <c r="BF726" s="571"/>
      <c r="BG726" s="571"/>
      <c r="BH726" s="571"/>
      <c r="BI726" s="571"/>
      <c r="BJ726" s="571"/>
      <c r="BK726" s="571"/>
      <c r="BL726" s="571"/>
      <c r="BM726" s="571"/>
      <c r="BN726" s="571"/>
      <c r="BO726" s="571"/>
      <c r="BP726" s="571"/>
      <c r="BQ726" s="571"/>
      <c r="BR726" s="571"/>
      <c r="BS726" s="571"/>
      <c r="BT726" s="571"/>
      <c r="BU726" s="571"/>
      <c r="BV726" s="571"/>
      <c r="BW726" s="571"/>
      <c r="BX726" s="571"/>
      <c r="BY726" s="571"/>
      <c r="BZ726" s="571"/>
      <c r="CA726" s="571"/>
      <c r="CB726" s="571"/>
      <c r="CC726" s="571"/>
      <c r="CD726" s="571"/>
      <c r="CE726" s="573"/>
      <c r="CF726" s="573"/>
      <c r="CG726" s="573"/>
      <c r="CH726" s="571"/>
      <c r="CI726" s="571"/>
      <c r="CJ726" s="571"/>
      <c r="CK726" s="571"/>
      <c r="CL726" s="571"/>
      <c r="CM726" s="571"/>
      <c r="CN726" s="571"/>
      <c r="CO726" s="571"/>
      <c r="CP726" s="571"/>
      <c r="CQ726" s="571"/>
      <c r="CR726" s="571"/>
      <c r="CS726" s="571"/>
      <c r="CT726" s="574"/>
      <c r="CU726" s="574"/>
      <c r="CV726" s="574"/>
    </row>
    <row r="727" spans="1:100" s="27" customFormat="1" ht="15" x14ac:dyDescent="0.25">
      <c r="A727" s="464"/>
      <c r="B727" s="464"/>
      <c r="C727" s="961"/>
      <c r="D727" s="464"/>
      <c r="E727" s="464"/>
      <c r="F727" s="464"/>
      <c r="G727" s="339">
        <v>14</v>
      </c>
      <c r="H727" s="189" t="s">
        <v>115</v>
      </c>
      <c r="I727" s="189"/>
      <c r="J727" s="189"/>
      <c r="K727" s="189"/>
      <c r="L727" s="189"/>
      <c r="M727" s="189"/>
      <c r="N727" s="678"/>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c r="BD727" s="189"/>
      <c r="BE727" s="189"/>
      <c r="BF727" s="189"/>
      <c r="BG727" s="189"/>
      <c r="BH727" s="189"/>
      <c r="BI727" s="189"/>
      <c r="BJ727" s="189"/>
      <c r="BK727" s="189"/>
      <c r="BL727" s="189"/>
      <c r="BM727" s="189"/>
      <c r="BN727" s="189"/>
      <c r="BO727" s="189"/>
      <c r="BP727" s="189"/>
      <c r="BQ727" s="189"/>
      <c r="BR727" s="189"/>
      <c r="BS727" s="189"/>
      <c r="BT727" s="189"/>
      <c r="BU727" s="189"/>
      <c r="BV727" s="189"/>
      <c r="BW727" s="189"/>
      <c r="BX727" s="189"/>
      <c r="BY727" s="189"/>
      <c r="BZ727" s="189"/>
      <c r="CA727" s="189"/>
      <c r="CB727" s="189"/>
      <c r="CC727" s="189"/>
      <c r="CD727" s="189"/>
      <c r="CE727" s="190"/>
      <c r="CF727" s="190"/>
      <c r="CG727" s="190"/>
      <c r="CH727" s="189"/>
      <c r="CI727" s="189"/>
      <c r="CJ727" s="189"/>
      <c r="CK727" s="189"/>
      <c r="CL727" s="189"/>
      <c r="CM727" s="189"/>
      <c r="CN727" s="189"/>
      <c r="CO727" s="189"/>
      <c r="CP727" s="189"/>
      <c r="CQ727" s="189"/>
      <c r="CR727" s="189"/>
      <c r="CS727" s="189"/>
      <c r="CT727" s="522"/>
      <c r="CU727" s="522"/>
      <c r="CV727" s="522"/>
    </row>
    <row r="728" spans="1:100" s="27" customFormat="1" ht="93.75" customHeight="1" x14ac:dyDescent="0.25">
      <c r="A728" s="625"/>
      <c r="B728" s="625"/>
      <c r="C728" s="695">
        <v>7</v>
      </c>
      <c r="D728" s="696" t="s">
        <v>868</v>
      </c>
      <c r="E728" s="626">
        <v>0.317</v>
      </c>
      <c r="F728" s="627">
        <v>0.27</v>
      </c>
      <c r="G728" s="100"/>
      <c r="H728" s="628">
        <v>54</v>
      </c>
      <c r="I728" s="696" t="s">
        <v>117</v>
      </c>
      <c r="J728" s="629">
        <v>129.85</v>
      </c>
      <c r="K728" s="629">
        <v>0.5</v>
      </c>
      <c r="L728" s="629">
        <v>0.5</v>
      </c>
      <c r="M728" s="629" t="s">
        <v>869</v>
      </c>
      <c r="N728" s="969" t="s">
        <v>870</v>
      </c>
      <c r="O728" s="630" t="s">
        <v>871</v>
      </c>
      <c r="P728" s="695" t="s">
        <v>38</v>
      </c>
      <c r="Q728" s="631"/>
      <c r="R728" s="80"/>
      <c r="S728" s="80"/>
      <c r="T728" s="631"/>
      <c r="U728" s="80"/>
      <c r="V728" s="80"/>
      <c r="W728" s="631"/>
      <c r="X728" s="80"/>
      <c r="Y728" s="80"/>
      <c r="Z728" s="631"/>
      <c r="AA728" s="80"/>
      <c r="AB728" s="80"/>
      <c r="AC728" s="631"/>
      <c r="AD728" s="711"/>
      <c r="AE728" s="711"/>
      <c r="AF728" s="633"/>
      <c r="AG728" s="712"/>
      <c r="AH728" s="712"/>
      <c r="AI728" s="631"/>
      <c r="AJ728" s="80"/>
      <c r="AK728" s="80"/>
      <c r="AL728" s="631"/>
      <c r="AM728" s="80"/>
      <c r="AN728" s="80"/>
      <c r="AO728" s="631"/>
      <c r="AP728" s="80"/>
      <c r="AQ728" s="80"/>
      <c r="AR728" s="631"/>
      <c r="AS728" s="80"/>
      <c r="AT728" s="80"/>
      <c r="AU728" s="631"/>
      <c r="AV728" s="80"/>
      <c r="AW728" s="80"/>
      <c r="AX728" s="631"/>
      <c r="AY728" s="80"/>
      <c r="AZ728" s="80"/>
      <c r="BA728" s="631"/>
      <c r="BB728" s="80"/>
      <c r="BC728" s="80"/>
      <c r="BD728" s="631"/>
      <c r="BE728" s="80"/>
      <c r="BF728" s="80"/>
      <c r="BG728" s="631"/>
      <c r="BH728" s="80"/>
      <c r="BI728" s="80"/>
      <c r="BJ728" s="631"/>
      <c r="BK728" s="80"/>
      <c r="BL728" s="80"/>
      <c r="BM728" s="631"/>
      <c r="BN728" s="80"/>
      <c r="BO728" s="80"/>
      <c r="BP728" s="631"/>
      <c r="BQ728" s="80"/>
      <c r="BR728" s="80"/>
      <c r="BS728" s="631"/>
      <c r="BT728" s="80"/>
      <c r="BU728" s="80"/>
      <c r="BV728" s="631"/>
      <c r="BW728" s="80"/>
      <c r="BX728" s="80"/>
      <c r="BY728" s="631"/>
      <c r="BZ728" s="80"/>
      <c r="CA728" s="80"/>
      <c r="CB728" s="631"/>
      <c r="CC728" s="80"/>
      <c r="CD728" s="80"/>
      <c r="CE728" s="634">
        <v>0</v>
      </c>
      <c r="CF728" s="115"/>
      <c r="CG728" s="115"/>
      <c r="CH728" s="635"/>
      <c r="CI728" s="82"/>
      <c r="CJ728" s="82"/>
      <c r="CK728" s="974">
        <f>264000000-104149220+55000000</f>
        <v>214850780</v>
      </c>
      <c r="CL728" s="975">
        <v>214850780</v>
      </c>
      <c r="CM728" s="975">
        <v>214850780</v>
      </c>
      <c r="CN728" s="632"/>
      <c r="CO728" s="711"/>
      <c r="CP728" s="711"/>
      <c r="CQ728" s="632"/>
      <c r="CR728" s="711"/>
      <c r="CS728" s="711"/>
      <c r="CT728" s="25">
        <f>Q728+T728+W728+Z728+AC728+AF728+AI728+AL728+AO728+AR728+AU728+AX728+BA728+BD728+BG728+BJ728+BM728+BP728+BS728+BV728+BY728+CB728+CE728+CH728+CK728+CQ728+CN728</f>
        <v>214850780</v>
      </c>
      <c r="CU728" s="25">
        <f>R728+U728+X728+AA728+AD728+AG728+AJ728+AM728+AP728+AS728+AV728+AY728+BB728+BE728+BH728+BK728+BN728+BQ728+BT728+BW728+BZ728+CC728+CF728+CI728+CL728+CR728+CO728</f>
        <v>214850780</v>
      </c>
      <c r="CV728" s="25">
        <f>S728+V728+Y728+AB728+AE728+AH728+AK728+AN728+AQ728+AT728+AW728+AZ728+BC728+BF728+BI728+BL728+BO728+BR728+BU728+BX728+CA728+CD728+CG728+CJ728+CM728+CS728+CP728</f>
        <v>214850780</v>
      </c>
    </row>
    <row r="729" spans="1:100" s="27" customFormat="1" ht="15" x14ac:dyDescent="0.25">
      <c r="A729" s="617"/>
      <c r="B729" s="617"/>
      <c r="C729" s="123"/>
      <c r="D729" s="11"/>
      <c r="E729" s="618"/>
      <c r="F729" s="619"/>
      <c r="G729" s="641"/>
      <c r="H729" s="620"/>
      <c r="I729" s="621"/>
      <c r="J729" s="622"/>
      <c r="K729" s="622"/>
      <c r="L729" s="622"/>
      <c r="M729" s="622"/>
      <c r="N729" s="642"/>
      <c r="O729" s="623"/>
      <c r="P729" s="624"/>
      <c r="Q729" s="124">
        <f t="shared" ref="Q729:CB729" si="397">Q728</f>
        <v>0</v>
      </c>
      <c r="R729" s="124">
        <f t="shared" si="397"/>
        <v>0</v>
      </c>
      <c r="S729" s="124">
        <f t="shared" si="397"/>
        <v>0</v>
      </c>
      <c r="T729" s="124">
        <f t="shared" si="397"/>
        <v>0</v>
      </c>
      <c r="U729" s="124">
        <f t="shared" si="397"/>
        <v>0</v>
      </c>
      <c r="V729" s="124">
        <f t="shared" si="397"/>
        <v>0</v>
      </c>
      <c r="W729" s="124">
        <f t="shared" si="397"/>
        <v>0</v>
      </c>
      <c r="X729" s="124">
        <f t="shared" si="397"/>
        <v>0</v>
      </c>
      <c r="Y729" s="124">
        <f t="shared" si="397"/>
        <v>0</v>
      </c>
      <c r="Z729" s="124">
        <f t="shared" si="397"/>
        <v>0</v>
      </c>
      <c r="AA729" s="124">
        <f t="shared" si="397"/>
        <v>0</v>
      </c>
      <c r="AB729" s="124">
        <f t="shared" si="397"/>
        <v>0</v>
      </c>
      <c r="AC729" s="124">
        <f t="shared" si="397"/>
        <v>0</v>
      </c>
      <c r="AD729" s="124">
        <f t="shared" si="397"/>
        <v>0</v>
      </c>
      <c r="AE729" s="124">
        <f t="shared" si="397"/>
        <v>0</v>
      </c>
      <c r="AF729" s="124">
        <f t="shared" si="397"/>
        <v>0</v>
      </c>
      <c r="AG729" s="124">
        <f t="shared" si="397"/>
        <v>0</v>
      </c>
      <c r="AH729" s="124">
        <f t="shared" si="397"/>
        <v>0</v>
      </c>
      <c r="AI729" s="124">
        <f t="shared" si="397"/>
        <v>0</v>
      </c>
      <c r="AJ729" s="124">
        <f t="shared" si="397"/>
        <v>0</v>
      </c>
      <c r="AK729" s="124">
        <f t="shared" si="397"/>
        <v>0</v>
      </c>
      <c r="AL729" s="124">
        <f t="shared" si="397"/>
        <v>0</v>
      </c>
      <c r="AM729" s="124">
        <f t="shared" si="397"/>
        <v>0</v>
      </c>
      <c r="AN729" s="124">
        <f t="shared" si="397"/>
        <v>0</v>
      </c>
      <c r="AO729" s="124">
        <f t="shared" si="397"/>
        <v>0</v>
      </c>
      <c r="AP729" s="124">
        <f t="shared" si="397"/>
        <v>0</v>
      </c>
      <c r="AQ729" s="124">
        <f t="shared" si="397"/>
        <v>0</v>
      </c>
      <c r="AR729" s="124">
        <f t="shared" si="397"/>
        <v>0</v>
      </c>
      <c r="AS729" s="124">
        <f t="shared" si="397"/>
        <v>0</v>
      </c>
      <c r="AT729" s="124">
        <f t="shared" si="397"/>
        <v>0</v>
      </c>
      <c r="AU729" s="124">
        <f t="shared" si="397"/>
        <v>0</v>
      </c>
      <c r="AV729" s="124">
        <f t="shared" si="397"/>
        <v>0</v>
      </c>
      <c r="AW729" s="124">
        <f t="shared" si="397"/>
        <v>0</v>
      </c>
      <c r="AX729" s="124">
        <f t="shared" si="397"/>
        <v>0</v>
      </c>
      <c r="AY729" s="124">
        <f t="shared" si="397"/>
        <v>0</v>
      </c>
      <c r="AZ729" s="124">
        <f t="shared" si="397"/>
        <v>0</v>
      </c>
      <c r="BA729" s="124">
        <f t="shared" si="397"/>
        <v>0</v>
      </c>
      <c r="BB729" s="124">
        <f t="shared" si="397"/>
        <v>0</v>
      </c>
      <c r="BC729" s="124">
        <f t="shared" si="397"/>
        <v>0</v>
      </c>
      <c r="BD729" s="124">
        <f t="shared" si="397"/>
        <v>0</v>
      </c>
      <c r="BE729" s="124">
        <f t="shared" si="397"/>
        <v>0</v>
      </c>
      <c r="BF729" s="124">
        <f t="shared" si="397"/>
        <v>0</v>
      </c>
      <c r="BG729" s="124">
        <f t="shared" si="397"/>
        <v>0</v>
      </c>
      <c r="BH729" s="124">
        <f t="shared" si="397"/>
        <v>0</v>
      </c>
      <c r="BI729" s="124">
        <f t="shared" si="397"/>
        <v>0</v>
      </c>
      <c r="BJ729" s="124">
        <f t="shared" si="397"/>
        <v>0</v>
      </c>
      <c r="BK729" s="124">
        <f t="shared" si="397"/>
        <v>0</v>
      </c>
      <c r="BL729" s="124">
        <f t="shared" si="397"/>
        <v>0</v>
      </c>
      <c r="BM729" s="124">
        <f t="shared" si="397"/>
        <v>0</v>
      </c>
      <c r="BN729" s="124">
        <f t="shared" si="397"/>
        <v>0</v>
      </c>
      <c r="BO729" s="124">
        <f t="shared" si="397"/>
        <v>0</v>
      </c>
      <c r="BP729" s="124">
        <f t="shared" si="397"/>
        <v>0</v>
      </c>
      <c r="BQ729" s="124">
        <f t="shared" si="397"/>
        <v>0</v>
      </c>
      <c r="BR729" s="124">
        <f t="shared" si="397"/>
        <v>0</v>
      </c>
      <c r="BS729" s="124">
        <f t="shared" si="397"/>
        <v>0</v>
      </c>
      <c r="BT729" s="124">
        <f t="shared" si="397"/>
        <v>0</v>
      </c>
      <c r="BU729" s="124">
        <f t="shared" si="397"/>
        <v>0</v>
      </c>
      <c r="BV729" s="124">
        <f t="shared" si="397"/>
        <v>0</v>
      </c>
      <c r="BW729" s="124">
        <f t="shared" si="397"/>
        <v>0</v>
      </c>
      <c r="BX729" s="124">
        <f t="shared" si="397"/>
        <v>0</v>
      </c>
      <c r="BY729" s="124">
        <f t="shared" si="397"/>
        <v>0</v>
      </c>
      <c r="BZ729" s="124">
        <f t="shared" si="397"/>
        <v>0</v>
      </c>
      <c r="CA729" s="124">
        <f t="shared" si="397"/>
        <v>0</v>
      </c>
      <c r="CB729" s="124">
        <f t="shared" si="397"/>
        <v>0</v>
      </c>
      <c r="CC729" s="124">
        <f t="shared" ref="CC729:CS729" si="398">CC728</f>
        <v>0</v>
      </c>
      <c r="CD729" s="124">
        <f t="shared" si="398"/>
        <v>0</v>
      </c>
      <c r="CE729" s="124">
        <f t="shared" si="398"/>
        <v>0</v>
      </c>
      <c r="CF729" s="124">
        <f t="shared" si="398"/>
        <v>0</v>
      </c>
      <c r="CG729" s="124">
        <f t="shared" si="398"/>
        <v>0</v>
      </c>
      <c r="CH729" s="124">
        <f t="shared" si="398"/>
        <v>0</v>
      </c>
      <c r="CI729" s="124">
        <f t="shared" si="398"/>
        <v>0</v>
      </c>
      <c r="CJ729" s="124">
        <f t="shared" si="398"/>
        <v>0</v>
      </c>
      <c r="CK729" s="124">
        <f t="shared" si="398"/>
        <v>214850780</v>
      </c>
      <c r="CL729" s="124">
        <f t="shared" si="398"/>
        <v>214850780</v>
      </c>
      <c r="CM729" s="124">
        <f t="shared" si="398"/>
        <v>214850780</v>
      </c>
      <c r="CN729" s="124">
        <f t="shared" si="398"/>
        <v>0</v>
      </c>
      <c r="CO729" s="124">
        <f t="shared" si="398"/>
        <v>0</v>
      </c>
      <c r="CP729" s="124">
        <f t="shared" si="398"/>
        <v>0</v>
      </c>
      <c r="CQ729" s="124">
        <f t="shared" si="398"/>
        <v>0</v>
      </c>
      <c r="CR729" s="124">
        <f t="shared" si="398"/>
        <v>0</v>
      </c>
      <c r="CS729" s="124">
        <f t="shared" si="398"/>
        <v>0</v>
      </c>
      <c r="CT729" s="124">
        <f>CT728</f>
        <v>214850780</v>
      </c>
      <c r="CU729" s="124">
        <f>CU728</f>
        <v>214850780</v>
      </c>
      <c r="CV729" s="124">
        <f>CV728</f>
        <v>214850780</v>
      </c>
    </row>
    <row r="730" spans="1:100" s="27" customFormat="1" ht="16.5" x14ac:dyDescent="0.25">
      <c r="A730" s="152"/>
      <c r="B730" s="152"/>
      <c r="C730" s="916"/>
      <c r="D730" s="919"/>
      <c r="E730" s="934"/>
      <c r="F730" s="937"/>
      <c r="G730" s="100"/>
      <c r="H730" s="636"/>
      <c r="I730" s="414"/>
      <c r="J730" s="637"/>
      <c r="K730" s="637"/>
      <c r="L730" s="637"/>
      <c r="M730" s="637"/>
      <c r="N730" s="638"/>
      <c r="O730" s="639"/>
      <c r="P730" s="931"/>
      <c r="Q730" s="277"/>
      <c r="R730" s="277"/>
      <c r="S730" s="277"/>
      <c r="T730" s="277"/>
      <c r="U730" s="277"/>
      <c r="V730" s="277"/>
      <c r="W730" s="277"/>
      <c r="X730" s="277"/>
      <c r="Y730" s="277"/>
      <c r="Z730" s="277"/>
      <c r="AA730" s="277"/>
      <c r="AB730" s="277"/>
      <c r="AC730" s="277"/>
      <c r="AD730" s="277"/>
      <c r="AE730" s="277"/>
      <c r="AF730" s="640"/>
      <c r="AG730" s="640"/>
      <c r="AH730" s="640"/>
      <c r="AI730" s="277"/>
      <c r="AJ730" s="277"/>
      <c r="AK730" s="277"/>
      <c r="AL730" s="277"/>
      <c r="AM730" s="277"/>
      <c r="AN730" s="277"/>
      <c r="AO730" s="277"/>
      <c r="AP730" s="277"/>
      <c r="AQ730" s="277"/>
      <c r="AR730" s="277"/>
      <c r="AS730" s="277"/>
      <c r="AT730" s="277"/>
      <c r="AU730" s="277"/>
      <c r="AV730" s="277"/>
      <c r="AW730" s="277"/>
      <c r="AX730" s="277"/>
      <c r="AY730" s="277"/>
      <c r="AZ730" s="277"/>
      <c r="BA730" s="277"/>
      <c r="BB730" s="277"/>
      <c r="BC730" s="277"/>
      <c r="BD730" s="277"/>
      <c r="BE730" s="277"/>
      <c r="BF730" s="277"/>
      <c r="BG730" s="277"/>
      <c r="BH730" s="277"/>
      <c r="BI730" s="277"/>
      <c r="BJ730" s="277"/>
      <c r="BK730" s="277"/>
      <c r="BL730" s="277"/>
      <c r="BM730" s="277"/>
      <c r="BN730" s="277"/>
      <c r="BO730" s="277"/>
      <c r="BP730" s="277"/>
      <c r="BQ730" s="277"/>
      <c r="BR730" s="277"/>
      <c r="BS730" s="277"/>
      <c r="BT730" s="277"/>
      <c r="BU730" s="277"/>
      <c r="BV730" s="277"/>
      <c r="BW730" s="277"/>
      <c r="BX730" s="277"/>
      <c r="BY730" s="277"/>
      <c r="BZ730" s="277"/>
      <c r="CA730" s="277"/>
      <c r="CB730" s="277"/>
      <c r="CC730" s="277"/>
      <c r="CD730" s="277"/>
      <c r="CE730" s="278"/>
      <c r="CF730" s="278"/>
      <c r="CG730" s="278"/>
      <c r="CH730" s="281"/>
      <c r="CI730" s="287"/>
      <c r="CJ730" s="287"/>
      <c r="CK730" s="976"/>
      <c r="CL730" s="976"/>
      <c r="CM730" s="976"/>
      <c r="CN730" s="277"/>
      <c r="CO730" s="277"/>
      <c r="CP730" s="277"/>
      <c r="CQ730" s="277"/>
      <c r="CR730" s="277"/>
      <c r="CS730" s="277"/>
      <c r="CT730" s="25"/>
      <c r="CU730" s="25"/>
      <c r="CV730" s="25"/>
    </row>
    <row r="731" spans="1:100" s="27" customFormat="1" ht="15" x14ac:dyDescent="0.25">
      <c r="A731" s="464"/>
      <c r="B731" s="464"/>
      <c r="C731" s="929"/>
      <c r="D731" s="86"/>
      <c r="E731" s="86"/>
      <c r="F731" s="86"/>
      <c r="G731" s="339">
        <v>15</v>
      </c>
      <c r="H731" s="189" t="s">
        <v>123</v>
      </c>
      <c r="I731" s="189"/>
      <c r="J731" s="189"/>
      <c r="K731" s="189"/>
      <c r="L731" s="189"/>
      <c r="M731" s="189"/>
      <c r="N731" s="678"/>
      <c r="O731" s="189"/>
      <c r="P731" s="189"/>
      <c r="Q731" s="241">
        <f>SUM(Q728)</f>
        <v>0</v>
      </c>
      <c r="R731" s="241"/>
      <c r="S731" s="241"/>
      <c r="T731" s="241">
        <f>SUM(T728)</f>
        <v>0</v>
      </c>
      <c r="U731" s="241"/>
      <c r="V731" s="241"/>
      <c r="W731" s="241">
        <f>SUM(W728)</f>
        <v>0</v>
      </c>
      <c r="X731" s="241"/>
      <c r="Y731" s="241"/>
      <c r="Z731" s="241">
        <f>SUM(Z728)</f>
        <v>0</v>
      </c>
      <c r="AA731" s="241"/>
      <c r="AB731" s="241"/>
      <c r="AC731" s="241">
        <f>SUM(AC728)</f>
        <v>0</v>
      </c>
      <c r="AD731" s="241"/>
      <c r="AE731" s="241"/>
      <c r="AF731" s="241">
        <f>SUM(AF728)</f>
        <v>0</v>
      </c>
      <c r="AG731" s="241"/>
      <c r="AH731" s="241"/>
      <c r="AI731" s="241">
        <f>SUM(AI728)</f>
        <v>0</v>
      </c>
      <c r="AJ731" s="241"/>
      <c r="AK731" s="241"/>
      <c r="AL731" s="241">
        <f>SUM(AL728)</f>
        <v>0</v>
      </c>
      <c r="AM731" s="241"/>
      <c r="AN731" s="241"/>
      <c r="AO731" s="241">
        <f>SUM(AO728)</f>
        <v>0</v>
      </c>
      <c r="AP731" s="241"/>
      <c r="AQ731" s="241"/>
      <c r="AR731" s="241">
        <f>SUM(AR728)</f>
        <v>0</v>
      </c>
      <c r="AS731" s="241"/>
      <c r="AT731" s="241"/>
      <c r="AU731" s="241">
        <f>SUM(AU728)</f>
        <v>0</v>
      </c>
      <c r="AV731" s="241"/>
      <c r="AW731" s="241"/>
      <c r="AX731" s="241">
        <f>SUM(AX728)</f>
        <v>0</v>
      </c>
      <c r="AY731" s="241"/>
      <c r="AZ731" s="241"/>
      <c r="BA731" s="241">
        <f>SUM(BA728)</f>
        <v>0</v>
      </c>
      <c r="BB731" s="241"/>
      <c r="BC731" s="241"/>
      <c r="BD731" s="241">
        <f>SUM(BD728)</f>
        <v>0</v>
      </c>
      <c r="BE731" s="241"/>
      <c r="BF731" s="241"/>
      <c r="BG731" s="241">
        <f>SUM(BG728)</f>
        <v>0</v>
      </c>
      <c r="BH731" s="241"/>
      <c r="BI731" s="241"/>
      <c r="BJ731" s="241">
        <f>SUM(BJ728)</f>
        <v>0</v>
      </c>
      <c r="BK731" s="241"/>
      <c r="BL731" s="241"/>
      <c r="BM731" s="241"/>
      <c r="BN731" s="241"/>
      <c r="BO731" s="241"/>
      <c r="BP731" s="241">
        <f>SUM(BP728)</f>
        <v>0</v>
      </c>
      <c r="BQ731" s="241"/>
      <c r="BR731" s="241"/>
      <c r="BS731" s="241">
        <f>SUM(BS728)</f>
        <v>0</v>
      </c>
      <c r="BT731" s="241"/>
      <c r="BU731" s="241"/>
      <c r="BV731" s="241">
        <f>SUM(BV728)</f>
        <v>0</v>
      </c>
      <c r="BW731" s="241"/>
      <c r="BX731" s="241"/>
      <c r="BY731" s="241">
        <f>SUM(BY728)</f>
        <v>0</v>
      </c>
      <c r="BZ731" s="241"/>
      <c r="CA731" s="241"/>
      <c r="CB731" s="241">
        <f>SUM(CB728)</f>
        <v>0</v>
      </c>
      <c r="CC731" s="241"/>
      <c r="CD731" s="241"/>
      <c r="CE731" s="190">
        <f>SUM(CE728)</f>
        <v>0</v>
      </c>
      <c r="CF731" s="190"/>
      <c r="CG731" s="190"/>
      <c r="CH731" s="241"/>
      <c r="CI731" s="241"/>
      <c r="CJ731" s="241"/>
      <c r="CK731" s="241"/>
      <c r="CL731" s="241"/>
      <c r="CM731" s="241"/>
      <c r="CN731" s="241">
        <f>SUM(CN728)</f>
        <v>0</v>
      </c>
      <c r="CO731" s="241"/>
      <c r="CP731" s="241"/>
      <c r="CQ731" s="241">
        <f>SUM(CQ728)</f>
        <v>0</v>
      </c>
      <c r="CR731" s="241"/>
      <c r="CS731" s="241"/>
      <c r="CT731" s="772"/>
      <c r="CU731" s="772"/>
      <c r="CV731" s="772"/>
    </row>
    <row r="732" spans="1:100" s="27" customFormat="1" ht="98.25" customHeight="1" x14ac:dyDescent="0.25">
      <c r="A732" s="464"/>
      <c r="B732" s="464"/>
      <c r="C732" s="929">
        <v>7</v>
      </c>
      <c r="D732" s="928" t="s">
        <v>868</v>
      </c>
      <c r="E732" s="83">
        <v>0.317</v>
      </c>
      <c r="F732" s="79">
        <v>0.27</v>
      </c>
      <c r="G732" s="100"/>
      <c r="H732" s="929">
        <v>59</v>
      </c>
      <c r="I732" s="928" t="s">
        <v>130</v>
      </c>
      <c r="J732" s="10">
        <v>82</v>
      </c>
      <c r="K732" s="7">
        <v>12</v>
      </c>
      <c r="L732" s="7">
        <v>23</v>
      </c>
      <c r="M732" s="1014" t="s">
        <v>126</v>
      </c>
      <c r="N732" s="1029" t="s">
        <v>870</v>
      </c>
      <c r="O732" s="1053" t="s">
        <v>871</v>
      </c>
      <c r="P732" s="4" t="s">
        <v>34</v>
      </c>
      <c r="Q732" s="250">
        <v>0</v>
      </c>
      <c r="R732" s="250"/>
      <c r="S732" s="250"/>
      <c r="T732" s="250">
        <v>0</v>
      </c>
      <c r="U732" s="250"/>
      <c r="V732" s="250"/>
      <c r="W732" s="977">
        <f>350000000+181666666+117391386</f>
        <v>649058052</v>
      </c>
      <c r="X732" s="977">
        <v>649058052</v>
      </c>
      <c r="Y732" s="977">
        <v>649058052</v>
      </c>
      <c r="Z732" s="250">
        <v>0</v>
      </c>
      <c r="AA732" s="250"/>
      <c r="AB732" s="250"/>
      <c r="AC732" s="250">
        <v>0</v>
      </c>
      <c r="AD732" s="250"/>
      <c r="AE732" s="250"/>
      <c r="AF732" s="250">
        <v>0</v>
      </c>
      <c r="AG732" s="250"/>
      <c r="AH732" s="250"/>
      <c r="AI732" s="250">
        <v>0</v>
      </c>
      <c r="AJ732" s="250"/>
      <c r="AK732" s="250"/>
      <c r="AL732" s="250"/>
      <c r="AM732" s="250"/>
      <c r="AN732" s="250"/>
      <c r="AO732" s="250"/>
      <c r="AP732" s="250"/>
      <c r="AQ732" s="250"/>
      <c r="AR732" s="250"/>
      <c r="AS732" s="250"/>
      <c r="AT732" s="250"/>
      <c r="AU732" s="250">
        <v>0</v>
      </c>
      <c r="AV732" s="250"/>
      <c r="AW732" s="250"/>
      <c r="AX732" s="250"/>
      <c r="AY732" s="250"/>
      <c r="AZ732" s="250"/>
      <c r="BA732" s="250">
        <v>0</v>
      </c>
      <c r="BB732" s="250"/>
      <c r="BC732" s="250"/>
      <c r="BD732" s="250">
        <v>0</v>
      </c>
      <c r="BE732" s="250"/>
      <c r="BF732" s="250"/>
      <c r="BG732" s="250"/>
      <c r="BH732" s="250"/>
      <c r="BI732" s="250"/>
      <c r="BJ732" s="250"/>
      <c r="BK732" s="250"/>
      <c r="BL732" s="250"/>
      <c r="BM732" s="250"/>
      <c r="BN732" s="250"/>
      <c r="BO732" s="250"/>
      <c r="BP732" s="250"/>
      <c r="BQ732" s="250"/>
      <c r="BR732" s="250"/>
      <c r="BS732" s="250"/>
      <c r="BT732" s="250"/>
      <c r="BU732" s="250"/>
      <c r="BV732" s="250"/>
      <c r="BW732" s="250"/>
      <c r="BX732" s="250"/>
      <c r="BY732" s="250">
        <v>0</v>
      </c>
      <c r="BZ732" s="250"/>
      <c r="CA732" s="250"/>
      <c r="CB732" s="250">
        <v>0</v>
      </c>
      <c r="CC732" s="250"/>
      <c r="CD732" s="250"/>
      <c r="CE732" s="114">
        <v>0</v>
      </c>
      <c r="CF732" s="114"/>
      <c r="CG732" s="114"/>
      <c r="CH732" s="328"/>
      <c r="CI732" s="328"/>
      <c r="CJ732" s="328"/>
      <c r="CK732" s="977">
        <f>70000000-35149220</f>
        <v>34850780</v>
      </c>
      <c r="CL732" s="978">
        <v>34850780</v>
      </c>
      <c r="CM732" s="978">
        <v>34850780</v>
      </c>
      <c r="CN732" s="470">
        <v>0</v>
      </c>
      <c r="CO732" s="470"/>
      <c r="CP732" s="470"/>
      <c r="CQ732" s="470"/>
      <c r="CR732" s="470"/>
      <c r="CS732" s="470"/>
      <c r="CT732" s="25">
        <f t="shared" ref="CT732:CV735" si="399">Q732+T732+W732+Z732+AC732+AF732+AI732+AL732+AO732+AR732+AU732+AX732+BA732+BD732+BG732+BJ732+BM732+BP732+BS732+BV732+BY732+CB732+CE732+CH732+CK732+CQ732+CN732</f>
        <v>683908832</v>
      </c>
      <c r="CU732" s="25">
        <f t="shared" si="399"/>
        <v>683908832</v>
      </c>
      <c r="CV732" s="25">
        <f t="shared" si="399"/>
        <v>683908832</v>
      </c>
    </row>
    <row r="733" spans="1:100" s="27" customFormat="1" ht="111" customHeight="1" x14ac:dyDescent="0.25">
      <c r="A733" s="464"/>
      <c r="B733" s="464"/>
      <c r="C733" s="929">
        <v>7</v>
      </c>
      <c r="D733" s="928" t="s">
        <v>868</v>
      </c>
      <c r="E733" s="83">
        <v>0.317</v>
      </c>
      <c r="F733" s="79">
        <v>0.27</v>
      </c>
      <c r="G733" s="100"/>
      <c r="H733" s="929">
        <v>57</v>
      </c>
      <c r="I733" s="928" t="s">
        <v>125</v>
      </c>
      <c r="J733" s="10">
        <v>103</v>
      </c>
      <c r="K733" s="20">
        <v>12</v>
      </c>
      <c r="L733" s="20">
        <v>18</v>
      </c>
      <c r="M733" s="1015"/>
      <c r="N733" s="1030"/>
      <c r="O733" s="1054"/>
      <c r="P733" s="4" t="s">
        <v>34</v>
      </c>
      <c r="Q733" s="250"/>
      <c r="R733" s="250"/>
      <c r="S733" s="250"/>
      <c r="T733" s="250"/>
      <c r="U733" s="250"/>
      <c r="V733" s="250"/>
      <c r="W733" s="977">
        <v>670045268</v>
      </c>
      <c r="X733" s="977">
        <v>649058053</v>
      </c>
      <c r="Y733" s="977">
        <v>649058053</v>
      </c>
      <c r="Z733" s="250"/>
      <c r="AA733" s="250"/>
      <c r="AB733" s="250"/>
      <c r="AC733" s="250"/>
      <c r="AD733" s="250"/>
      <c r="AE733" s="250"/>
      <c r="AF733" s="250"/>
      <c r="AG733" s="250"/>
      <c r="AH733" s="250"/>
      <c r="AI733" s="250"/>
      <c r="AJ733" s="250"/>
      <c r="AK733" s="250"/>
      <c r="AL733" s="250"/>
      <c r="AM733" s="250"/>
      <c r="AN733" s="250"/>
      <c r="AO733" s="250"/>
      <c r="AP733" s="250"/>
      <c r="AQ733" s="250"/>
      <c r="AR733" s="250"/>
      <c r="AS733" s="250"/>
      <c r="AT733" s="250"/>
      <c r="AU733" s="250"/>
      <c r="AV733" s="250"/>
      <c r="AW733" s="250"/>
      <c r="AX733" s="250"/>
      <c r="AY733" s="250"/>
      <c r="AZ733" s="250"/>
      <c r="BA733" s="250"/>
      <c r="BB733" s="250"/>
      <c r="BC733" s="250"/>
      <c r="BD733" s="250"/>
      <c r="BE733" s="250"/>
      <c r="BF733" s="250"/>
      <c r="BG733" s="250"/>
      <c r="BH733" s="250"/>
      <c r="BI733" s="250"/>
      <c r="BJ733" s="250"/>
      <c r="BK733" s="250"/>
      <c r="BL733" s="250"/>
      <c r="BM733" s="250"/>
      <c r="BN733" s="250"/>
      <c r="BO733" s="250"/>
      <c r="BP733" s="250"/>
      <c r="BQ733" s="250"/>
      <c r="BR733" s="250"/>
      <c r="BS733" s="250"/>
      <c r="BT733" s="250"/>
      <c r="BU733" s="250"/>
      <c r="BV733" s="250"/>
      <c r="BW733" s="250"/>
      <c r="BX733" s="250"/>
      <c r="BY733" s="250"/>
      <c r="BZ733" s="250"/>
      <c r="CA733" s="250"/>
      <c r="CB733" s="250"/>
      <c r="CC733" s="250"/>
      <c r="CD733" s="250"/>
      <c r="CE733" s="114"/>
      <c r="CF733" s="114"/>
      <c r="CG733" s="114"/>
      <c r="CH733" s="328"/>
      <c r="CI733" s="328"/>
      <c r="CJ733" s="328"/>
      <c r="CK733" s="977">
        <f>70000000-35149220</f>
        <v>34850780</v>
      </c>
      <c r="CL733" s="978">
        <v>34850780</v>
      </c>
      <c r="CM733" s="978">
        <v>34850780</v>
      </c>
      <c r="CN733" s="575"/>
      <c r="CO733" s="575"/>
      <c r="CP733" s="575"/>
      <c r="CQ733" s="575"/>
      <c r="CR733" s="575"/>
      <c r="CS733" s="575"/>
      <c r="CT733" s="25">
        <f t="shared" si="399"/>
        <v>704896048</v>
      </c>
      <c r="CU733" s="25">
        <f t="shared" si="399"/>
        <v>683908833</v>
      </c>
      <c r="CV733" s="25">
        <f t="shared" si="399"/>
        <v>683908833</v>
      </c>
    </row>
    <row r="734" spans="1:100" ht="115.5" customHeight="1" x14ac:dyDescent="0.25">
      <c r="A734" s="464"/>
      <c r="B734" s="464"/>
      <c r="C734" s="929">
        <v>7</v>
      </c>
      <c r="D734" s="928" t="s">
        <v>868</v>
      </c>
      <c r="E734" s="83">
        <v>0.317</v>
      </c>
      <c r="F734" s="79">
        <v>0.27</v>
      </c>
      <c r="G734" s="100"/>
      <c r="H734" s="929">
        <v>60</v>
      </c>
      <c r="I734" s="928" t="s">
        <v>916</v>
      </c>
      <c r="J734" s="10">
        <v>9</v>
      </c>
      <c r="K734" s="20">
        <v>12</v>
      </c>
      <c r="L734" s="20">
        <v>41</v>
      </c>
      <c r="M734" s="1015"/>
      <c r="N734" s="1030"/>
      <c r="O734" s="1054"/>
      <c r="P734" s="4" t="s">
        <v>34</v>
      </c>
      <c r="Q734" s="250">
        <v>0</v>
      </c>
      <c r="R734" s="250"/>
      <c r="S734" s="250"/>
      <c r="T734" s="250">
        <v>0</v>
      </c>
      <c r="U734" s="250"/>
      <c r="V734" s="250"/>
      <c r="W734" s="977">
        <f>100000000-100000000</f>
        <v>0</v>
      </c>
      <c r="X734" s="977"/>
      <c r="Y734" s="977"/>
      <c r="Z734" s="250">
        <v>0</v>
      </c>
      <c r="AA734" s="250"/>
      <c r="AB734" s="250"/>
      <c r="AC734" s="250">
        <v>0</v>
      </c>
      <c r="AD734" s="250"/>
      <c r="AE734" s="250"/>
      <c r="AF734" s="250">
        <v>0</v>
      </c>
      <c r="AG734" s="250"/>
      <c r="AH734" s="250"/>
      <c r="AI734" s="250">
        <v>0</v>
      </c>
      <c r="AJ734" s="250"/>
      <c r="AK734" s="250"/>
      <c r="AL734" s="250"/>
      <c r="AM734" s="250"/>
      <c r="AN734" s="250"/>
      <c r="AO734" s="250"/>
      <c r="AP734" s="250"/>
      <c r="AQ734" s="250"/>
      <c r="AR734" s="250"/>
      <c r="AS734" s="250"/>
      <c r="AT734" s="250"/>
      <c r="AU734" s="250">
        <v>0</v>
      </c>
      <c r="AV734" s="250"/>
      <c r="AW734" s="250"/>
      <c r="AX734" s="250"/>
      <c r="AY734" s="250"/>
      <c r="AZ734" s="250"/>
      <c r="BA734" s="250">
        <v>0</v>
      </c>
      <c r="BB734" s="250"/>
      <c r="BC734" s="250"/>
      <c r="BD734" s="250">
        <v>0</v>
      </c>
      <c r="BE734" s="250"/>
      <c r="BF734" s="250"/>
      <c r="BG734" s="250"/>
      <c r="BH734" s="250"/>
      <c r="BI734" s="250"/>
      <c r="BJ734" s="250"/>
      <c r="BK734" s="250"/>
      <c r="BL734" s="250"/>
      <c r="BM734" s="250"/>
      <c r="BN734" s="250"/>
      <c r="BO734" s="250"/>
      <c r="BP734" s="250"/>
      <c r="BQ734" s="250"/>
      <c r="BR734" s="250"/>
      <c r="BS734" s="250"/>
      <c r="BT734" s="250"/>
      <c r="BU734" s="250"/>
      <c r="BV734" s="250"/>
      <c r="BW734" s="250"/>
      <c r="BX734" s="250"/>
      <c r="BY734" s="250">
        <v>0</v>
      </c>
      <c r="BZ734" s="250"/>
      <c r="CA734" s="250"/>
      <c r="CB734" s="250">
        <v>0</v>
      </c>
      <c r="CC734" s="250"/>
      <c r="CD734" s="250"/>
      <c r="CE734" s="114"/>
      <c r="CF734" s="114"/>
      <c r="CG734" s="114"/>
      <c r="CH734" s="328"/>
      <c r="CI734" s="328"/>
      <c r="CJ734" s="328"/>
      <c r="CK734" s="25">
        <v>464767887</v>
      </c>
      <c r="CL734" s="26">
        <v>314767887</v>
      </c>
      <c r="CM734" s="26">
        <v>314767887</v>
      </c>
      <c r="CN734" s="470">
        <v>0</v>
      </c>
      <c r="CO734" s="470"/>
      <c r="CP734" s="470"/>
      <c r="CQ734" s="470"/>
      <c r="CR734" s="470"/>
      <c r="CS734" s="470"/>
      <c r="CT734" s="25">
        <f t="shared" si="399"/>
        <v>464767887</v>
      </c>
      <c r="CU734" s="25">
        <f t="shared" si="399"/>
        <v>314767887</v>
      </c>
      <c r="CV734" s="25">
        <f t="shared" si="399"/>
        <v>314767887</v>
      </c>
    </row>
    <row r="735" spans="1:100" ht="65.25" customHeight="1" thickBot="1" x14ac:dyDescent="0.3">
      <c r="A735" s="464"/>
      <c r="B735" s="464"/>
      <c r="C735" s="929">
        <v>7</v>
      </c>
      <c r="D735" s="928" t="s">
        <v>868</v>
      </c>
      <c r="E735" s="83">
        <v>0.317</v>
      </c>
      <c r="F735" s="79">
        <v>0.27</v>
      </c>
      <c r="G735" s="100"/>
      <c r="H735" s="929">
        <v>63</v>
      </c>
      <c r="I735" s="5" t="s">
        <v>133</v>
      </c>
      <c r="J735" s="10" t="s">
        <v>30</v>
      </c>
      <c r="K735" s="20">
        <v>250</v>
      </c>
      <c r="L735" s="20">
        <v>363</v>
      </c>
      <c r="M735" s="1016"/>
      <c r="N735" s="1031"/>
      <c r="O735" s="1055"/>
      <c r="P735" s="4" t="s">
        <v>34</v>
      </c>
      <c r="Q735" s="250"/>
      <c r="R735" s="250"/>
      <c r="S735" s="250"/>
      <c r="T735" s="250"/>
      <c r="U735" s="250"/>
      <c r="V735" s="250"/>
      <c r="W735" s="25">
        <f>695000000-213333332+117391386</f>
        <v>599058054</v>
      </c>
      <c r="X735" s="25">
        <v>595169473.50999999</v>
      </c>
      <c r="Y735" s="25">
        <v>595169473.50999999</v>
      </c>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0"/>
      <c r="AY735" s="250"/>
      <c r="AZ735" s="250"/>
      <c r="BA735" s="250"/>
      <c r="BB735" s="250"/>
      <c r="BC735" s="250"/>
      <c r="BD735" s="250"/>
      <c r="BE735" s="250"/>
      <c r="BF735" s="250"/>
      <c r="BG735" s="250"/>
      <c r="BH735" s="250"/>
      <c r="BI735" s="250"/>
      <c r="BJ735" s="250"/>
      <c r="BK735" s="250"/>
      <c r="BL735" s="250"/>
      <c r="BM735" s="250"/>
      <c r="BN735" s="250"/>
      <c r="BO735" s="250"/>
      <c r="BP735" s="250"/>
      <c r="BQ735" s="250"/>
      <c r="BR735" s="250"/>
      <c r="BS735" s="250"/>
      <c r="BT735" s="250"/>
      <c r="BU735" s="250"/>
      <c r="BV735" s="250"/>
      <c r="BW735" s="250"/>
      <c r="BX735" s="250"/>
      <c r="BY735" s="250"/>
      <c r="BZ735" s="250"/>
      <c r="CA735" s="250"/>
      <c r="CB735" s="250"/>
      <c r="CC735" s="552"/>
      <c r="CD735" s="552"/>
      <c r="CE735" s="576"/>
      <c r="CF735" s="721"/>
      <c r="CG735" s="721"/>
      <c r="CH735" s="577"/>
      <c r="CI735" s="577"/>
      <c r="CJ735" s="577"/>
      <c r="CK735" s="25">
        <f>180253900-80403120</f>
        <v>99850780</v>
      </c>
      <c r="CL735" s="26">
        <v>99850780</v>
      </c>
      <c r="CM735" s="26">
        <v>99850780</v>
      </c>
      <c r="CN735" s="470"/>
      <c r="CO735" s="470"/>
      <c r="CP735" s="470"/>
      <c r="CQ735" s="470"/>
      <c r="CR735" s="470"/>
      <c r="CS735" s="470"/>
      <c r="CT735" s="25">
        <f t="shared" si="399"/>
        <v>698908834</v>
      </c>
      <c r="CU735" s="25">
        <f t="shared" si="399"/>
        <v>695020253.50999999</v>
      </c>
      <c r="CV735" s="25">
        <f t="shared" si="399"/>
        <v>695020253.50999999</v>
      </c>
    </row>
    <row r="736" spans="1:100" ht="15" x14ac:dyDescent="0.25">
      <c r="A736" s="570"/>
      <c r="B736" s="464"/>
      <c r="C736" s="929"/>
      <c r="D736" s="928"/>
      <c r="E736" s="929"/>
      <c r="F736" s="929"/>
      <c r="G736" s="409"/>
      <c r="H736" s="155"/>
      <c r="I736" s="154"/>
      <c r="J736" s="249"/>
      <c r="K736" s="249"/>
      <c r="L736" s="249"/>
      <c r="M736" s="249"/>
      <c r="N736" s="157"/>
      <c r="O736" s="154"/>
      <c r="P736" s="155"/>
      <c r="Q736" s="158">
        <f t="shared" ref="Q736:W736" si="400">SUM(Q732:Q735)</f>
        <v>0</v>
      </c>
      <c r="R736" s="158"/>
      <c r="S736" s="158"/>
      <c r="T736" s="158">
        <f t="shared" si="400"/>
        <v>0</v>
      </c>
      <c r="U736" s="158"/>
      <c r="V736" s="158"/>
      <c r="W736" s="158">
        <f t="shared" si="400"/>
        <v>1918161374</v>
      </c>
      <c r="X736" s="158">
        <f t="shared" ref="X736:CI736" si="401">SUM(X732:X735)</f>
        <v>1893285578.51</v>
      </c>
      <c r="Y736" s="158">
        <f t="shared" si="401"/>
        <v>1893285578.51</v>
      </c>
      <c r="Z736" s="158">
        <f t="shared" si="401"/>
        <v>0</v>
      </c>
      <c r="AA736" s="158">
        <f t="shared" si="401"/>
        <v>0</v>
      </c>
      <c r="AB736" s="158">
        <f t="shared" si="401"/>
        <v>0</v>
      </c>
      <c r="AC736" s="158">
        <f t="shared" si="401"/>
        <v>0</v>
      </c>
      <c r="AD736" s="158">
        <f t="shared" si="401"/>
        <v>0</v>
      </c>
      <c r="AE736" s="158">
        <f t="shared" si="401"/>
        <v>0</v>
      </c>
      <c r="AF736" s="158">
        <f t="shared" si="401"/>
        <v>0</v>
      </c>
      <c r="AG736" s="158">
        <f t="shared" si="401"/>
        <v>0</v>
      </c>
      <c r="AH736" s="158">
        <f t="shared" si="401"/>
        <v>0</v>
      </c>
      <c r="AI736" s="158">
        <f t="shared" si="401"/>
        <v>0</v>
      </c>
      <c r="AJ736" s="158">
        <f t="shared" si="401"/>
        <v>0</v>
      </c>
      <c r="AK736" s="158">
        <f t="shared" si="401"/>
        <v>0</v>
      </c>
      <c r="AL736" s="158">
        <f t="shared" si="401"/>
        <v>0</v>
      </c>
      <c r="AM736" s="158">
        <f t="shared" si="401"/>
        <v>0</v>
      </c>
      <c r="AN736" s="158">
        <f t="shared" si="401"/>
        <v>0</v>
      </c>
      <c r="AO736" s="158">
        <f t="shared" si="401"/>
        <v>0</v>
      </c>
      <c r="AP736" s="158">
        <f t="shared" si="401"/>
        <v>0</v>
      </c>
      <c r="AQ736" s="158">
        <f t="shared" si="401"/>
        <v>0</v>
      </c>
      <c r="AR736" s="158">
        <f t="shared" si="401"/>
        <v>0</v>
      </c>
      <c r="AS736" s="158">
        <f t="shared" si="401"/>
        <v>0</v>
      </c>
      <c r="AT736" s="158">
        <f t="shared" si="401"/>
        <v>0</v>
      </c>
      <c r="AU736" s="158">
        <f t="shared" si="401"/>
        <v>0</v>
      </c>
      <c r="AV736" s="158">
        <f t="shared" si="401"/>
        <v>0</v>
      </c>
      <c r="AW736" s="158">
        <f t="shared" si="401"/>
        <v>0</v>
      </c>
      <c r="AX736" s="158">
        <f t="shared" si="401"/>
        <v>0</v>
      </c>
      <c r="AY736" s="158">
        <f t="shared" si="401"/>
        <v>0</v>
      </c>
      <c r="AZ736" s="158">
        <f t="shared" si="401"/>
        <v>0</v>
      </c>
      <c r="BA736" s="158">
        <f t="shared" si="401"/>
        <v>0</v>
      </c>
      <c r="BB736" s="158">
        <f t="shared" si="401"/>
        <v>0</v>
      </c>
      <c r="BC736" s="158">
        <f t="shared" si="401"/>
        <v>0</v>
      </c>
      <c r="BD736" s="158">
        <f t="shared" si="401"/>
        <v>0</v>
      </c>
      <c r="BE736" s="158">
        <f t="shared" si="401"/>
        <v>0</v>
      </c>
      <c r="BF736" s="158">
        <f t="shared" si="401"/>
        <v>0</v>
      </c>
      <c r="BG736" s="158">
        <f t="shared" si="401"/>
        <v>0</v>
      </c>
      <c r="BH736" s="158">
        <f t="shared" si="401"/>
        <v>0</v>
      </c>
      <c r="BI736" s="158">
        <f t="shared" si="401"/>
        <v>0</v>
      </c>
      <c r="BJ736" s="158">
        <f t="shared" si="401"/>
        <v>0</v>
      </c>
      <c r="BK736" s="158">
        <f t="shared" si="401"/>
        <v>0</v>
      </c>
      <c r="BL736" s="158">
        <f t="shared" si="401"/>
        <v>0</v>
      </c>
      <c r="BM736" s="158">
        <f t="shared" si="401"/>
        <v>0</v>
      </c>
      <c r="BN736" s="158">
        <f t="shared" si="401"/>
        <v>0</v>
      </c>
      <c r="BO736" s="158">
        <f t="shared" si="401"/>
        <v>0</v>
      </c>
      <c r="BP736" s="158">
        <f t="shared" si="401"/>
        <v>0</v>
      </c>
      <c r="BQ736" s="158">
        <f t="shared" si="401"/>
        <v>0</v>
      </c>
      <c r="BR736" s="158">
        <f t="shared" si="401"/>
        <v>0</v>
      </c>
      <c r="BS736" s="158">
        <f t="shared" si="401"/>
        <v>0</v>
      </c>
      <c r="BT736" s="158">
        <f t="shared" si="401"/>
        <v>0</v>
      </c>
      <c r="BU736" s="158">
        <f t="shared" si="401"/>
        <v>0</v>
      </c>
      <c r="BV736" s="158">
        <f t="shared" si="401"/>
        <v>0</v>
      </c>
      <c r="BW736" s="158">
        <f t="shared" si="401"/>
        <v>0</v>
      </c>
      <c r="BX736" s="158">
        <f t="shared" si="401"/>
        <v>0</v>
      </c>
      <c r="BY736" s="158">
        <f t="shared" si="401"/>
        <v>0</v>
      </c>
      <c r="BZ736" s="158">
        <f t="shared" si="401"/>
        <v>0</v>
      </c>
      <c r="CA736" s="158">
        <f t="shared" si="401"/>
        <v>0</v>
      </c>
      <c r="CB736" s="158">
        <f t="shared" si="401"/>
        <v>0</v>
      </c>
      <c r="CC736" s="158">
        <f t="shared" si="401"/>
        <v>0</v>
      </c>
      <c r="CD736" s="158">
        <f t="shared" si="401"/>
        <v>0</v>
      </c>
      <c r="CE736" s="158">
        <f t="shared" si="401"/>
        <v>0</v>
      </c>
      <c r="CF736" s="158">
        <f t="shared" si="401"/>
        <v>0</v>
      </c>
      <c r="CG736" s="158">
        <f t="shared" si="401"/>
        <v>0</v>
      </c>
      <c r="CH736" s="158">
        <f t="shared" si="401"/>
        <v>0</v>
      </c>
      <c r="CI736" s="158">
        <f t="shared" si="401"/>
        <v>0</v>
      </c>
      <c r="CJ736" s="158">
        <f t="shared" ref="CJ736:CS736" si="402">SUM(CJ732:CJ735)</f>
        <v>0</v>
      </c>
      <c r="CK736" s="158">
        <f t="shared" si="402"/>
        <v>634320227</v>
      </c>
      <c r="CL736" s="158">
        <f t="shared" si="402"/>
        <v>484320227</v>
      </c>
      <c r="CM736" s="158">
        <f t="shared" si="402"/>
        <v>484320227</v>
      </c>
      <c r="CN736" s="158">
        <f t="shared" si="402"/>
        <v>0</v>
      </c>
      <c r="CO736" s="158">
        <f t="shared" si="402"/>
        <v>0</v>
      </c>
      <c r="CP736" s="158">
        <f t="shared" si="402"/>
        <v>0</v>
      </c>
      <c r="CQ736" s="158">
        <f t="shared" si="402"/>
        <v>0</v>
      </c>
      <c r="CR736" s="158">
        <f t="shared" si="402"/>
        <v>0</v>
      </c>
      <c r="CS736" s="158">
        <f t="shared" si="402"/>
        <v>0</v>
      </c>
      <c r="CT736" s="158">
        <f>SUM(CT732:CT735)</f>
        <v>2552481601</v>
      </c>
      <c r="CU736" s="158">
        <f>SUM(CU732:CU735)</f>
        <v>2377605805.5100002</v>
      </c>
      <c r="CV736" s="158">
        <f>SUM(CV732:CV735)</f>
        <v>2377605805.5100002</v>
      </c>
    </row>
    <row r="737" spans="1:100" ht="15" x14ac:dyDescent="0.25">
      <c r="A737" s="570"/>
      <c r="B737" s="161"/>
      <c r="C737" s="162"/>
      <c r="D737" s="161"/>
      <c r="E737" s="162"/>
      <c r="F737" s="162"/>
      <c r="G737" s="216"/>
      <c r="H737" s="162"/>
      <c r="I737" s="161"/>
      <c r="J737" s="257"/>
      <c r="K737" s="257"/>
      <c r="L737" s="257"/>
      <c r="M737" s="257"/>
      <c r="N737" s="164"/>
      <c r="O737" s="161"/>
      <c r="P737" s="162"/>
      <c r="Q737" s="165">
        <f t="shared" ref="Q737:T739" si="403">Q736</f>
        <v>0</v>
      </c>
      <c r="R737" s="165"/>
      <c r="S737" s="165"/>
      <c r="T737" s="165">
        <f t="shared" si="403"/>
        <v>0</v>
      </c>
      <c r="U737" s="165"/>
      <c r="V737" s="165"/>
      <c r="W737" s="165">
        <f>W736+W729</f>
        <v>1918161374</v>
      </c>
      <c r="X737" s="165">
        <f t="shared" ref="X737:CI737" si="404">X736+X729</f>
        <v>1893285578.51</v>
      </c>
      <c r="Y737" s="165">
        <f t="shared" si="404"/>
        <v>1893285578.51</v>
      </c>
      <c r="Z737" s="165">
        <f t="shared" si="404"/>
        <v>0</v>
      </c>
      <c r="AA737" s="165">
        <f t="shared" si="404"/>
        <v>0</v>
      </c>
      <c r="AB737" s="165">
        <f t="shared" si="404"/>
        <v>0</v>
      </c>
      <c r="AC737" s="165">
        <f t="shared" si="404"/>
        <v>0</v>
      </c>
      <c r="AD737" s="165">
        <f t="shared" si="404"/>
        <v>0</v>
      </c>
      <c r="AE737" s="165">
        <f t="shared" si="404"/>
        <v>0</v>
      </c>
      <c r="AF737" s="165">
        <f t="shared" si="404"/>
        <v>0</v>
      </c>
      <c r="AG737" s="165">
        <f t="shared" si="404"/>
        <v>0</v>
      </c>
      <c r="AH737" s="165">
        <f t="shared" si="404"/>
        <v>0</v>
      </c>
      <c r="AI737" s="165">
        <f t="shared" si="404"/>
        <v>0</v>
      </c>
      <c r="AJ737" s="165">
        <f t="shared" si="404"/>
        <v>0</v>
      </c>
      <c r="AK737" s="165">
        <f t="shared" si="404"/>
        <v>0</v>
      </c>
      <c r="AL737" s="165">
        <f t="shared" si="404"/>
        <v>0</v>
      </c>
      <c r="AM737" s="165">
        <f t="shared" si="404"/>
        <v>0</v>
      </c>
      <c r="AN737" s="165">
        <f t="shared" si="404"/>
        <v>0</v>
      </c>
      <c r="AO737" s="165">
        <f t="shared" si="404"/>
        <v>0</v>
      </c>
      <c r="AP737" s="165">
        <f t="shared" si="404"/>
        <v>0</v>
      </c>
      <c r="AQ737" s="165">
        <f t="shared" si="404"/>
        <v>0</v>
      </c>
      <c r="AR737" s="165">
        <f t="shared" si="404"/>
        <v>0</v>
      </c>
      <c r="AS737" s="165">
        <f t="shared" si="404"/>
        <v>0</v>
      </c>
      <c r="AT737" s="165">
        <f t="shared" si="404"/>
        <v>0</v>
      </c>
      <c r="AU737" s="165">
        <f t="shared" si="404"/>
        <v>0</v>
      </c>
      <c r="AV737" s="165">
        <f t="shared" si="404"/>
        <v>0</v>
      </c>
      <c r="AW737" s="165">
        <f t="shared" si="404"/>
        <v>0</v>
      </c>
      <c r="AX737" s="165">
        <f t="shared" si="404"/>
        <v>0</v>
      </c>
      <c r="AY737" s="165">
        <f t="shared" si="404"/>
        <v>0</v>
      </c>
      <c r="AZ737" s="165">
        <f t="shared" si="404"/>
        <v>0</v>
      </c>
      <c r="BA737" s="165">
        <f t="shared" si="404"/>
        <v>0</v>
      </c>
      <c r="BB737" s="165">
        <f t="shared" si="404"/>
        <v>0</v>
      </c>
      <c r="BC737" s="165">
        <f t="shared" si="404"/>
        <v>0</v>
      </c>
      <c r="BD737" s="165">
        <f t="shared" si="404"/>
        <v>0</v>
      </c>
      <c r="BE737" s="165">
        <f t="shared" si="404"/>
        <v>0</v>
      </c>
      <c r="BF737" s="165">
        <f t="shared" si="404"/>
        <v>0</v>
      </c>
      <c r="BG737" s="165">
        <f t="shared" si="404"/>
        <v>0</v>
      </c>
      <c r="BH737" s="165">
        <f t="shared" si="404"/>
        <v>0</v>
      </c>
      <c r="BI737" s="165">
        <f t="shared" si="404"/>
        <v>0</v>
      </c>
      <c r="BJ737" s="165">
        <f t="shared" si="404"/>
        <v>0</v>
      </c>
      <c r="BK737" s="165">
        <f t="shared" si="404"/>
        <v>0</v>
      </c>
      <c r="BL737" s="165">
        <f t="shared" si="404"/>
        <v>0</v>
      </c>
      <c r="BM737" s="165">
        <f t="shared" si="404"/>
        <v>0</v>
      </c>
      <c r="BN737" s="165">
        <f t="shared" si="404"/>
        <v>0</v>
      </c>
      <c r="BO737" s="165">
        <f t="shared" si="404"/>
        <v>0</v>
      </c>
      <c r="BP737" s="165">
        <f t="shared" si="404"/>
        <v>0</v>
      </c>
      <c r="BQ737" s="165">
        <f t="shared" si="404"/>
        <v>0</v>
      </c>
      <c r="BR737" s="165">
        <f t="shared" si="404"/>
        <v>0</v>
      </c>
      <c r="BS737" s="165">
        <f t="shared" si="404"/>
        <v>0</v>
      </c>
      <c r="BT737" s="165">
        <f t="shared" si="404"/>
        <v>0</v>
      </c>
      <c r="BU737" s="165">
        <f t="shared" si="404"/>
        <v>0</v>
      </c>
      <c r="BV737" s="165">
        <f t="shared" si="404"/>
        <v>0</v>
      </c>
      <c r="BW737" s="165">
        <f t="shared" si="404"/>
        <v>0</v>
      </c>
      <c r="BX737" s="165">
        <f t="shared" si="404"/>
        <v>0</v>
      </c>
      <c r="BY737" s="165">
        <f t="shared" si="404"/>
        <v>0</v>
      </c>
      <c r="BZ737" s="165">
        <f t="shared" si="404"/>
        <v>0</v>
      </c>
      <c r="CA737" s="165">
        <f t="shared" si="404"/>
        <v>0</v>
      </c>
      <c r="CB737" s="165">
        <f t="shared" si="404"/>
        <v>0</v>
      </c>
      <c r="CC737" s="165">
        <f t="shared" si="404"/>
        <v>0</v>
      </c>
      <c r="CD737" s="165">
        <f t="shared" si="404"/>
        <v>0</v>
      </c>
      <c r="CE737" s="165">
        <f t="shared" si="404"/>
        <v>0</v>
      </c>
      <c r="CF737" s="165">
        <f t="shared" si="404"/>
        <v>0</v>
      </c>
      <c r="CG737" s="165">
        <f t="shared" si="404"/>
        <v>0</v>
      </c>
      <c r="CH737" s="165">
        <f t="shared" si="404"/>
        <v>0</v>
      </c>
      <c r="CI737" s="165">
        <f t="shared" si="404"/>
        <v>0</v>
      </c>
      <c r="CJ737" s="165">
        <f t="shared" ref="CJ737:CS737" si="405">CJ736+CJ729</f>
        <v>0</v>
      </c>
      <c r="CK737" s="165">
        <f t="shared" si="405"/>
        <v>849171007</v>
      </c>
      <c r="CL737" s="165">
        <f t="shared" si="405"/>
        <v>699171007</v>
      </c>
      <c r="CM737" s="165">
        <f t="shared" si="405"/>
        <v>699171007</v>
      </c>
      <c r="CN737" s="165">
        <f t="shared" si="405"/>
        <v>0</v>
      </c>
      <c r="CO737" s="165">
        <f t="shared" si="405"/>
        <v>0</v>
      </c>
      <c r="CP737" s="165">
        <f t="shared" si="405"/>
        <v>0</v>
      </c>
      <c r="CQ737" s="165">
        <f t="shared" si="405"/>
        <v>0</v>
      </c>
      <c r="CR737" s="165">
        <f t="shared" si="405"/>
        <v>0</v>
      </c>
      <c r="CS737" s="165">
        <f t="shared" si="405"/>
        <v>0</v>
      </c>
      <c r="CT737" s="165">
        <f>CT736+CT729</f>
        <v>2767332381</v>
      </c>
      <c r="CU737" s="165">
        <f>CU736+CU729</f>
        <v>2592456585.5100002</v>
      </c>
      <c r="CV737" s="165">
        <f>CV736+CV729</f>
        <v>2592456585.5100002</v>
      </c>
    </row>
    <row r="738" spans="1:100" ht="15" x14ac:dyDescent="0.25">
      <c r="A738" s="166"/>
      <c r="B738" s="166"/>
      <c r="C738" s="167"/>
      <c r="D738" s="166"/>
      <c r="E738" s="167"/>
      <c r="F738" s="167"/>
      <c r="G738" s="258"/>
      <c r="H738" s="167"/>
      <c r="I738" s="166"/>
      <c r="J738" s="259"/>
      <c r="K738" s="259"/>
      <c r="L738" s="259"/>
      <c r="M738" s="259"/>
      <c r="N738" s="169"/>
      <c r="O738" s="166"/>
      <c r="P738" s="167"/>
      <c r="Q738" s="170">
        <f t="shared" si="403"/>
        <v>0</v>
      </c>
      <c r="R738" s="170"/>
      <c r="S738" s="170"/>
      <c r="T738" s="170">
        <f t="shared" si="403"/>
        <v>0</v>
      </c>
      <c r="U738" s="170"/>
      <c r="V738" s="170"/>
      <c r="W738" s="170">
        <f>W737</f>
        <v>1918161374</v>
      </c>
      <c r="X738" s="170">
        <f t="shared" ref="X738:CI738" si="406">X737</f>
        <v>1893285578.51</v>
      </c>
      <c r="Y738" s="170">
        <f t="shared" si="406"/>
        <v>1893285578.51</v>
      </c>
      <c r="Z738" s="170">
        <f t="shared" si="406"/>
        <v>0</v>
      </c>
      <c r="AA738" s="170">
        <f t="shared" si="406"/>
        <v>0</v>
      </c>
      <c r="AB738" s="170">
        <f t="shared" si="406"/>
        <v>0</v>
      </c>
      <c r="AC738" s="170">
        <f t="shared" si="406"/>
        <v>0</v>
      </c>
      <c r="AD738" s="170">
        <f t="shared" si="406"/>
        <v>0</v>
      </c>
      <c r="AE738" s="170">
        <f t="shared" si="406"/>
        <v>0</v>
      </c>
      <c r="AF738" s="170">
        <f t="shared" si="406"/>
        <v>0</v>
      </c>
      <c r="AG738" s="170">
        <f t="shared" si="406"/>
        <v>0</v>
      </c>
      <c r="AH738" s="170">
        <f t="shared" si="406"/>
        <v>0</v>
      </c>
      <c r="AI738" s="170">
        <f t="shared" si="406"/>
        <v>0</v>
      </c>
      <c r="AJ738" s="170">
        <f t="shared" si="406"/>
        <v>0</v>
      </c>
      <c r="AK738" s="170">
        <f t="shared" si="406"/>
        <v>0</v>
      </c>
      <c r="AL738" s="170">
        <f t="shared" si="406"/>
        <v>0</v>
      </c>
      <c r="AM738" s="170">
        <f t="shared" si="406"/>
        <v>0</v>
      </c>
      <c r="AN738" s="170">
        <f t="shared" si="406"/>
        <v>0</v>
      </c>
      <c r="AO738" s="170">
        <f t="shared" si="406"/>
        <v>0</v>
      </c>
      <c r="AP738" s="170">
        <f t="shared" si="406"/>
        <v>0</v>
      </c>
      <c r="AQ738" s="170">
        <f t="shared" si="406"/>
        <v>0</v>
      </c>
      <c r="AR738" s="170">
        <f t="shared" si="406"/>
        <v>0</v>
      </c>
      <c r="AS738" s="170">
        <f t="shared" si="406"/>
        <v>0</v>
      </c>
      <c r="AT738" s="170">
        <f t="shared" si="406"/>
        <v>0</v>
      </c>
      <c r="AU738" s="170">
        <f t="shared" si="406"/>
        <v>0</v>
      </c>
      <c r="AV738" s="170">
        <f t="shared" si="406"/>
        <v>0</v>
      </c>
      <c r="AW738" s="170">
        <f t="shared" si="406"/>
        <v>0</v>
      </c>
      <c r="AX738" s="170">
        <f t="shared" si="406"/>
        <v>0</v>
      </c>
      <c r="AY738" s="170">
        <f t="shared" si="406"/>
        <v>0</v>
      </c>
      <c r="AZ738" s="170">
        <f t="shared" si="406"/>
        <v>0</v>
      </c>
      <c r="BA738" s="170">
        <f t="shared" si="406"/>
        <v>0</v>
      </c>
      <c r="BB738" s="170">
        <f t="shared" si="406"/>
        <v>0</v>
      </c>
      <c r="BC738" s="170">
        <f t="shared" si="406"/>
        <v>0</v>
      </c>
      <c r="BD738" s="170">
        <f t="shared" si="406"/>
        <v>0</v>
      </c>
      <c r="BE738" s="170">
        <f t="shared" si="406"/>
        <v>0</v>
      </c>
      <c r="BF738" s="170">
        <f t="shared" si="406"/>
        <v>0</v>
      </c>
      <c r="BG738" s="170">
        <f t="shared" si="406"/>
        <v>0</v>
      </c>
      <c r="BH738" s="170">
        <f t="shared" si="406"/>
        <v>0</v>
      </c>
      <c r="BI738" s="170">
        <f t="shared" si="406"/>
        <v>0</v>
      </c>
      <c r="BJ738" s="170">
        <f t="shared" si="406"/>
        <v>0</v>
      </c>
      <c r="BK738" s="170">
        <f t="shared" si="406"/>
        <v>0</v>
      </c>
      <c r="BL738" s="170">
        <f t="shared" si="406"/>
        <v>0</v>
      </c>
      <c r="BM738" s="170">
        <f t="shared" si="406"/>
        <v>0</v>
      </c>
      <c r="BN738" s="170">
        <f t="shared" si="406"/>
        <v>0</v>
      </c>
      <c r="BO738" s="170">
        <f t="shared" si="406"/>
        <v>0</v>
      </c>
      <c r="BP738" s="170">
        <f t="shared" si="406"/>
        <v>0</v>
      </c>
      <c r="BQ738" s="170">
        <f t="shared" si="406"/>
        <v>0</v>
      </c>
      <c r="BR738" s="170">
        <f t="shared" si="406"/>
        <v>0</v>
      </c>
      <c r="BS738" s="170">
        <f t="shared" si="406"/>
        <v>0</v>
      </c>
      <c r="BT738" s="170">
        <f t="shared" si="406"/>
        <v>0</v>
      </c>
      <c r="BU738" s="170">
        <f t="shared" si="406"/>
        <v>0</v>
      </c>
      <c r="BV738" s="170">
        <f t="shared" si="406"/>
        <v>0</v>
      </c>
      <c r="BW738" s="170">
        <f t="shared" si="406"/>
        <v>0</v>
      </c>
      <c r="BX738" s="170">
        <f t="shared" si="406"/>
        <v>0</v>
      </c>
      <c r="BY738" s="170">
        <f t="shared" si="406"/>
        <v>0</v>
      </c>
      <c r="BZ738" s="170">
        <f t="shared" si="406"/>
        <v>0</v>
      </c>
      <c r="CA738" s="170">
        <f t="shared" si="406"/>
        <v>0</v>
      </c>
      <c r="CB738" s="170">
        <f t="shared" si="406"/>
        <v>0</v>
      </c>
      <c r="CC738" s="170">
        <f t="shared" si="406"/>
        <v>0</v>
      </c>
      <c r="CD738" s="170">
        <f t="shared" si="406"/>
        <v>0</v>
      </c>
      <c r="CE738" s="170">
        <f t="shared" si="406"/>
        <v>0</v>
      </c>
      <c r="CF738" s="170">
        <f t="shared" si="406"/>
        <v>0</v>
      </c>
      <c r="CG738" s="170">
        <f t="shared" si="406"/>
        <v>0</v>
      </c>
      <c r="CH738" s="170">
        <f t="shared" si="406"/>
        <v>0</v>
      </c>
      <c r="CI738" s="170">
        <f t="shared" si="406"/>
        <v>0</v>
      </c>
      <c r="CJ738" s="170">
        <f t="shared" ref="CJ738:CS738" si="407">CJ737</f>
        <v>0</v>
      </c>
      <c r="CK738" s="170">
        <f t="shared" si="407"/>
        <v>849171007</v>
      </c>
      <c r="CL738" s="170">
        <f t="shared" si="407"/>
        <v>699171007</v>
      </c>
      <c r="CM738" s="170">
        <f t="shared" si="407"/>
        <v>699171007</v>
      </c>
      <c r="CN738" s="170">
        <f t="shared" si="407"/>
        <v>0</v>
      </c>
      <c r="CO738" s="170">
        <f t="shared" si="407"/>
        <v>0</v>
      </c>
      <c r="CP738" s="170">
        <f t="shared" si="407"/>
        <v>0</v>
      </c>
      <c r="CQ738" s="170">
        <f t="shared" si="407"/>
        <v>0</v>
      </c>
      <c r="CR738" s="170">
        <f t="shared" si="407"/>
        <v>0</v>
      </c>
      <c r="CS738" s="170">
        <f t="shared" si="407"/>
        <v>0</v>
      </c>
      <c r="CT738" s="170">
        <f t="shared" ref="CT738:CV739" si="408">CT737</f>
        <v>2767332381</v>
      </c>
      <c r="CU738" s="170">
        <f t="shared" si="408"/>
        <v>2592456585.5100002</v>
      </c>
      <c r="CV738" s="170">
        <f t="shared" si="408"/>
        <v>2592456585.5100002</v>
      </c>
    </row>
    <row r="739" spans="1:100" ht="15" x14ac:dyDescent="0.25">
      <c r="A739" s="171"/>
      <c r="B739" s="171"/>
      <c r="C739" s="172"/>
      <c r="D739" s="171"/>
      <c r="E739" s="172"/>
      <c r="F739" s="172"/>
      <c r="G739" s="578"/>
      <c r="H739" s="172"/>
      <c r="I739" s="171"/>
      <c r="J739" s="270"/>
      <c r="K739" s="270"/>
      <c r="L739" s="270"/>
      <c r="M739" s="270"/>
      <c r="N739" s="174"/>
      <c r="O739" s="171"/>
      <c r="P739" s="172"/>
      <c r="Q739" s="175">
        <f t="shared" si="403"/>
        <v>0</v>
      </c>
      <c r="R739" s="175"/>
      <c r="S739" s="175"/>
      <c r="T739" s="175">
        <f t="shared" si="403"/>
        <v>0</v>
      </c>
      <c r="U739" s="175"/>
      <c r="V739" s="175"/>
      <c r="W739" s="175">
        <f>W738</f>
        <v>1918161374</v>
      </c>
      <c r="X739" s="175">
        <f t="shared" ref="X739:CI739" si="409">X738</f>
        <v>1893285578.51</v>
      </c>
      <c r="Y739" s="175">
        <f t="shared" si="409"/>
        <v>1893285578.51</v>
      </c>
      <c r="Z739" s="175">
        <f t="shared" si="409"/>
        <v>0</v>
      </c>
      <c r="AA739" s="175">
        <f t="shared" si="409"/>
        <v>0</v>
      </c>
      <c r="AB739" s="175">
        <f t="shared" si="409"/>
        <v>0</v>
      </c>
      <c r="AC739" s="175">
        <f t="shared" si="409"/>
        <v>0</v>
      </c>
      <c r="AD739" s="175">
        <f t="shared" si="409"/>
        <v>0</v>
      </c>
      <c r="AE739" s="175">
        <f t="shared" si="409"/>
        <v>0</v>
      </c>
      <c r="AF739" s="175">
        <f t="shared" si="409"/>
        <v>0</v>
      </c>
      <c r="AG739" s="175">
        <f t="shared" si="409"/>
        <v>0</v>
      </c>
      <c r="AH739" s="175">
        <f t="shared" si="409"/>
        <v>0</v>
      </c>
      <c r="AI739" s="175">
        <f t="shared" si="409"/>
        <v>0</v>
      </c>
      <c r="AJ739" s="175">
        <f t="shared" si="409"/>
        <v>0</v>
      </c>
      <c r="AK739" s="175">
        <f t="shared" si="409"/>
        <v>0</v>
      </c>
      <c r="AL739" s="175">
        <f t="shared" si="409"/>
        <v>0</v>
      </c>
      <c r="AM739" s="175">
        <f t="shared" si="409"/>
        <v>0</v>
      </c>
      <c r="AN739" s="175">
        <f t="shared" si="409"/>
        <v>0</v>
      </c>
      <c r="AO739" s="175">
        <f t="shared" si="409"/>
        <v>0</v>
      </c>
      <c r="AP739" s="175">
        <f t="shared" si="409"/>
        <v>0</v>
      </c>
      <c r="AQ739" s="175">
        <f t="shared" si="409"/>
        <v>0</v>
      </c>
      <c r="AR739" s="175">
        <f t="shared" si="409"/>
        <v>0</v>
      </c>
      <c r="AS739" s="175">
        <f t="shared" si="409"/>
        <v>0</v>
      </c>
      <c r="AT739" s="175">
        <f t="shared" si="409"/>
        <v>0</v>
      </c>
      <c r="AU739" s="175">
        <f t="shared" si="409"/>
        <v>0</v>
      </c>
      <c r="AV739" s="175">
        <f t="shared" si="409"/>
        <v>0</v>
      </c>
      <c r="AW739" s="175">
        <f t="shared" si="409"/>
        <v>0</v>
      </c>
      <c r="AX739" s="175">
        <f t="shared" si="409"/>
        <v>0</v>
      </c>
      <c r="AY739" s="175">
        <f t="shared" si="409"/>
        <v>0</v>
      </c>
      <c r="AZ739" s="175">
        <f t="shared" si="409"/>
        <v>0</v>
      </c>
      <c r="BA739" s="175">
        <f t="shared" si="409"/>
        <v>0</v>
      </c>
      <c r="BB739" s="175">
        <f t="shared" si="409"/>
        <v>0</v>
      </c>
      <c r="BC739" s="175">
        <f t="shared" si="409"/>
        <v>0</v>
      </c>
      <c r="BD739" s="175">
        <f t="shared" si="409"/>
        <v>0</v>
      </c>
      <c r="BE739" s="175">
        <f t="shared" si="409"/>
        <v>0</v>
      </c>
      <c r="BF739" s="175">
        <f t="shared" si="409"/>
        <v>0</v>
      </c>
      <c r="BG739" s="175">
        <f t="shared" si="409"/>
        <v>0</v>
      </c>
      <c r="BH739" s="175">
        <f t="shared" si="409"/>
        <v>0</v>
      </c>
      <c r="BI739" s="175">
        <f t="shared" si="409"/>
        <v>0</v>
      </c>
      <c r="BJ739" s="175">
        <f t="shared" si="409"/>
        <v>0</v>
      </c>
      <c r="BK739" s="175">
        <f t="shared" si="409"/>
        <v>0</v>
      </c>
      <c r="BL739" s="175">
        <f t="shared" si="409"/>
        <v>0</v>
      </c>
      <c r="BM739" s="175">
        <f t="shared" si="409"/>
        <v>0</v>
      </c>
      <c r="BN739" s="175">
        <f t="shared" si="409"/>
        <v>0</v>
      </c>
      <c r="BO739" s="175">
        <f t="shared" si="409"/>
        <v>0</v>
      </c>
      <c r="BP739" s="175">
        <f t="shared" si="409"/>
        <v>0</v>
      </c>
      <c r="BQ739" s="175">
        <f t="shared" si="409"/>
        <v>0</v>
      </c>
      <c r="BR739" s="175">
        <f t="shared" si="409"/>
        <v>0</v>
      </c>
      <c r="BS739" s="175">
        <f t="shared" si="409"/>
        <v>0</v>
      </c>
      <c r="BT739" s="175">
        <f t="shared" si="409"/>
        <v>0</v>
      </c>
      <c r="BU739" s="175">
        <f t="shared" si="409"/>
        <v>0</v>
      </c>
      <c r="BV739" s="175">
        <f t="shared" si="409"/>
        <v>0</v>
      </c>
      <c r="BW739" s="175">
        <f t="shared" si="409"/>
        <v>0</v>
      </c>
      <c r="BX739" s="175">
        <f t="shared" si="409"/>
        <v>0</v>
      </c>
      <c r="BY739" s="175">
        <f t="shared" si="409"/>
        <v>0</v>
      </c>
      <c r="BZ739" s="175">
        <f t="shared" si="409"/>
        <v>0</v>
      </c>
      <c r="CA739" s="175">
        <f t="shared" si="409"/>
        <v>0</v>
      </c>
      <c r="CB739" s="175">
        <f t="shared" si="409"/>
        <v>0</v>
      </c>
      <c r="CC739" s="175">
        <f t="shared" si="409"/>
        <v>0</v>
      </c>
      <c r="CD739" s="175">
        <f t="shared" si="409"/>
        <v>0</v>
      </c>
      <c r="CE739" s="175">
        <f t="shared" si="409"/>
        <v>0</v>
      </c>
      <c r="CF739" s="175">
        <f t="shared" si="409"/>
        <v>0</v>
      </c>
      <c r="CG739" s="175">
        <f t="shared" si="409"/>
        <v>0</v>
      </c>
      <c r="CH739" s="175">
        <f t="shared" si="409"/>
        <v>0</v>
      </c>
      <c r="CI739" s="175">
        <f t="shared" si="409"/>
        <v>0</v>
      </c>
      <c r="CJ739" s="175">
        <f t="shared" ref="CJ739:CS739" si="410">CJ738</f>
        <v>0</v>
      </c>
      <c r="CK739" s="175">
        <f t="shared" si="410"/>
        <v>849171007</v>
      </c>
      <c r="CL739" s="175">
        <f t="shared" si="410"/>
        <v>699171007</v>
      </c>
      <c r="CM739" s="175">
        <f t="shared" si="410"/>
        <v>699171007</v>
      </c>
      <c r="CN739" s="175">
        <f t="shared" si="410"/>
        <v>0</v>
      </c>
      <c r="CO739" s="175">
        <f t="shared" si="410"/>
        <v>0</v>
      </c>
      <c r="CP739" s="175">
        <f t="shared" si="410"/>
        <v>0</v>
      </c>
      <c r="CQ739" s="175">
        <f t="shared" si="410"/>
        <v>0</v>
      </c>
      <c r="CR739" s="175">
        <f t="shared" si="410"/>
        <v>0</v>
      </c>
      <c r="CS739" s="175">
        <f t="shared" si="410"/>
        <v>0</v>
      </c>
      <c r="CT739" s="1001">
        <f t="shared" si="408"/>
        <v>2767332381</v>
      </c>
      <c r="CU739" s="175">
        <f t="shared" si="408"/>
        <v>2592456585.5100002</v>
      </c>
      <c r="CV739" s="175">
        <f t="shared" si="408"/>
        <v>2592456585.5100002</v>
      </c>
    </row>
    <row r="740" spans="1:100" s="459" customFormat="1" ht="21" customHeight="1" x14ac:dyDescent="0.25">
      <c r="A740" s="5"/>
      <c r="B740" s="5"/>
      <c r="C740" s="4"/>
      <c r="D740" s="5"/>
      <c r="E740" s="4"/>
      <c r="F740" s="4"/>
      <c r="G740" s="531"/>
      <c r="H740" s="532"/>
      <c r="I740" s="531"/>
      <c r="J740" s="579"/>
      <c r="K740" s="579"/>
      <c r="L740" s="579"/>
      <c r="M740" s="579"/>
      <c r="N740" s="533"/>
      <c r="O740" s="531"/>
      <c r="P740" s="532"/>
      <c r="Q740" s="261"/>
      <c r="R740" s="261"/>
      <c r="S740" s="261"/>
      <c r="T740" s="261"/>
      <c r="U740" s="261"/>
      <c r="V740" s="261"/>
      <c r="W740" s="261"/>
      <c r="X740" s="261"/>
      <c r="Y740" s="261"/>
      <c r="Z740" s="261"/>
      <c r="AA740" s="261"/>
      <c r="AB740" s="261"/>
      <c r="AC740" s="261"/>
      <c r="AD740" s="261"/>
      <c r="AE740" s="261"/>
      <c r="AF740" s="261"/>
      <c r="AG740" s="261"/>
      <c r="AH740" s="261"/>
      <c r="AI740" s="261"/>
      <c r="AJ740" s="261"/>
      <c r="AK740" s="261"/>
      <c r="AL740" s="261"/>
      <c r="AM740" s="261"/>
      <c r="AN740" s="261"/>
      <c r="AO740" s="261"/>
      <c r="AP740" s="261"/>
      <c r="AQ740" s="261"/>
      <c r="AR740" s="261"/>
      <c r="AS740" s="261"/>
      <c r="AT740" s="261"/>
      <c r="AU740" s="261"/>
      <c r="AV740" s="261"/>
      <c r="AW740" s="261"/>
      <c r="AX740" s="261"/>
      <c r="AY740" s="261"/>
      <c r="AZ740" s="261"/>
      <c r="BA740" s="261"/>
      <c r="BB740" s="261"/>
      <c r="BC740" s="261"/>
      <c r="BD740" s="261"/>
      <c r="BE740" s="261"/>
      <c r="BF740" s="261"/>
      <c r="BG740" s="261"/>
      <c r="BH740" s="261"/>
      <c r="BI740" s="261"/>
      <c r="BJ740" s="261"/>
      <c r="BK740" s="261"/>
      <c r="BL740" s="261"/>
      <c r="BM740" s="261"/>
      <c r="BN740" s="261"/>
      <c r="BO740" s="261"/>
      <c r="BP740" s="261"/>
      <c r="BQ740" s="261"/>
      <c r="BR740" s="261"/>
      <c r="BS740" s="261"/>
      <c r="BT740" s="261"/>
      <c r="BU740" s="261"/>
      <c r="BV740" s="261"/>
      <c r="BW740" s="261"/>
      <c r="BX740" s="261"/>
      <c r="BY740" s="261"/>
      <c r="BZ740" s="261"/>
      <c r="CA740" s="261"/>
      <c r="CB740" s="261"/>
      <c r="CC740" s="261"/>
      <c r="CD740" s="261"/>
      <c r="CE740" s="580"/>
      <c r="CF740" s="580"/>
      <c r="CG740" s="580"/>
      <c r="CH740" s="261"/>
      <c r="CI740" s="261"/>
      <c r="CJ740" s="261"/>
      <c r="CK740" s="261"/>
      <c r="CL740" s="261"/>
      <c r="CM740" s="261"/>
      <c r="CN740" s="261"/>
      <c r="CO740" s="261"/>
      <c r="CP740" s="261"/>
      <c r="CQ740" s="261"/>
      <c r="CR740" s="261"/>
      <c r="CS740" s="261"/>
      <c r="CT740" s="773"/>
      <c r="CU740" s="774"/>
      <c r="CV740" s="774"/>
    </row>
    <row r="741" spans="1:100" ht="36.75" customHeight="1" x14ac:dyDescent="0.25">
      <c r="A741" s="564" t="s">
        <v>872</v>
      </c>
      <c r="B741" s="564"/>
      <c r="C741" s="565"/>
      <c r="D741" s="564"/>
      <c r="E741" s="564"/>
      <c r="F741" s="564"/>
      <c r="G741" s="135"/>
      <c r="H741" s="136"/>
      <c r="I741" s="135"/>
      <c r="J741" s="135"/>
      <c r="K741" s="135"/>
      <c r="L741" s="135"/>
      <c r="M741" s="135"/>
      <c r="N741" s="675"/>
      <c r="O741" s="135"/>
      <c r="P741" s="136"/>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35"/>
      <c r="BN741" s="135"/>
      <c r="BO741" s="135"/>
      <c r="BP741" s="135"/>
      <c r="BQ741" s="135"/>
      <c r="BR741" s="135"/>
      <c r="BS741" s="135"/>
      <c r="BT741" s="135"/>
      <c r="BU741" s="135"/>
      <c r="BV741" s="135"/>
      <c r="BW741" s="135"/>
      <c r="BX741" s="135"/>
      <c r="BY741" s="135"/>
      <c r="BZ741" s="135"/>
      <c r="CA741" s="135"/>
      <c r="CB741" s="135"/>
      <c r="CC741" s="135"/>
      <c r="CD741" s="135"/>
      <c r="CE741" s="137"/>
      <c r="CF741" s="137"/>
      <c r="CG741" s="137"/>
      <c r="CH741" s="138"/>
      <c r="CI741" s="138"/>
      <c r="CJ741" s="138"/>
      <c r="CK741" s="135"/>
      <c r="CL741" s="135"/>
      <c r="CM741" s="135"/>
      <c r="CN741" s="135"/>
      <c r="CO741" s="135"/>
      <c r="CP741" s="135"/>
      <c r="CQ741" s="135"/>
      <c r="CR741" s="135"/>
      <c r="CS741" s="135"/>
      <c r="CT741" s="566"/>
      <c r="CU741" s="566"/>
      <c r="CV741" s="566"/>
    </row>
    <row r="742" spans="1:100" ht="24.75" customHeight="1" x14ac:dyDescent="0.25">
      <c r="A742" s="962">
        <v>4</v>
      </c>
      <c r="B742" s="540" t="s">
        <v>873</v>
      </c>
      <c r="C742" s="333"/>
      <c r="D742" s="540"/>
      <c r="E742" s="540"/>
      <c r="F742" s="364"/>
      <c r="G742" s="567"/>
      <c r="H742" s="568"/>
      <c r="I742" s="567"/>
      <c r="J742" s="567"/>
      <c r="K742" s="567"/>
      <c r="L742" s="567"/>
      <c r="M742" s="567"/>
      <c r="N742" s="688"/>
      <c r="O742" s="567"/>
      <c r="P742" s="567"/>
      <c r="Q742" s="567"/>
      <c r="R742" s="567"/>
      <c r="S742" s="567"/>
      <c r="T742" s="567"/>
      <c r="U742" s="567"/>
      <c r="V742" s="567"/>
      <c r="W742" s="567"/>
      <c r="X742" s="567"/>
      <c r="Y742" s="567"/>
      <c r="Z742" s="567"/>
      <c r="AA742" s="567"/>
      <c r="AB742" s="567"/>
      <c r="AC742" s="567"/>
      <c r="AD742" s="567"/>
      <c r="AE742" s="567"/>
      <c r="AF742" s="567"/>
      <c r="AG742" s="567"/>
      <c r="AH742" s="567"/>
      <c r="AI742" s="567"/>
      <c r="AJ742" s="567"/>
      <c r="AK742" s="567"/>
      <c r="AL742" s="567"/>
      <c r="AM742" s="567"/>
      <c r="AN742" s="567"/>
      <c r="AO742" s="567"/>
      <c r="AP742" s="567"/>
      <c r="AQ742" s="567"/>
      <c r="AR742" s="567"/>
      <c r="AS742" s="567"/>
      <c r="AT742" s="567"/>
      <c r="AU742" s="567"/>
      <c r="AV742" s="567"/>
      <c r="AW742" s="567"/>
      <c r="AX742" s="567"/>
      <c r="AY742" s="567"/>
      <c r="AZ742" s="567"/>
      <c r="BA742" s="567"/>
      <c r="BB742" s="567"/>
      <c r="BC742" s="567"/>
      <c r="BD742" s="567"/>
      <c r="BE742" s="567"/>
      <c r="BF742" s="567"/>
      <c r="BG742" s="567"/>
      <c r="BH742" s="567"/>
      <c r="BI742" s="567"/>
      <c r="BJ742" s="567"/>
      <c r="BK742" s="567"/>
      <c r="BL742" s="567"/>
      <c r="BM742" s="567"/>
      <c r="BN742" s="567"/>
      <c r="BO742" s="567"/>
      <c r="BP742" s="567"/>
      <c r="BQ742" s="567"/>
      <c r="BR742" s="567"/>
      <c r="BS742" s="567"/>
      <c r="BT742" s="567"/>
      <c r="BU742" s="567"/>
      <c r="BV742" s="567"/>
      <c r="BW742" s="567"/>
      <c r="BX742" s="567"/>
      <c r="BY742" s="567"/>
      <c r="BZ742" s="567"/>
      <c r="CA742" s="567"/>
      <c r="CB742" s="567"/>
      <c r="CC742" s="567"/>
      <c r="CD742" s="567"/>
      <c r="CE742" s="569"/>
      <c r="CF742" s="569"/>
      <c r="CG742" s="569"/>
      <c r="CH742" s="567"/>
      <c r="CI742" s="567"/>
      <c r="CJ742" s="567"/>
      <c r="CK742" s="567"/>
      <c r="CL742" s="567"/>
      <c r="CM742" s="567"/>
      <c r="CN742" s="567"/>
      <c r="CO742" s="567"/>
      <c r="CP742" s="567"/>
      <c r="CQ742" s="567"/>
      <c r="CR742" s="567"/>
      <c r="CS742" s="567"/>
      <c r="CT742" s="364"/>
      <c r="CU742" s="364"/>
      <c r="CV742" s="364"/>
    </row>
    <row r="743" spans="1:100" ht="24.75" customHeight="1" x14ac:dyDescent="0.25">
      <c r="A743" s="185"/>
      <c r="B743" s="262">
        <v>23</v>
      </c>
      <c r="C743" s="322" t="s">
        <v>162</v>
      </c>
      <c r="D743" s="526"/>
      <c r="E743" s="526"/>
      <c r="F743" s="526"/>
      <c r="G743" s="146"/>
      <c r="H743" s="147"/>
      <c r="I743" s="146"/>
      <c r="J743" s="146"/>
      <c r="K743" s="146"/>
      <c r="L743" s="146"/>
      <c r="M743" s="571"/>
      <c r="N743" s="205"/>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1"/>
      <c r="AL743" s="571"/>
      <c r="AM743" s="571"/>
      <c r="AN743" s="571"/>
      <c r="AO743" s="571"/>
      <c r="AP743" s="571"/>
      <c r="AQ743" s="571"/>
      <c r="AR743" s="571"/>
      <c r="AS743" s="571"/>
      <c r="AT743" s="571"/>
      <c r="AU743" s="571"/>
      <c r="AV743" s="571"/>
      <c r="AW743" s="571"/>
      <c r="AX743" s="571"/>
      <c r="AY743" s="571"/>
      <c r="AZ743" s="571"/>
      <c r="BA743" s="571"/>
      <c r="BB743" s="571"/>
      <c r="BC743" s="571"/>
      <c r="BD743" s="571"/>
      <c r="BE743" s="571"/>
      <c r="BF743" s="571"/>
      <c r="BG743" s="571"/>
      <c r="BH743" s="571"/>
      <c r="BI743" s="571"/>
      <c r="BJ743" s="571"/>
      <c r="BK743" s="571"/>
      <c r="BL743" s="571"/>
      <c r="BM743" s="571"/>
      <c r="BN743" s="571"/>
      <c r="BO743" s="571"/>
      <c r="BP743" s="571"/>
      <c r="BQ743" s="571"/>
      <c r="BR743" s="571"/>
      <c r="BS743" s="571"/>
      <c r="BT743" s="571"/>
      <c r="BU743" s="571"/>
      <c r="BV743" s="571"/>
      <c r="BW743" s="571"/>
      <c r="BX743" s="571"/>
      <c r="BY743" s="571"/>
      <c r="BZ743" s="571"/>
      <c r="CA743" s="571"/>
      <c r="CB743" s="571"/>
      <c r="CC743" s="571"/>
      <c r="CD743" s="571"/>
      <c r="CE743" s="573"/>
      <c r="CF743" s="573"/>
      <c r="CG743" s="573"/>
      <c r="CH743" s="571"/>
      <c r="CI743" s="571"/>
      <c r="CJ743" s="571"/>
      <c r="CK743" s="571"/>
      <c r="CL743" s="571"/>
      <c r="CM743" s="571"/>
      <c r="CN743" s="571"/>
      <c r="CO743" s="571"/>
      <c r="CP743" s="571"/>
      <c r="CQ743" s="571"/>
      <c r="CR743" s="571"/>
      <c r="CS743" s="571"/>
      <c r="CT743" s="574"/>
      <c r="CU743" s="574"/>
      <c r="CV743" s="574"/>
    </row>
    <row r="744" spans="1:100" ht="24.75" customHeight="1" x14ac:dyDescent="0.25">
      <c r="A744" s="19"/>
      <c r="B744" s="613"/>
      <c r="C744" s="929"/>
      <c r="D744" s="928"/>
      <c r="E744" s="929"/>
      <c r="F744" s="929"/>
      <c r="G744" s="339">
        <v>77</v>
      </c>
      <c r="H744" s="189" t="s">
        <v>874</v>
      </c>
      <c r="I744" s="189"/>
      <c r="J744" s="189"/>
      <c r="K744" s="189"/>
      <c r="L744" s="189"/>
      <c r="M744" s="189"/>
      <c r="N744" s="678"/>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c r="BD744" s="189"/>
      <c r="BE744" s="189"/>
      <c r="BF744" s="189"/>
      <c r="BG744" s="189"/>
      <c r="BH744" s="189"/>
      <c r="BI744" s="189"/>
      <c r="BJ744" s="189"/>
      <c r="BK744" s="189"/>
      <c r="BL744" s="189"/>
      <c r="BM744" s="189"/>
      <c r="BN744" s="189"/>
      <c r="BO744" s="189"/>
      <c r="BP744" s="189"/>
      <c r="BQ744" s="189"/>
      <c r="BR744" s="189"/>
      <c r="BS744" s="189"/>
      <c r="BT744" s="189"/>
      <c r="BU744" s="189"/>
      <c r="BV744" s="189"/>
      <c r="BW744" s="189"/>
      <c r="BX744" s="189"/>
      <c r="BY744" s="189"/>
      <c r="BZ744" s="189"/>
      <c r="CA744" s="189"/>
      <c r="CB744" s="189"/>
      <c r="CC744" s="189"/>
      <c r="CD744" s="189"/>
      <c r="CE744" s="190"/>
      <c r="CF744" s="190"/>
      <c r="CG744" s="190"/>
      <c r="CH744" s="189"/>
      <c r="CI744" s="189"/>
      <c r="CJ744" s="189"/>
      <c r="CK744" s="189"/>
      <c r="CL744" s="189"/>
      <c r="CM744" s="189"/>
      <c r="CN744" s="189"/>
      <c r="CO744" s="189"/>
      <c r="CP744" s="189"/>
      <c r="CQ744" s="189"/>
      <c r="CR744" s="189"/>
      <c r="CS744" s="189"/>
      <c r="CT744" s="522"/>
      <c r="CU744" s="522"/>
      <c r="CV744" s="522"/>
    </row>
    <row r="745" spans="1:100" ht="56.25" customHeight="1" x14ac:dyDescent="0.25">
      <c r="A745" s="19"/>
      <c r="B745" s="614"/>
      <c r="C745" s="1025">
        <v>11</v>
      </c>
      <c r="D745" s="1027" t="s">
        <v>875</v>
      </c>
      <c r="E745" s="1027" t="s">
        <v>876</v>
      </c>
      <c r="F745" s="1027" t="s">
        <v>877</v>
      </c>
      <c r="G745" s="99"/>
      <c r="H745" s="929">
        <v>223</v>
      </c>
      <c r="I745" s="928" t="s">
        <v>878</v>
      </c>
      <c r="J745" s="490" t="s">
        <v>30</v>
      </c>
      <c r="K745" s="23">
        <v>1</v>
      </c>
      <c r="L745" s="23">
        <v>1</v>
      </c>
      <c r="M745" s="490" t="s">
        <v>118</v>
      </c>
      <c r="N745" s="1029" t="s">
        <v>879</v>
      </c>
      <c r="O745" s="1012" t="s">
        <v>880</v>
      </c>
      <c r="P745" s="929" t="s">
        <v>38</v>
      </c>
      <c r="Q745" s="25">
        <v>0</v>
      </c>
      <c r="R745" s="25"/>
      <c r="S745" s="25"/>
      <c r="T745" s="25">
        <v>0</v>
      </c>
      <c r="U745" s="25"/>
      <c r="V745" s="25"/>
      <c r="W745" s="25">
        <v>0</v>
      </c>
      <c r="X745" s="25"/>
      <c r="Y745" s="25"/>
      <c r="Z745" s="25">
        <v>0</v>
      </c>
      <c r="AA745" s="25"/>
      <c r="AB745" s="25"/>
      <c r="AC745" s="25">
        <v>0</v>
      </c>
      <c r="AD745" s="25"/>
      <c r="AE745" s="25"/>
      <c r="AF745" s="25">
        <v>0</v>
      </c>
      <c r="AG745" s="25"/>
      <c r="AH745" s="25"/>
      <c r="AI745" s="25">
        <v>0</v>
      </c>
      <c r="AJ745" s="25"/>
      <c r="AK745" s="25"/>
      <c r="AL745" s="25"/>
      <c r="AM745" s="25"/>
      <c r="AN745" s="25"/>
      <c r="AO745" s="25"/>
      <c r="AP745" s="25"/>
      <c r="AQ745" s="25"/>
      <c r="AR745" s="25"/>
      <c r="AS745" s="25"/>
      <c r="AT745" s="25"/>
      <c r="AU745" s="25">
        <v>0</v>
      </c>
      <c r="AV745" s="25"/>
      <c r="AW745" s="25"/>
      <c r="AX745" s="25"/>
      <c r="AY745" s="25"/>
      <c r="AZ745" s="25"/>
      <c r="BA745" s="25">
        <v>0</v>
      </c>
      <c r="BB745" s="25"/>
      <c r="BC745" s="25"/>
      <c r="BD745" s="25">
        <v>0</v>
      </c>
      <c r="BE745" s="25"/>
      <c r="BF745" s="25"/>
      <c r="BG745" s="250"/>
      <c r="BH745" s="250"/>
      <c r="BI745" s="250"/>
      <c r="BJ745" s="250"/>
      <c r="BK745" s="250"/>
      <c r="BL745" s="250"/>
      <c r="BM745" s="250"/>
      <c r="BN745" s="250"/>
      <c r="BO745" s="250"/>
      <c r="BP745" s="250"/>
      <c r="BQ745" s="250"/>
      <c r="BR745" s="250"/>
      <c r="BS745" s="250"/>
      <c r="BT745" s="250"/>
      <c r="BU745" s="250"/>
      <c r="BV745" s="250"/>
      <c r="BW745" s="250"/>
      <c r="BX745" s="250"/>
      <c r="BY745" s="25">
        <v>0</v>
      </c>
      <c r="BZ745" s="25"/>
      <c r="CA745" s="25"/>
      <c r="CB745" s="25">
        <v>0</v>
      </c>
      <c r="CC745" s="25"/>
      <c r="CD745" s="25"/>
      <c r="CE745" s="110">
        <v>0</v>
      </c>
      <c r="CF745" s="110"/>
      <c r="CG745" s="110"/>
      <c r="CH745" s="110">
        <v>0</v>
      </c>
      <c r="CI745" s="110"/>
      <c r="CJ745" s="110"/>
      <c r="CK745" s="13">
        <v>105284954</v>
      </c>
      <c r="CL745" s="9">
        <v>81246664</v>
      </c>
      <c r="CM745" s="9">
        <v>81246664</v>
      </c>
      <c r="CN745" s="288">
        <v>0</v>
      </c>
      <c r="CO745" s="288"/>
      <c r="CP745" s="288"/>
      <c r="CQ745" s="288"/>
      <c r="CR745" s="288"/>
      <c r="CS745" s="288"/>
      <c r="CT745" s="25">
        <f t="shared" ref="CT745:CV747" si="411">Q745+T745+W745+Z745+AC745+AF745+AI745+AL745+AO745+AR745+AU745+AX745+BA745+BD745+BG745+BJ745+BM745+BP745+BS745+BV745+BY745+CB745+CE745+CH745+CK745+CQ745+CN745</f>
        <v>105284954</v>
      </c>
      <c r="CU745" s="25">
        <f t="shared" si="411"/>
        <v>81246664</v>
      </c>
      <c r="CV745" s="25">
        <f t="shared" si="411"/>
        <v>81246664</v>
      </c>
    </row>
    <row r="746" spans="1:100" ht="37.5" customHeight="1" x14ac:dyDescent="0.25">
      <c r="A746" s="19"/>
      <c r="B746" s="614"/>
      <c r="C746" s="1026"/>
      <c r="D746" s="1028"/>
      <c r="E746" s="1028"/>
      <c r="F746" s="1028"/>
      <c r="G746" s="100"/>
      <c r="H746" s="929">
        <v>224</v>
      </c>
      <c r="I746" s="928" t="s">
        <v>881</v>
      </c>
      <c r="J746" s="490">
        <v>0</v>
      </c>
      <c r="K746" s="23">
        <v>1</v>
      </c>
      <c r="L746" s="23">
        <v>0.8</v>
      </c>
      <c r="M746" s="490" t="s">
        <v>118</v>
      </c>
      <c r="N746" s="1030"/>
      <c r="O746" s="1020"/>
      <c r="P746" s="929" t="s">
        <v>38</v>
      </c>
      <c r="Q746" s="25">
        <v>0</v>
      </c>
      <c r="R746" s="25"/>
      <c r="S746" s="25"/>
      <c r="T746" s="25">
        <v>0</v>
      </c>
      <c r="U746" s="25"/>
      <c r="V746" s="25"/>
      <c r="W746" s="25">
        <v>0</v>
      </c>
      <c r="X746" s="25"/>
      <c r="Y746" s="25"/>
      <c r="Z746" s="25">
        <v>0</v>
      </c>
      <c r="AA746" s="25"/>
      <c r="AB746" s="25"/>
      <c r="AC746" s="25">
        <v>0</v>
      </c>
      <c r="AD746" s="25"/>
      <c r="AE746" s="25"/>
      <c r="AF746" s="25">
        <v>0</v>
      </c>
      <c r="AG746" s="25"/>
      <c r="AH746" s="25"/>
      <c r="AI746" s="25">
        <v>0</v>
      </c>
      <c r="AJ746" s="25"/>
      <c r="AK746" s="25"/>
      <c r="AL746" s="25"/>
      <c r="AM746" s="25"/>
      <c r="AN746" s="25"/>
      <c r="AO746" s="25"/>
      <c r="AP746" s="25"/>
      <c r="AQ746" s="25"/>
      <c r="AR746" s="25"/>
      <c r="AS746" s="25"/>
      <c r="AT746" s="25"/>
      <c r="AU746" s="25">
        <v>0</v>
      </c>
      <c r="AV746" s="25"/>
      <c r="AW746" s="25"/>
      <c r="AX746" s="25"/>
      <c r="AY746" s="25"/>
      <c r="AZ746" s="25"/>
      <c r="BA746" s="25">
        <v>0</v>
      </c>
      <c r="BB746" s="25"/>
      <c r="BC746" s="25"/>
      <c r="BD746" s="25">
        <v>0</v>
      </c>
      <c r="BE746" s="25"/>
      <c r="BF746" s="25"/>
      <c r="BG746" s="250"/>
      <c r="BH746" s="250"/>
      <c r="BI746" s="250"/>
      <c r="BJ746" s="250"/>
      <c r="BK746" s="250"/>
      <c r="BL746" s="250"/>
      <c r="BM746" s="250"/>
      <c r="BN746" s="250"/>
      <c r="BO746" s="250"/>
      <c r="BP746" s="250"/>
      <c r="BQ746" s="250"/>
      <c r="BR746" s="250"/>
      <c r="BS746" s="250"/>
      <c r="BT746" s="250"/>
      <c r="BU746" s="250"/>
      <c r="BV746" s="250"/>
      <c r="BW746" s="250"/>
      <c r="BX746" s="250"/>
      <c r="BY746" s="25">
        <v>0</v>
      </c>
      <c r="BZ746" s="25"/>
      <c r="CA746" s="25"/>
      <c r="CB746" s="25">
        <v>0</v>
      </c>
      <c r="CC746" s="25"/>
      <c r="CD746" s="25"/>
      <c r="CE746" s="110">
        <v>0</v>
      </c>
      <c r="CF746" s="110"/>
      <c r="CG746" s="110"/>
      <c r="CH746" s="110">
        <v>0</v>
      </c>
      <c r="CI746" s="110"/>
      <c r="CJ746" s="110"/>
      <c r="CK746" s="13">
        <v>20600000</v>
      </c>
      <c r="CL746" s="9"/>
      <c r="CM746" s="9"/>
      <c r="CN746" s="288">
        <v>0</v>
      </c>
      <c r="CO746" s="288"/>
      <c r="CP746" s="288"/>
      <c r="CQ746" s="288"/>
      <c r="CR746" s="288"/>
      <c r="CS746" s="288"/>
      <c r="CT746" s="25">
        <f t="shared" si="411"/>
        <v>20600000</v>
      </c>
      <c r="CU746" s="25">
        <f t="shared" si="411"/>
        <v>0</v>
      </c>
      <c r="CV746" s="25">
        <f t="shared" si="411"/>
        <v>0</v>
      </c>
    </row>
    <row r="747" spans="1:100" ht="51.75" customHeight="1" x14ac:dyDescent="0.25">
      <c r="A747" s="19"/>
      <c r="B747" s="614"/>
      <c r="C747" s="1026"/>
      <c r="D747" s="1028"/>
      <c r="E747" s="1028"/>
      <c r="F747" s="1028"/>
      <c r="G747" s="102"/>
      <c r="H747" s="929">
        <v>225</v>
      </c>
      <c r="I747" s="928" t="s">
        <v>882</v>
      </c>
      <c r="J747" s="490">
        <v>0</v>
      </c>
      <c r="K747" s="23">
        <v>1</v>
      </c>
      <c r="L747" s="23">
        <v>0</v>
      </c>
      <c r="M747" s="490" t="s">
        <v>118</v>
      </c>
      <c r="N747" s="1031"/>
      <c r="O747" s="1013"/>
      <c r="P747" s="929" t="s">
        <v>38</v>
      </c>
      <c r="Q747" s="25">
        <v>0</v>
      </c>
      <c r="R747" s="25"/>
      <c r="S747" s="25"/>
      <c r="T747" s="25">
        <v>0</v>
      </c>
      <c r="U747" s="25"/>
      <c r="V747" s="25"/>
      <c r="W747" s="25">
        <v>0</v>
      </c>
      <c r="X747" s="25"/>
      <c r="Y747" s="25"/>
      <c r="Z747" s="25">
        <v>0</v>
      </c>
      <c r="AA747" s="25"/>
      <c r="AB747" s="25"/>
      <c r="AC747" s="25">
        <v>0</v>
      </c>
      <c r="AD747" s="25"/>
      <c r="AE747" s="25"/>
      <c r="AF747" s="25">
        <v>0</v>
      </c>
      <c r="AG747" s="25"/>
      <c r="AH747" s="25"/>
      <c r="AI747" s="25">
        <v>0</v>
      </c>
      <c r="AJ747" s="25"/>
      <c r="AK747" s="25"/>
      <c r="AL747" s="25"/>
      <c r="AM747" s="25"/>
      <c r="AN747" s="25"/>
      <c r="AO747" s="25"/>
      <c r="AP747" s="25"/>
      <c r="AQ747" s="25"/>
      <c r="AR747" s="25"/>
      <c r="AS747" s="25"/>
      <c r="AT747" s="25"/>
      <c r="AU747" s="25">
        <v>0</v>
      </c>
      <c r="AV747" s="25"/>
      <c r="AW747" s="25"/>
      <c r="AX747" s="25"/>
      <c r="AY747" s="25"/>
      <c r="AZ747" s="25"/>
      <c r="BA747" s="25">
        <v>0</v>
      </c>
      <c r="BB747" s="25"/>
      <c r="BC747" s="25"/>
      <c r="BD747" s="25">
        <v>0</v>
      </c>
      <c r="BE747" s="25"/>
      <c r="BF747" s="25"/>
      <c r="BG747" s="250"/>
      <c r="BH747" s="250"/>
      <c r="BI747" s="250"/>
      <c r="BJ747" s="250"/>
      <c r="BK747" s="250"/>
      <c r="BL747" s="250"/>
      <c r="BM747" s="250"/>
      <c r="BN747" s="250"/>
      <c r="BO747" s="250"/>
      <c r="BP747" s="250"/>
      <c r="BQ747" s="250"/>
      <c r="BR747" s="250"/>
      <c r="BS747" s="250"/>
      <c r="BT747" s="250"/>
      <c r="BU747" s="250"/>
      <c r="BV747" s="250"/>
      <c r="BW747" s="250"/>
      <c r="BX747" s="250"/>
      <c r="BY747" s="25">
        <v>0</v>
      </c>
      <c r="BZ747" s="25"/>
      <c r="CA747" s="25"/>
      <c r="CB747" s="25">
        <v>0</v>
      </c>
      <c r="CC747" s="25"/>
      <c r="CD747" s="25"/>
      <c r="CE747" s="110">
        <v>0</v>
      </c>
      <c r="CF747" s="110"/>
      <c r="CG747" s="110"/>
      <c r="CH747" s="110">
        <v>0</v>
      </c>
      <c r="CI747" s="110"/>
      <c r="CJ747" s="110"/>
      <c r="CK747" s="13">
        <v>3666800</v>
      </c>
      <c r="CL747" s="9"/>
      <c r="CM747" s="9"/>
      <c r="CN747" s="288">
        <v>0</v>
      </c>
      <c r="CO747" s="288"/>
      <c r="CP747" s="288"/>
      <c r="CQ747" s="288"/>
      <c r="CR747" s="288"/>
      <c r="CS747" s="288"/>
      <c r="CT747" s="25">
        <f t="shared" si="411"/>
        <v>3666800</v>
      </c>
      <c r="CU747" s="25">
        <f t="shared" si="411"/>
        <v>0</v>
      </c>
      <c r="CV747" s="25">
        <f t="shared" si="411"/>
        <v>0</v>
      </c>
    </row>
    <row r="748" spans="1:100" ht="21.75" customHeight="1" x14ac:dyDescent="0.25">
      <c r="A748" s="19"/>
      <c r="B748" s="615"/>
      <c r="C748" s="945"/>
      <c r="D748" s="954"/>
      <c r="E748" s="945"/>
      <c r="F748" s="945"/>
      <c r="G748" s="409"/>
      <c r="H748" s="155"/>
      <c r="I748" s="154"/>
      <c r="J748" s="156"/>
      <c r="K748" s="156"/>
      <c r="L748" s="156"/>
      <c r="M748" s="156"/>
      <c r="N748" s="157"/>
      <c r="O748" s="154"/>
      <c r="P748" s="155"/>
      <c r="Q748" s="158">
        <f>SUM(Q745:Q747)</f>
        <v>0</v>
      </c>
      <c r="R748" s="158"/>
      <c r="S748" s="158"/>
      <c r="T748" s="158">
        <f>SUM(T745:T747)</f>
        <v>0</v>
      </c>
      <c r="U748" s="158"/>
      <c r="V748" s="158"/>
      <c r="W748" s="158">
        <f>SUM(W745:W747)</f>
        <v>0</v>
      </c>
      <c r="X748" s="158"/>
      <c r="Y748" s="158"/>
      <c r="Z748" s="158">
        <f>SUM(Z745:Z747)</f>
        <v>0</v>
      </c>
      <c r="AA748" s="158"/>
      <c r="AB748" s="158"/>
      <c r="AC748" s="158">
        <f>SUM(AC745:AC747)</f>
        <v>0</v>
      </c>
      <c r="AD748" s="158"/>
      <c r="AE748" s="158"/>
      <c r="AF748" s="158">
        <f>SUM(AF745:AF747)</f>
        <v>0</v>
      </c>
      <c r="AG748" s="158"/>
      <c r="AH748" s="158"/>
      <c r="AI748" s="158">
        <f>SUM(AI745:AI747)</f>
        <v>0</v>
      </c>
      <c r="AJ748" s="158"/>
      <c r="AK748" s="158"/>
      <c r="AL748" s="158"/>
      <c r="AM748" s="158"/>
      <c r="AN748" s="158"/>
      <c r="AO748" s="158"/>
      <c r="AP748" s="158"/>
      <c r="AQ748" s="158"/>
      <c r="AR748" s="158"/>
      <c r="AS748" s="158"/>
      <c r="AT748" s="158"/>
      <c r="AU748" s="158">
        <f>SUM(AU745:AU747)</f>
        <v>0</v>
      </c>
      <c r="AV748" s="158"/>
      <c r="AW748" s="158"/>
      <c r="AX748" s="158"/>
      <c r="AY748" s="158"/>
      <c r="AZ748" s="158"/>
      <c r="BA748" s="158">
        <f>SUM(BA745:BA747)</f>
        <v>0</v>
      </c>
      <c r="BB748" s="158"/>
      <c r="BC748" s="158"/>
      <c r="BD748" s="158">
        <f>SUM(BD745:BD747)</f>
        <v>0</v>
      </c>
      <c r="BE748" s="158"/>
      <c r="BF748" s="158"/>
      <c r="BG748" s="158">
        <f>SUM(BG745:BG747)</f>
        <v>0</v>
      </c>
      <c r="BH748" s="158"/>
      <c r="BI748" s="158"/>
      <c r="BJ748" s="158">
        <f>SUM(BJ745:BJ747)</f>
        <v>0</v>
      </c>
      <c r="BK748" s="158"/>
      <c r="BL748" s="158"/>
      <c r="BM748" s="158">
        <f>SUM(BM745:BM747)</f>
        <v>0</v>
      </c>
      <c r="BN748" s="158"/>
      <c r="BO748" s="158"/>
      <c r="BP748" s="158">
        <f>SUM(BP745:BP747)</f>
        <v>0</v>
      </c>
      <c r="BQ748" s="158"/>
      <c r="BR748" s="158"/>
      <c r="BS748" s="158">
        <f>SUM(BS745:BS747)</f>
        <v>0</v>
      </c>
      <c r="BT748" s="158"/>
      <c r="BU748" s="158"/>
      <c r="BV748" s="158">
        <f>SUM(BV745:BV747)</f>
        <v>0</v>
      </c>
      <c r="BW748" s="158"/>
      <c r="BX748" s="158"/>
      <c r="BY748" s="158">
        <f>SUM(BY745:BY747)</f>
        <v>0</v>
      </c>
      <c r="BZ748" s="158"/>
      <c r="CA748" s="158"/>
      <c r="CB748" s="158">
        <f>SUM(CB745:CB747)</f>
        <v>0</v>
      </c>
      <c r="CC748" s="158"/>
      <c r="CD748" s="158"/>
      <c r="CE748" s="243">
        <f>SUM(CE745:CE747)</f>
        <v>0</v>
      </c>
      <c r="CF748" s="243"/>
      <c r="CG748" s="243"/>
      <c r="CH748" s="243">
        <f>SUM(CH745:CH747)</f>
        <v>0</v>
      </c>
      <c r="CI748" s="243"/>
      <c r="CJ748" s="243"/>
      <c r="CK748" s="158">
        <f>SUM(CK745:CK747)</f>
        <v>129551754</v>
      </c>
      <c r="CL748" s="158">
        <f t="shared" ref="CL748:CS748" si="412">SUM(CL745:CL747)</f>
        <v>81246664</v>
      </c>
      <c r="CM748" s="158">
        <f t="shared" si="412"/>
        <v>81246664</v>
      </c>
      <c r="CN748" s="158">
        <f t="shared" si="412"/>
        <v>0</v>
      </c>
      <c r="CO748" s="158">
        <f t="shared" si="412"/>
        <v>0</v>
      </c>
      <c r="CP748" s="158">
        <f t="shared" si="412"/>
        <v>0</v>
      </c>
      <c r="CQ748" s="158">
        <f t="shared" si="412"/>
        <v>0</v>
      </c>
      <c r="CR748" s="158">
        <f t="shared" si="412"/>
        <v>0</v>
      </c>
      <c r="CS748" s="158">
        <f t="shared" si="412"/>
        <v>0</v>
      </c>
      <c r="CT748" s="158">
        <f>SUM(CT745:CT747)</f>
        <v>129551754</v>
      </c>
      <c r="CU748" s="158">
        <f>SUM(CU745:CU747)</f>
        <v>81246664</v>
      </c>
      <c r="CV748" s="158">
        <f>SUM(CV745:CV747)</f>
        <v>81246664</v>
      </c>
    </row>
    <row r="749" spans="1:100" ht="21.75" customHeight="1" x14ac:dyDescent="0.25">
      <c r="A749" s="152"/>
      <c r="B749" s="583"/>
      <c r="C749" s="584"/>
      <c r="D749" s="583"/>
      <c r="E749" s="584"/>
      <c r="F749" s="584"/>
      <c r="G749" s="585"/>
      <c r="H749" s="584"/>
      <c r="I749" s="583"/>
      <c r="J749" s="586"/>
      <c r="K749" s="586"/>
      <c r="L749" s="586"/>
      <c r="M749" s="586"/>
      <c r="N749" s="587"/>
      <c r="O749" s="583"/>
      <c r="P749" s="584"/>
      <c r="Q749" s="588">
        <f>Q748</f>
        <v>0</v>
      </c>
      <c r="R749" s="588"/>
      <c r="S749" s="588"/>
      <c r="T749" s="588">
        <f>T748</f>
        <v>0</v>
      </c>
      <c r="U749" s="588"/>
      <c r="V749" s="588"/>
      <c r="W749" s="588">
        <f>W748</f>
        <v>0</v>
      </c>
      <c r="X749" s="588"/>
      <c r="Y749" s="588"/>
      <c r="Z749" s="588">
        <f>Z748</f>
        <v>0</v>
      </c>
      <c r="AA749" s="588"/>
      <c r="AB749" s="588"/>
      <c r="AC749" s="588">
        <f>AC748</f>
        <v>0</v>
      </c>
      <c r="AD749" s="588"/>
      <c r="AE749" s="588"/>
      <c r="AF749" s="588">
        <f>AF748</f>
        <v>0</v>
      </c>
      <c r="AG749" s="588"/>
      <c r="AH749" s="588"/>
      <c r="AI749" s="588">
        <f>AI748</f>
        <v>0</v>
      </c>
      <c r="AJ749" s="588"/>
      <c r="AK749" s="588"/>
      <c r="AL749" s="588"/>
      <c r="AM749" s="588"/>
      <c r="AN749" s="588"/>
      <c r="AO749" s="588"/>
      <c r="AP749" s="588"/>
      <c r="AQ749" s="588"/>
      <c r="AR749" s="588"/>
      <c r="AS749" s="588"/>
      <c r="AT749" s="588"/>
      <c r="AU749" s="588">
        <f>AU748</f>
        <v>0</v>
      </c>
      <c r="AV749" s="588"/>
      <c r="AW749" s="588"/>
      <c r="AX749" s="588"/>
      <c r="AY749" s="588"/>
      <c r="AZ749" s="588"/>
      <c r="BA749" s="588">
        <f>BA748</f>
        <v>0</v>
      </c>
      <c r="BB749" s="588"/>
      <c r="BC749" s="588"/>
      <c r="BD749" s="588">
        <f>BD748</f>
        <v>0</v>
      </c>
      <c r="BE749" s="588"/>
      <c r="BF749" s="588"/>
      <c r="BG749" s="588">
        <f>BG748</f>
        <v>0</v>
      </c>
      <c r="BH749" s="588"/>
      <c r="BI749" s="588"/>
      <c r="BJ749" s="588">
        <f>BJ748</f>
        <v>0</v>
      </c>
      <c r="BK749" s="588"/>
      <c r="BL749" s="588"/>
      <c r="BM749" s="588">
        <f>BM748</f>
        <v>0</v>
      </c>
      <c r="BN749" s="588"/>
      <c r="BO749" s="588"/>
      <c r="BP749" s="588">
        <f>BP748</f>
        <v>0</v>
      </c>
      <c r="BQ749" s="588"/>
      <c r="BR749" s="588"/>
      <c r="BS749" s="588">
        <f>BS748</f>
        <v>0</v>
      </c>
      <c r="BT749" s="588"/>
      <c r="BU749" s="588"/>
      <c r="BV749" s="588">
        <f>BV748</f>
        <v>0</v>
      </c>
      <c r="BW749" s="588"/>
      <c r="BX749" s="588"/>
      <c r="BY749" s="588">
        <f>BY748</f>
        <v>0</v>
      </c>
      <c r="BZ749" s="588"/>
      <c r="CA749" s="588"/>
      <c r="CB749" s="588">
        <f>CB748</f>
        <v>0</v>
      </c>
      <c r="CC749" s="588"/>
      <c r="CD749" s="588"/>
      <c r="CE749" s="589">
        <f>CE748</f>
        <v>0</v>
      </c>
      <c r="CF749" s="589"/>
      <c r="CG749" s="589"/>
      <c r="CH749" s="589">
        <f>CH748</f>
        <v>0</v>
      </c>
      <c r="CI749" s="589"/>
      <c r="CJ749" s="589"/>
      <c r="CK749" s="588">
        <f>CK748</f>
        <v>129551754</v>
      </c>
      <c r="CL749" s="588">
        <f t="shared" ref="CL749:CS751" si="413">CL748</f>
        <v>81246664</v>
      </c>
      <c r="CM749" s="588">
        <f t="shared" si="413"/>
        <v>81246664</v>
      </c>
      <c r="CN749" s="588">
        <f t="shared" si="413"/>
        <v>0</v>
      </c>
      <c r="CO749" s="588">
        <f t="shared" si="413"/>
        <v>0</v>
      </c>
      <c r="CP749" s="588">
        <f t="shared" si="413"/>
        <v>0</v>
      </c>
      <c r="CQ749" s="588">
        <f t="shared" si="413"/>
        <v>0</v>
      </c>
      <c r="CR749" s="588">
        <f t="shared" si="413"/>
        <v>0</v>
      </c>
      <c r="CS749" s="588">
        <f t="shared" si="413"/>
        <v>0</v>
      </c>
      <c r="CT749" s="588">
        <f>CT748</f>
        <v>129551754</v>
      </c>
      <c r="CU749" s="588">
        <f t="shared" ref="CU749:CV751" si="414">CU748</f>
        <v>81246664</v>
      </c>
      <c r="CV749" s="588">
        <f t="shared" si="414"/>
        <v>81246664</v>
      </c>
    </row>
    <row r="750" spans="1:100" ht="21.75" customHeight="1" x14ac:dyDescent="0.25">
      <c r="A750" s="166"/>
      <c r="B750" s="166"/>
      <c r="C750" s="167"/>
      <c r="D750" s="166"/>
      <c r="E750" s="167"/>
      <c r="F750" s="167"/>
      <c r="G750" s="258"/>
      <c r="H750" s="167"/>
      <c r="I750" s="166"/>
      <c r="J750" s="168"/>
      <c r="K750" s="168"/>
      <c r="L750" s="168"/>
      <c r="M750" s="168"/>
      <c r="N750" s="169"/>
      <c r="O750" s="166"/>
      <c r="P750" s="167"/>
      <c r="Q750" s="170">
        <f>Q749</f>
        <v>0</v>
      </c>
      <c r="R750" s="170"/>
      <c r="S750" s="170"/>
      <c r="T750" s="170">
        <f>T749</f>
        <v>0</v>
      </c>
      <c r="U750" s="170"/>
      <c r="V750" s="170"/>
      <c r="W750" s="170">
        <f>W749</f>
        <v>0</v>
      </c>
      <c r="X750" s="170"/>
      <c r="Y750" s="170"/>
      <c r="Z750" s="170">
        <f>Z749</f>
        <v>0</v>
      </c>
      <c r="AA750" s="170"/>
      <c r="AB750" s="170"/>
      <c r="AC750" s="170">
        <f>AC749</f>
        <v>0</v>
      </c>
      <c r="AD750" s="170"/>
      <c r="AE750" s="170"/>
      <c r="AF750" s="170">
        <f>AF749</f>
        <v>0</v>
      </c>
      <c r="AG750" s="170"/>
      <c r="AH750" s="170"/>
      <c r="AI750" s="170">
        <f>AI749</f>
        <v>0</v>
      </c>
      <c r="AJ750" s="170"/>
      <c r="AK750" s="170"/>
      <c r="AL750" s="170"/>
      <c r="AM750" s="170"/>
      <c r="AN750" s="170"/>
      <c r="AO750" s="170"/>
      <c r="AP750" s="170"/>
      <c r="AQ750" s="170"/>
      <c r="AR750" s="170"/>
      <c r="AS750" s="170"/>
      <c r="AT750" s="170"/>
      <c r="AU750" s="170">
        <f>AU749</f>
        <v>0</v>
      </c>
      <c r="AV750" s="170"/>
      <c r="AW750" s="170"/>
      <c r="AX750" s="170"/>
      <c r="AY750" s="170"/>
      <c r="AZ750" s="170"/>
      <c r="BA750" s="170">
        <f>BA749</f>
        <v>0</v>
      </c>
      <c r="BB750" s="170"/>
      <c r="BC750" s="170"/>
      <c r="BD750" s="170">
        <f>BD749</f>
        <v>0</v>
      </c>
      <c r="BE750" s="170"/>
      <c r="BF750" s="170"/>
      <c r="BG750" s="170">
        <f>BG749</f>
        <v>0</v>
      </c>
      <c r="BH750" s="170"/>
      <c r="BI750" s="170"/>
      <c r="BJ750" s="170">
        <f>BJ749</f>
        <v>0</v>
      </c>
      <c r="BK750" s="170"/>
      <c r="BL750" s="170"/>
      <c r="BM750" s="170">
        <f>BM749</f>
        <v>0</v>
      </c>
      <c r="BN750" s="170"/>
      <c r="BO750" s="170"/>
      <c r="BP750" s="170">
        <f>BP749</f>
        <v>0</v>
      </c>
      <c r="BQ750" s="170"/>
      <c r="BR750" s="170"/>
      <c r="BS750" s="170">
        <f>BS749</f>
        <v>0</v>
      </c>
      <c r="BT750" s="170"/>
      <c r="BU750" s="170"/>
      <c r="BV750" s="170">
        <f>BV749</f>
        <v>0</v>
      </c>
      <c r="BW750" s="170"/>
      <c r="BX750" s="170"/>
      <c r="BY750" s="170">
        <f>BY749</f>
        <v>0</v>
      </c>
      <c r="BZ750" s="170"/>
      <c r="CA750" s="170"/>
      <c r="CB750" s="170">
        <f>CB749</f>
        <v>0</v>
      </c>
      <c r="CC750" s="170"/>
      <c r="CD750" s="170"/>
      <c r="CE750" s="246">
        <f>CE749</f>
        <v>0</v>
      </c>
      <c r="CF750" s="246"/>
      <c r="CG750" s="246"/>
      <c r="CH750" s="246">
        <f>CH749</f>
        <v>0</v>
      </c>
      <c r="CI750" s="246"/>
      <c r="CJ750" s="246"/>
      <c r="CK750" s="170">
        <f>CK749</f>
        <v>129551754</v>
      </c>
      <c r="CL750" s="170">
        <f t="shared" si="413"/>
        <v>81246664</v>
      </c>
      <c r="CM750" s="170">
        <f t="shared" si="413"/>
        <v>81246664</v>
      </c>
      <c r="CN750" s="170">
        <f t="shared" si="413"/>
        <v>0</v>
      </c>
      <c r="CO750" s="170">
        <f t="shared" si="413"/>
        <v>0</v>
      </c>
      <c r="CP750" s="170">
        <f t="shared" si="413"/>
        <v>0</v>
      </c>
      <c r="CQ750" s="170">
        <f t="shared" si="413"/>
        <v>0</v>
      </c>
      <c r="CR750" s="170">
        <f t="shared" si="413"/>
        <v>0</v>
      </c>
      <c r="CS750" s="170">
        <f t="shared" si="413"/>
        <v>0</v>
      </c>
      <c r="CT750" s="170">
        <f>CT749</f>
        <v>129551754</v>
      </c>
      <c r="CU750" s="170">
        <f t="shared" si="414"/>
        <v>81246664</v>
      </c>
      <c r="CV750" s="170">
        <f t="shared" si="414"/>
        <v>81246664</v>
      </c>
    </row>
    <row r="751" spans="1:100" ht="21.75" customHeight="1" x14ac:dyDescent="0.25">
      <c r="A751" s="171"/>
      <c r="B751" s="171"/>
      <c r="C751" s="172"/>
      <c r="D751" s="171"/>
      <c r="E751" s="172"/>
      <c r="F751" s="172"/>
      <c r="G751" s="578"/>
      <c r="H751" s="172"/>
      <c r="I751" s="171"/>
      <c r="J751" s="173"/>
      <c r="K751" s="173"/>
      <c r="L751" s="173"/>
      <c r="M751" s="173"/>
      <c r="N751" s="174"/>
      <c r="O751" s="171"/>
      <c r="P751" s="172"/>
      <c r="Q751" s="175">
        <f>Q750</f>
        <v>0</v>
      </c>
      <c r="R751" s="175"/>
      <c r="S751" s="175"/>
      <c r="T751" s="175">
        <f>T750</f>
        <v>0</v>
      </c>
      <c r="U751" s="175"/>
      <c r="V751" s="175"/>
      <c r="W751" s="175">
        <f>W750</f>
        <v>0</v>
      </c>
      <c r="X751" s="175"/>
      <c r="Y751" s="175"/>
      <c r="Z751" s="175">
        <f>Z750</f>
        <v>0</v>
      </c>
      <c r="AA751" s="175"/>
      <c r="AB751" s="175"/>
      <c r="AC751" s="175">
        <f>AC750</f>
        <v>0</v>
      </c>
      <c r="AD751" s="175"/>
      <c r="AE751" s="175"/>
      <c r="AF751" s="175">
        <f>AF750</f>
        <v>0</v>
      </c>
      <c r="AG751" s="175"/>
      <c r="AH751" s="175"/>
      <c r="AI751" s="175">
        <f>AI750</f>
        <v>0</v>
      </c>
      <c r="AJ751" s="175"/>
      <c r="AK751" s="175"/>
      <c r="AL751" s="175"/>
      <c r="AM751" s="175"/>
      <c r="AN751" s="175"/>
      <c r="AO751" s="175"/>
      <c r="AP751" s="175"/>
      <c r="AQ751" s="175"/>
      <c r="AR751" s="175"/>
      <c r="AS751" s="175"/>
      <c r="AT751" s="175"/>
      <c r="AU751" s="175">
        <f>AU750</f>
        <v>0</v>
      </c>
      <c r="AV751" s="175"/>
      <c r="AW751" s="175"/>
      <c r="AX751" s="175"/>
      <c r="AY751" s="175"/>
      <c r="AZ751" s="175"/>
      <c r="BA751" s="175">
        <f>BA750</f>
        <v>0</v>
      </c>
      <c r="BB751" s="175"/>
      <c r="BC751" s="175"/>
      <c r="BD751" s="175">
        <f>BD750</f>
        <v>0</v>
      </c>
      <c r="BE751" s="175"/>
      <c r="BF751" s="175"/>
      <c r="BG751" s="175">
        <f>BG750</f>
        <v>0</v>
      </c>
      <c r="BH751" s="175"/>
      <c r="BI751" s="175"/>
      <c r="BJ751" s="175">
        <f>BJ750</f>
        <v>0</v>
      </c>
      <c r="BK751" s="175"/>
      <c r="BL751" s="175"/>
      <c r="BM751" s="175">
        <f>BM750</f>
        <v>0</v>
      </c>
      <c r="BN751" s="175"/>
      <c r="BO751" s="175"/>
      <c r="BP751" s="175">
        <f>BP750</f>
        <v>0</v>
      </c>
      <c r="BQ751" s="175"/>
      <c r="BR751" s="175"/>
      <c r="BS751" s="175">
        <f>BS750</f>
        <v>0</v>
      </c>
      <c r="BT751" s="175"/>
      <c r="BU751" s="175"/>
      <c r="BV751" s="175">
        <f>BV750</f>
        <v>0</v>
      </c>
      <c r="BW751" s="175"/>
      <c r="BX751" s="175"/>
      <c r="BY751" s="175">
        <f>BY750</f>
        <v>0</v>
      </c>
      <c r="BZ751" s="175"/>
      <c r="CA751" s="175"/>
      <c r="CB751" s="175">
        <f>CB750</f>
        <v>0</v>
      </c>
      <c r="CC751" s="175"/>
      <c r="CD751" s="175"/>
      <c r="CE751" s="247">
        <f>CE750</f>
        <v>0</v>
      </c>
      <c r="CF751" s="247"/>
      <c r="CG751" s="247"/>
      <c r="CH751" s="247">
        <f>CH750</f>
        <v>0</v>
      </c>
      <c r="CI751" s="247"/>
      <c r="CJ751" s="247"/>
      <c r="CK751" s="175">
        <f>CK750</f>
        <v>129551754</v>
      </c>
      <c r="CL751" s="175">
        <f t="shared" si="413"/>
        <v>81246664</v>
      </c>
      <c r="CM751" s="175">
        <f t="shared" si="413"/>
        <v>81246664</v>
      </c>
      <c r="CN751" s="175">
        <f t="shared" si="413"/>
        <v>0</v>
      </c>
      <c r="CO751" s="175">
        <f t="shared" si="413"/>
        <v>0</v>
      </c>
      <c r="CP751" s="175">
        <f t="shared" si="413"/>
        <v>0</v>
      </c>
      <c r="CQ751" s="175">
        <f t="shared" si="413"/>
        <v>0</v>
      </c>
      <c r="CR751" s="175">
        <f t="shared" si="413"/>
        <v>0</v>
      </c>
      <c r="CS751" s="175">
        <f t="shared" si="413"/>
        <v>0</v>
      </c>
      <c r="CT751" s="1001">
        <f>CT750</f>
        <v>129551754</v>
      </c>
      <c r="CU751" s="175">
        <f t="shared" si="414"/>
        <v>81246664</v>
      </c>
      <c r="CV751" s="175">
        <f t="shared" si="414"/>
        <v>81246664</v>
      </c>
    </row>
    <row r="752" spans="1:100" ht="18.75" x14ac:dyDescent="0.3">
      <c r="A752" s="590"/>
      <c r="B752" s="590"/>
      <c r="C752" s="591"/>
      <c r="D752" s="592"/>
      <c r="E752" s="591"/>
      <c r="F752" s="591"/>
      <c r="G752" s="593"/>
      <c r="H752" s="594"/>
      <c r="I752" s="595"/>
      <c r="J752" s="596"/>
      <c r="K752" s="596"/>
      <c r="L752" s="596"/>
      <c r="M752" s="596"/>
      <c r="N752" s="418"/>
      <c r="O752" s="597"/>
      <c r="P752" s="598"/>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599"/>
      <c r="AL752" s="599"/>
      <c r="AM752" s="599"/>
      <c r="AN752" s="599"/>
      <c r="AO752" s="599"/>
      <c r="AP752" s="599"/>
      <c r="AQ752" s="599"/>
      <c r="AR752" s="599"/>
      <c r="AS752" s="599"/>
      <c r="AT752" s="599"/>
      <c r="AU752" s="599"/>
      <c r="AV752" s="599"/>
      <c r="AW752" s="599"/>
      <c r="AX752" s="599"/>
      <c r="AY752" s="599"/>
      <c r="AZ752" s="599"/>
      <c r="BA752" s="599"/>
      <c r="BB752" s="599"/>
      <c r="BC752" s="599"/>
      <c r="BD752" s="599"/>
      <c r="BE752" s="599"/>
      <c r="BF752" s="599"/>
      <c r="BG752" s="600"/>
      <c r="BH752" s="600"/>
      <c r="BI752" s="600"/>
      <c r="BJ752" s="600"/>
      <c r="BK752" s="600"/>
      <c r="BL752" s="600"/>
      <c r="BM752" s="600"/>
      <c r="BN752" s="600"/>
      <c r="BO752" s="600"/>
      <c r="BP752" s="600"/>
      <c r="BQ752" s="600"/>
      <c r="BR752" s="600"/>
      <c r="BS752" s="600"/>
      <c r="BT752" s="600"/>
      <c r="BU752" s="600"/>
      <c r="BV752" s="600"/>
      <c r="BW752" s="600"/>
      <c r="BX752" s="600"/>
      <c r="BY752" s="599"/>
      <c r="BZ752" s="599"/>
      <c r="CA752" s="599"/>
      <c r="CB752" s="599"/>
      <c r="CC752" s="599"/>
      <c r="CD752" s="599"/>
      <c r="CE752" s="601"/>
      <c r="CF752" s="601"/>
      <c r="CG752" s="601"/>
      <c r="CH752" s="602"/>
      <c r="CI752" s="602"/>
      <c r="CJ752" s="602"/>
      <c r="CK752" s="1024"/>
      <c r="CL752" s="1024"/>
      <c r="CM752" s="1024"/>
      <c r="CN752" s="1024"/>
      <c r="CO752" s="965"/>
      <c r="CP752" s="965"/>
      <c r="CQ752" s="965"/>
      <c r="CR752" s="965"/>
      <c r="CS752" s="965"/>
      <c r="CT752" s="775"/>
      <c r="CU752" s="776"/>
      <c r="CV752" s="776"/>
    </row>
    <row r="753" spans="1:100" ht="30" customHeight="1" x14ac:dyDescent="0.25">
      <c r="A753" s="607" t="s">
        <v>922</v>
      </c>
      <c r="B753" s="607"/>
      <c r="C753" s="607"/>
      <c r="D753" s="607"/>
      <c r="E753" s="607"/>
      <c r="F753" s="607"/>
      <c r="G753" s="607"/>
      <c r="H753" s="607"/>
      <c r="I753" s="607"/>
      <c r="J753" s="607"/>
      <c r="K753" s="607"/>
      <c r="L753" s="607"/>
      <c r="M753" s="607"/>
      <c r="N753" s="689"/>
      <c r="O753" s="607"/>
      <c r="P753" s="607"/>
      <c r="Q753" s="777">
        <f t="shared" ref="Q753:AV753" si="415">Q679+Q722+Q739+Q751</f>
        <v>2761249840.2599998</v>
      </c>
      <c r="R753" s="777">
        <f t="shared" si="415"/>
        <v>1155104161.8</v>
      </c>
      <c r="S753" s="777">
        <f t="shared" si="415"/>
        <v>1155104161.8</v>
      </c>
      <c r="T753" s="777">
        <f t="shared" si="415"/>
        <v>4106001782.29</v>
      </c>
      <c r="U753" s="777">
        <f t="shared" si="415"/>
        <v>3954329485.9899998</v>
      </c>
      <c r="V753" s="777">
        <f t="shared" si="415"/>
        <v>3954329485.9899998</v>
      </c>
      <c r="W753" s="777">
        <f t="shared" si="415"/>
        <v>11802281921.209999</v>
      </c>
      <c r="X753" s="777">
        <f t="shared" si="415"/>
        <v>8042211200.3000002</v>
      </c>
      <c r="Y753" s="777">
        <f t="shared" si="415"/>
        <v>7051817434.5</v>
      </c>
      <c r="Z753" s="777">
        <f t="shared" si="415"/>
        <v>9145274815.1000004</v>
      </c>
      <c r="AA753" s="777">
        <f t="shared" si="415"/>
        <v>4878561676</v>
      </c>
      <c r="AB753" s="777">
        <f t="shared" si="415"/>
        <v>4749734437</v>
      </c>
      <c r="AC753" s="777">
        <f t="shared" si="415"/>
        <v>80296670</v>
      </c>
      <c r="AD753" s="777">
        <f t="shared" si="415"/>
        <v>69664665</v>
      </c>
      <c r="AE753" s="777">
        <f t="shared" si="415"/>
        <v>69664665</v>
      </c>
      <c r="AF753" s="777">
        <f t="shared" si="415"/>
        <v>636637204.06999993</v>
      </c>
      <c r="AG753" s="777">
        <f t="shared" si="415"/>
        <v>534121651.06999999</v>
      </c>
      <c r="AH753" s="777">
        <f t="shared" si="415"/>
        <v>376661651.06999999</v>
      </c>
      <c r="AI753" s="777">
        <f t="shared" si="415"/>
        <v>8319123642</v>
      </c>
      <c r="AJ753" s="777">
        <f t="shared" si="415"/>
        <v>6550924784</v>
      </c>
      <c r="AK753" s="777">
        <f t="shared" si="415"/>
        <v>6436790167</v>
      </c>
      <c r="AL753" s="777">
        <f t="shared" si="415"/>
        <v>5020955903.996911</v>
      </c>
      <c r="AM753" s="777">
        <f t="shared" si="415"/>
        <v>4576108092.6599998</v>
      </c>
      <c r="AN753" s="777">
        <f t="shared" si="415"/>
        <v>4256113224.3299999</v>
      </c>
      <c r="AO753" s="777">
        <f t="shared" si="415"/>
        <v>3775114443</v>
      </c>
      <c r="AP753" s="777">
        <f t="shared" si="415"/>
        <v>3775114443</v>
      </c>
      <c r="AQ753" s="777">
        <f t="shared" si="415"/>
        <v>3775114443</v>
      </c>
      <c r="AR753" s="777">
        <f t="shared" si="415"/>
        <v>5974899521</v>
      </c>
      <c r="AS753" s="777">
        <f t="shared" si="415"/>
        <v>5446738940</v>
      </c>
      <c r="AT753" s="777">
        <f t="shared" si="415"/>
        <v>4789088940</v>
      </c>
      <c r="AU753" s="777">
        <f t="shared" si="415"/>
        <v>17995884298</v>
      </c>
      <c r="AV753" s="777">
        <f t="shared" si="415"/>
        <v>17320959137.75</v>
      </c>
      <c r="AW753" s="777">
        <f t="shared" ref="AW753:CB753" si="416">AW679+AW722+AW739+AW751</f>
        <v>17316499272.75</v>
      </c>
      <c r="AX753" s="777">
        <f t="shared" si="416"/>
        <v>745232093.80999994</v>
      </c>
      <c r="AY753" s="777">
        <f t="shared" si="416"/>
        <v>707204058.80999994</v>
      </c>
      <c r="AZ753" s="777">
        <f t="shared" si="416"/>
        <v>700679418.62</v>
      </c>
      <c r="BA753" s="777">
        <f t="shared" si="416"/>
        <v>1375125452.1300001</v>
      </c>
      <c r="BB753" s="777">
        <f t="shared" si="416"/>
        <v>969465315</v>
      </c>
      <c r="BC753" s="777">
        <f t="shared" si="416"/>
        <v>909465315</v>
      </c>
      <c r="BD753" s="777">
        <f t="shared" si="416"/>
        <v>8005242942</v>
      </c>
      <c r="BE753" s="777">
        <f t="shared" si="416"/>
        <v>7677935485</v>
      </c>
      <c r="BF753" s="777">
        <f t="shared" si="416"/>
        <v>7677935485</v>
      </c>
      <c r="BG753" s="777">
        <f t="shared" si="416"/>
        <v>107645394041</v>
      </c>
      <c r="BH753" s="777">
        <f t="shared" si="416"/>
        <v>105102231363</v>
      </c>
      <c r="BI753" s="777">
        <f t="shared" si="416"/>
        <v>105096927113</v>
      </c>
      <c r="BJ753" s="777">
        <f t="shared" si="416"/>
        <v>18840890009</v>
      </c>
      <c r="BK753" s="777">
        <f t="shared" si="416"/>
        <v>18840890009</v>
      </c>
      <c r="BL753" s="777">
        <f t="shared" si="416"/>
        <v>18840890009</v>
      </c>
      <c r="BM753" s="777">
        <f t="shared" si="416"/>
        <v>1165770164</v>
      </c>
      <c r="BN753" s="777">
        <f t="shared" si="416"/>
        <v>1165770164.1400001</v>
      </c>
      <c r="BO753" s="777">
        <f t="shared" si="416"/>
        <v>1165770164.1400001</v>
      </c>
      <c r="BP753" s="777">
        <f t="shared" si="416"/>
        <v>6431354</v>
      </c>
      <c r="BQ753" s="777">
        <f t="shared" si="416"/>
        <v>6336943</v>
      </c>
      <c r="BR753" s="777">
        <f t="shared" si="416"/>
        <v>6336943</v>
      </c>
      <c r="BS753" s="777">
        <f t="shared" si="416"/>
        <v>1341180171</v>
      </c>
      <c r="BT753" s="777">
        <f t="shared" si="416"/>
        <v>976986480</v>
      </c>
      <c r="BU753" s="777">
        <f t="shared" si="416"/>
        <v>976986480</v>
      </c>
      <c r="BV753" s="777">
        <f t="shared" si="416"/>
        <v>488921512</v>
      </c>
      <c r="BW753" s="777">
        <f t="shared" si="416"/>
        <v>205820184</v>
      </c>
      <c r="BX753" s="777">
        <f t="shared" si="416"/>
        <v>205820184</v>
      </c>
      <c r="BY753" s="777">
        <f t="shared" si="416"/>
        <v>9011218541</v>
      </c>
      <c r="BZ753" s="777">
        <f t="shared" si="416"/>
        <v>7905360942</v>
      </c>
      <c r="CA753" s="777">
        <f t="shared" si="416"/>
        <v>7905360942</v>
      </c>
      <c r="CB753" s="777">
        <f t="shared" si="416"/>
        <v>2432800182</v>
      </c>
      <c r="CC753" s="777">
        <f t="shared" ref="CC753:CV753" si="417">CC679+CC722+CC739+CC751</f>
        <v>2427064367</v>
      </c>
      <c r="CD753" s="777">
        <f t="shared" si="417"/>
        <v>2427064367</v>
      </c>
      <c r="CE753" s="777">
        <f t="shared" si="417"/>
        <v>28834533204</v>
      </c>
      <c r="CF753" s="777">
        <f t="shared" si="417"/>
        <v>22499126224.419998</v>
      </c>
      <c r="CG753" s="777">
        <f t="shared" si="417"/>
        <v>21317642979.75</v>
      </c>
      <c r="CH753" s="777">
        <f t="shared" si="417"/>
        <v>274756584</v>
      </c>
      <c r="CI753" s="777">
        <f t="shared" si="417"/>
        <v>224609014</v>
      </c>
      <c r="CJ753" s="777">
        <f t="shared" si="417"/>
        <v>224609014</v>
      </c>
      <c r="CK753" s="777">
        <f t="shared" si="417"/>
        <v>2173529898</v>
      </c>
      <c r="CL753" s="777">
        <f t="shared" si="417"/>
        <v>1818222792.5599999</v>
      </c>
      <c r="CM753" s="777">
        <f t="shared" si="417"/>
        <v>1818222792.5599999</v>
      </c>
      <c r="CN753" s="777">
        <f t="shared" si="417"/>
        <v>3782057171</v>
      </c>
      <c r="CO753" s="777">
        <f t="shared" si="417"/>
        <v>1918571523</v>
      </c>
      <c r="CP753" s="777">
        <f t="shared" si="417"/>
        <v>1838690023</v>
      </c>
      <c r="CQ753" s="777">
        <f t="shared" si="417"/>
        <v>0</v>
      </c>
      <c r="CR753" s="777">
        <f t="shared" si="417"/>
        <v>0</v>
      </c>
      <c r="CS753" s="777">
        <f t="shared" si="417"/>
        <v>0</v>
      </c>
      <c r="CT753" s="777">
        <f t="shared" si="417"/>
        <v>255740803359.86691</v>
      </c>
      <c r="CU753" s="777">
        <f t="shared" si="417"/>
        <v>228749433102.50003</v>
      </c>
      <c r="CV753" s="777">
        <f t="shared" si="417"/>
        <v>225043319112.51004</v>
      </c>
    </row>
    <row r="754" spans="1:100" x14ac:dyDescent="0.25">
      <c r="CT754" s="606"/>
      <c r="CU754" s="778"/>
      <c r="CV754" s="778"/>
    </row>
    <row r="755" spans="1:100" x14ac:dyDescent="0.25">
      <c r="CT755" s="606"/>
      <c r="CU755" s="606"/>
      <c r="CV755" s="606"/>
    </row>
    <row r="756" spans="1:100" x14ac:dyDescent="0.25">
      <c r="CT756" s="606" t="s">
        <v>0</v>
      </c>
    </row>
    <row r="757" spans="1:100" x14ac:dyDescent="0.25">
      <c r="CT757" s="606" t="s">
        <v>0</v>
      </c>
      <c r="CU757" s="606" t="s">
        <v>0</v>
      </c>
      <c r="CV757" s="606" t="s">
        <v>0</v>
      </c>
    </row>
    <row r="759" spans="1:100" x14ac:dyDescent="0.25">
      <c r="CT759" s="130" t="s">
        <v>0</v>
      </c>
    </row>
    <row r="761" spans="1:100" x14ac:dyDescent="0.25">
      <c r="CT761" s="1003">
        <f>+CT751+CT739+CT722</f>
        <v>5339947564.8099995</v>
      </c>
      <c r="CU761" s="1003">
        <f t="shared" ref="CU761:CV761" si="418">+CU751+CU739+CU722</f>
        <v>4928495598.0699997</v>
      </c>
      <c r="CV761" s="1003">
        <f t="shared" si="418"/>
        <v>4921970957.8800001</v>
      </c>
    </row>
  </sheetData>
  <sheetProtection password="CBEB" sheet="1" objects="1" scenarios="1"/>
  <mergeCells count="420">
    <mergeCell ref="G5:G6"/>
    <mergeCell ref="F45:F49"/>
    <mergeCell ref="D45:D49"/>
    <mergeCell ref="C132:C133"/>
    <mergeCell ref="AO5:AQ5"/>
    <mergeCell ref="AR5:AT5"/>
    <mergeCell ref="AU5:AW5"/>
    <mergeCell ref="D54:D62"/>
    <mergeCell ref="E54:E62"/>
    <mergeCell ref="F54:F62"/>
    <mergeCell ref="M54:M62"/>
    <mergeCell ref="N54:N62"/>
    <mergeCell ref="O54:O62"/>
    <mergeCell ref="O15:O19"/>
    <mergeCell ref="H5:I6"/>
    <mergeCell ref="J5:J6"/>
    <mergeCell ref="K5:L5"/>
    <mergeCell ref="O5:O6"/>
    <mergeCell ref="M15:M19"/>
    <mergeCell ref="N15:N19"/>
    <mergeCell ref="P5:P6"/>
    <mergeCell ref="C5:D6"/>
    <mergeCell ref="E5:E6"/>
    <mergeCell ref="F5:F6"/>
    <mergeCell ref="O92:O99"/>
    <mergeCell ref="H237:Q237"/>
    <mergeCell ref="M238:M239"/>
    <mergeCell ref="N238:N239"/>
    <mergeCell ref="O238:O239"/>
    <mergeCell ref="M253:M255"/>
    <mergeCell ref="O190:O192"/>
    <mergeCell ref="O146:O150"/>
    <mergeCell ref="N175:N176"/>
    <mergeCell ref="O175:O176"/>
    <mergeCell ref="O137:O140"/>
    <mergeCell ref="M137:M140"/>
    <mergeCell ref="N137:N140"/>
    <mergeCell ref="M129:M133"/>
    <mergeCell ref="N129:N133"/>
    <mergeCell ref="O129:O133"/>
    <mergeCell ref="M45:M49"/>
    <mergeCell ref="N45:N49"/>
    <mergeCell ref="F72:F74"/>
    <mergeCell ref="C54:C62"/>
    <mergeCell ref="O45:O49"/>
    <mergeCell ref="O72:O74"/>
    <mergeCell ref="O86:O88"/>
    <mergeCell ref="M92:M99"/>
    <mergeCell ref="N92:N99"/>
    <mergeCell ref="M86:M88"/>
    <mergeCell ref="N86:N88"/>
    <mergeCell ref="D75:D76"/>
    <mergeCell ref="E75:E76"/>
    <mergeCell ref="F75:F76"/>
    <mergeCell ref="M75:M76"/>
    <mergeCell ref="O75:O76"/>
    <mergeCell ref="N75:N76"/>
    <mergeCell ref="C72:C74"/>
    <mergeCell ref="D72:D74"/>
    <mergeCell ref="E72:E74"/>
    <mergeCell ref="C92:C99"/>
    <mergeCell ref="D92:D99"/>
    <mergeCell ref="E45:E49"/>
    <mergeCell ref="C45:C49"/>
    <mergeCell ref="C129:C131"/>
    <mergeCell ref="D129:D131"/>
    <mergeCell ref="E129:E131"/>
    <mergeCell ref="F129:F131"/>
    <mergeCell ref="M72:M74"/>
    <mergeCell ref="N72:N74"/>
    <mergeCell ref="C139:C140"/>
    <mergeCell ref="D139:D140"/>
    <mergeCell ref="E139:E140"/>
    <mergeCell ref="F139:F140"/>
    <mergeCell ref="D132:D133"/>
    <mergeCell ref="E132:E133"/>
    <mergeCell ref="F132:F133"/>
    <mergeCell ref="C137:C138"/>
    <mergeCell ref="D137:D138"/>
    <mergeCell ref="E137:E138"/>
    <mergeCell ref="F137:F138"/>
    <mergeCell ref="E92:E99"/>
    <mergeCell ref="F92:F99"/>
    <mergeCell ref="C86:C88"/>
    <mergeCell ref="D86:D88"/>
    <mergeCell ref="E86:E88"/>
    <mergeCell ref="F86:F88"/>
    <mergeCell ref="C75:C76"/>
    <mergeCell ref="C154:C156"/>
    <mergeCell ref="D154:D156"/>
    <mergeCell ref="E154:E156"/>
    <mergeCell ref="F154:F156"/>
    <mergeCell ref="M154:M156"/>
    <mergeCell ref="N154:N156"/>
    <mergeCell ref="O154:O156"/>
    <mergeCell ref="C146:C150"/>
    <mergeCell ref="D146:D150"/>
    <mergeCell ref="E146:E150"/>
    <mergeCell ref="F146:F150"/>
    <mergeCell ref="M146:M150"/>
    <mergeCell ref="N146:N150"/>
    <mergeCell ref="C167:C171"/>
    <mergeCell ref="D167:D171"/>
    <mergeCell ref="E167:E171"/>
    <mergeCell ref="F167:F171"/>
    <mergeCell ref="M167:M171"/>
    <mergeCell ref="N167:N171"/>
    <mergeCell ref="O167:O171"/>
    <mergeCell ref="C160:C161"/>
    <mergeCell ref="D160:D161"/>
    <mergeCell ref="E160:E161"/>
    <mergeCell ref="F160:F161"/>
    <mergeCell ref="M160:M161"/>
    <mergeCell ref="N160:N161"/>
    <mergeCell ref="O160:O161"/>
    <mergeCell ref="C190:C192"/>
    <mergeCell ref="D190:D192"/>
    <mergeCell ref="E190:E192"/>
    <mergeCell ref="F190:F192"/>
    <mergeCell ref="M190:M192"/>
    <mergeCell ref="N190:N192"/>
    <mergeCell ref="C175:C176"/>
    <mergeCell ref="D175:D176"/>
    <mergeCell ref="E175:E176"/>
    <mergeCell ref="F175:F176"/>
    <mergeCell ref="G175:G176"/>
    <mergeCell ref="M175:M176"/>
    <mergeCell ref="C227:C228"/>
    <mergeCell ref="D227:D228"/>
    <mergeCell ref="E227:E228"/>
    <mergeCell ref="F227:F228"/>
    <mergeCell ref="M227:M228"/>
    <mergeCell ref="N227:N228"/>
    <mergeCell ref="O227:O228"/>
    <mergeCell ref="C207:C209"/>
    <mergeCell ref="D207:D209"/>
    <mergeCell ref="E207:E209"/>
    <mergeCell ref="F207:F209"/>
    <mergeCell ref="M207:M209"/>
    <mergeCell ref="N207:N209"/>
    <mergeCell ref="O207:O209"/>
    <mergeCell ref="M261:M262"/>
    <mergeCell ref="N261:N262"/>
    <mergeCell ref="O261:O262"/>
    <mergeCell ref="M280:M285"/>
    <mergeCell ref="N280:N285"/>
    <mergeCell ref="O280:O285"/>
    <mergeCell ref="M289:M290"/>
    <mergeCell ref="C240:C241"/>
    <mergeCell ref="D240:D241"/>
    <mergeCell ref="E240:E241"/>
    <mergeCell ref="F240:F241"/>
    <mergeCell ref="M240:M242"/>
    <mergeCell ref="C248:C249"/>
    <mergeCell ref="D248:D249"/>
    <mergeCell ref="E248:E249"/>
    <mergeCell ref="F248:F249"/>
    <mergeCell ref="G246:G249"/>
    <mergeCell ref="M246:M249"/>
    <mergeCell ref="O253:O255"/>
    <mergeCell ref="N240:N242"/>
    <mergeCell ref="O240:O242"/>
    <mergeCell ref="N246:N249"/>
    <mergeCell ref="O246:O249"/>
    <mergeCell ref="N253:N255"/>
    <mergeCell ref="M307:M310"/>
    <mergeCell ref="N307:N310"/>
    <mergeCell ref="O307:O310"/>
    <mergeCell ref="M314:M319"/>
    <mergeCell ref="N314:N317"/>
    <mergeCell ref="O314:O317"/>
    <mergeCell ref="N289:N290"/>
    <mergeCell ref="O289:O290"/>
    <mergeCell ref="M295:M299"/>
    <mergeCell ref="N295:N299"/>
    <mergeCell ref="O295:O299"/>
    <mergeCell ref="M340:M344"/>
    <mergeCell ref="N340:N344"/>
    <mergeCell ref="O340:O344"/>
    <mergeCell ref="H353:O353"/>
    <mergeCell ref="H360:O360"/>
    <mergeCell ref="M323:M326"/>
    <mergeCell ref="N323:N326"/>
    <mergeCell ref="O323:O326"/>
    <mergeCell ref="C327:F327"/>
    <mergeCell ref="M330:M331"/>
    <mergeCell ref="N330:N332"/>
    <mergeCell ref="O330:O332"/>
    <mergeCell ref="M392:M399"/>
    <mergeCell ref="N392:N399"/>
    <mergeCell ref="O392:O399"/>
    <mergeCell ref="M371:M373"/>
    <mergeCell ref="N371:N373"/>
    <mergeCell ref="O371:O373"/>
    <mergeCell ref="M377:M382"/>
    <mergeCell ref="N377:N382"/>
    <mergeCell ref="O377:O382"/>
    <mergeCell ref="M437:M440"/>
    <mergeCell ref="N437:N440"/>
    <mergeCell ref="O437:O440"/>
    <mergeCell ref="M429:M433"/>
    <mergeCell ref="N429:N433"/>
    <mergeCell ref="O429:O433"/>
    <mergeCell ref="M403:M412"/>
    <mergeCell ref="N403:N412"/>
    <mergeCell ref="O403:O412"/>
    <mergeCell ref="M416:M419"/>
    <mergeCell ref="N416:N419"/>
    <mergeCell ref="O416:O419"/>
    <mergeCell ref="C460:C461"/>
    <mergeCell ref="D460:D461"/>
    <mergeCell ref="E460:E461"/>
    <mergeCell ref="F460:F461"/>
    <mergeCell ref="M460:M461"/>
    <mergeCell ref="N460:N461"/>
    <mergeCell ref="O460:O461"/>
    <mergeCell ref="C447:C448"/>
    <mergeCell ref="D447:D448"/>
    <mergeCell ref="E447:E448"/>
    <mergeCell ref="F447:F448"/>
    <mergeCell ref="M447:M448"/>
    <mergeCell ref="N447:N448"/>
    <mergeCell ref="O447:O448"/>
    <mergeCell ref="M494:M496"/>
    <mergeCell ref="N494:N496"/>
    <mergeCell ref="O494:O496"/>
    <mergeCell ref="N530:N533"/>
    <mergeCell ref="O530:O533"/>
    <mergeCell ref="C477:C478"/>
    <mergeCell ref="D477:D478"/>
    <mergeCell ref="E477:E478"/>
    <mergeCell ref="F477:F478"/>
    <mergeCell ref="M477:M478"/>
    <mergeCell ref="N477:N478"/>
    <mergeCell ref="O477:O478"/>
    <mergeCell ref="C488:C490"/>
    <mergeCell ref="D488:D490"/>
    <mergeCell ref="E488:E490"/>
    <mergeCell ref="F488:F490"/>
    <mergeCell ref="M488:M490"/>
    <mergeCell ref="N488:N490"/>
    <mergeCell ref="O488:O490"/>
    <mergeCell ref="C561:C562"/>
    <mergeCell ref="D561:D562"/>
    <mergeCell ref="E561:E562"/>
    <mergeCell ref="F561:F562"/>
    <mergeCell ref="G561:G562"/>
    <mergeCell ref="M561:M562"/>
    <mergeCell ref="N561:N562"/>
    <mergeCell ref="O561:O562"/>
    <mergeCell ref="C530:C533"/>
    <mergeCell ref="D530:D533"/>
    <mergeCell ref="E530:E533"/>
    <mergeCell ref="F530:F533"/>
    <mergeCell ref="M530:M533"/>
    <mergeCell ref="G579:G581"/>
    <mergeCell ref="M579:M581"/>
    <mergeCell ref="N579:N581"/>
    <mergeCell ref="O579:O581"/>
    <mergeCell ref="M566:M569"/>
    <mergeCell ref="N566:N569"/>
    <mergeCell ref="O566:O569"/>
    <mergeCell ref="C573:C575"/>
    <mergeCell ref="D573:D575"/>
    <mergeCell ref="E573:E575"/>
    <mergeCell ref="F573:F575"/>
    <mergeCell ref="M573:M575"/>
    <mergeCell ref="C580:C581"/>
    <mergeCell ref="D580:D581"/>
    <mergeCell ref="E580:E581"/>
    <mergeCell ref="F580:F581"/>
    <mergeCell ref="C593:C594"/>
    <mergeCell ref="D593:D594"/>
    <mergeCell ref="E593:E594"/>
    <mergeCell ref="F593:F594"/>
    <mergeCell ref="G593:G594"/>
    <mergeCell ref="M593:M594"/>
    <mergeCell ref="G598:G599"/>
    <mergeCell ref="M585:M586"/>
    <mergeCell ref="N585:N586"/>
    <mergeCell ref="C616:C617"/>
    <mergeCell ref="D616:D617"/>
    <mergeCell ref="E616:E617"/>
    <mergeCell ref="F616:F617"/>
    <mergeCell ref="G616:G617"/>
    <mergeCell ref="M616:M617"/>
    <mergeCell ref="N616:N617"/>
    <mergeCell ref="O616:O617"/>
    <mergeCell ref="D603:D604"/>
    <mergeCell ref="E603:E604"/>
    <mergeCell ref="F603:F604"/>
    <mergeCell ref="G603:G604"/>
    <mergeCell ref="M603:M605"/>
    <mergeCell ref="N603:N605"/>
    <mergeCell ref="O603:O605"/>
    <mergeCell ref="C643:C645"/>
    <mergeCell ref="D643:D645"/>
    <mergeCell ref="E643:E645"/>
    <mergeCell ref="F643:F645"/>
    <mergeCell ref="G643:G645"/>
    <mergeCell ref="M643:M645"/>
    <mergeCell ref="N643:N645"/>
    <mergeCell ref="O643:O645"/>
    <mergeCell ref="C622:C623"/>
    <mergeCell ref="D622:D623"/>
    <mergeCell ref="E622:E623"/>
    <mergeCell ref="F622:F623"/>
    <mergeCell ref="M622:M623"/>
    <mergeCell ref="N622:N623"/>
    <mergeCell ref="O622:O623"/>
    <mergeCell ref="C653:C654"/>
    <mergeCell ref="D653:D654"/>
    <mergeCell ref="E653:E654"/>
    <mergeCell ref="F653:F654"/>
    <mergeCell ref="M653:M654"/>
    <mergeCell ref="N653:N654"/>
    <mergeCell ref="O653:O654"/>
    <mergeCell ref="C659:C660"/>
    <mergeCell ref="D659:D660"/>
    <mergeCell ref="E659:E660"/>
    <mergeCell ref="F659:F660"/>
    <mergeCell ref="G659:G660"/>
    <mergeCell ref="M659:M660"/>
    <mergeCell ref="N659:N660"/>
    <mergeCell ref="B717:B719"/>
    <mergeCell ref="B725:E725"/>
    <mergeCell ref="C726:F726"/>
    <mergeCell ref="M732:M735"/>
    <mergeCell ref="N732:N735"/>
    <mergeCell ref="O732:O735"/>
    <mergeCell ref="G671:G673"/>
    <mergeCell ref="M671:M673"/>
    <mergeCell ref="N671:N673"/>
    <mergeCell ref="O671:O673"/>
    <mergeCell ref="A679:O679"/>
    <mergeCell ref="E685:E686"/>
    <mergeCell ref="F685:F686"/>
    <mergeCell ref="N685:N686"/>
    <mergeCell ref="O685:O686"/>
    <mergeCell ref="B705:B713"/>
    <mergeCell ref="D698:D700"/>
    <mergeCell ref="E698:E700"/>
    <mergeCell ref="F698:F700"/>
    <mergeCell ref="G698:G700"/>
    <mergeCell ref="N698:N700"/>
    <mergeCell ref="O698:O700"/>
    <mergeCell ref="H684:P684"/>
    <mergeCell ref="C685:C686"/>
    <mergeCell ref="CK752:CN752"/>
    <mergeCell ref="C745:C747"/>
    <mergeCell ref="D745:D747"/>
    <mergeCell ref="E745:E747"/>
    <mergeCell ref="F745:F747"/>
    <mergeCell ref="N745:N747"/>
    <mergeCell ref="O745:O747"/>
    <mergeCell ref="C664:C665"/>
    <mergeCell ref="D664:D665"/>
    <mergeCell ref="E664:E665"/>
    <mergeCell ref="F664:F665"/>
    <mergeCell ref="G664:G665"/>
    <mergeCell ref="M664:M665"/>
    <mergeCell ref="N664:N665"/>
    <mergeCell ref="O664:O665"/>
    <mergeCell ref="C706:C708"/>
    <mergeCell ref="D706:D708"/>
    <mergeCell ref="E706:E708"/>
    <mergeCell ref="F706:F708"/>
    <mergeCell ref="G706:G708"/>
    <mergeCell ref="N706:N708"/>
    <mergeCell ref="O706:O708"/>
    <mergeCell ref="C698:C700"/>
    <mergeCell ref="D685:D686"/>
    <mergeCell ref="Q5:S5"/>
    <mergeCell ref="T5:V5"/>
    <mergeCell ref="W5:Y5"/>
    <mergeCell ref="Z5:AB5"/>
    <mergeCell ref="AC5:AE5"/>
    <mergeCell ref="AF5:AH5"/>
    <mergeCell ref="O659:O660"/>
    <mergeCell ref="M609:M612"/>
    <mergeCell ref="N609:N612"/>
    <mergeCell ref="O609:O612"/>
    <mergeCell ref="N593:N594"/>
    <mergeCell ref="O593:O594"/>
    <mergeCell ref="M598:M599"/>
    <mergeCell ref="N598:N599"/>
    <mergeCell ref="O598:O599"/>
    <mergeCell ref="M587:M588"/>
    <mergeCell ref="N587:N588"/>
    <mergeCell ref="O587:O588"/>
    <mergeCell ref="O585:O586"/>
    <mergeCell ref="N573:N575"/>
    <mergeCell ref="O573:O575"/>
    <mergeCell ref="M553:M555"/>
    <mergeCell ref="N553:N555"/>
    <mergeCell ref="O553:O555"/>
    <mergeCell ref="A1:CT4"/>
    <mergeCell ref="BY5:CA5"/>
    <mergeCell ref="CB5:CD5"/>
    <mergeCell ref="CE5:CG5"/>
    <mergeCell ref="CH5:CJ5"/>
    <mergeCell ref="CK5:CM5"/>
    <mergeCell ref="CN5:CP5"/>
    <mergeCell ref="CT5:CV5"/>
    <mergeCell ref="CQ5:CS5"/>
    <mergeCell ref="AX5:AZ5"/>
    <mergeCell ref="BA5:BC5"/>
    <mergeCell ref="BD5:BF5"/>
    <mergeCell ref="BG5:BI5"/>
    <mergeCell ref="BJ5:BL5"/>
    <mergeCell ref="BM5:BO5"/>
    <mergeCell ref="BP5:BR5"/>
    <mergeCell ref="BS5:BU5"/>
    <mergeCell ref="BV5:BX5"/>
    <mergeCell ref="M5:M6"/>
    <mergeCell ref="N5:N6"/>
    <mergeCell ref="A5:A6"/>
    <mergeCell ref="B5:B6"/>
    <mergeCell ref="AI5:AK5"/>
    <mergeCell ref="AL5:AN5"/>
  </mergeCells>
  <conditionalFormatting sqref="H728:H730 H543:H550 H732:H743 H745:H1048576 H7:H9 H122:H140 H101:H106 H142:H164 H11:H27 H29:H31 H33:H37 H39:H85 H87:H91 H93 H96:H97 H99 H109:H115 H166:H205 H207:H258 H260:H503 H505:H540 H552:H726">
    <cfRule type="duplicateValues" dxfId="18" priority="126"/>
  </conditionalFormatting>
  <conditionalFormatting sqref="H542 K542 N542 Q542:S542">
    <cfRule type="duplicateValues" dxfId="17" priority="125"/>
  </conditionalFormatting>
  <conditionalFormatting sqref="H727">
    <cfRule type="duplicateValues" dxfId="16" priority="124"/>
  </conditionalFormatting>
  <conditionalFormatting sqref="H731">
    <cfRule type="duplicateValues" dxfId="15" priority="123"/>
  </conditionalFormatting>
  <conditionalFormatting sqref="H744">
    <cfRule type="duplicateValues" dxfId="14" priority="122"/>
  </conditionalFormatting>
  <conditionalFormatting sqref="H1:H4">
    <cfRule type="duplicateValues" dxfId="13" priority="10"/>
  </conditionalFormatting>
  <conditionalFormatting sqref="H5:H6">
    <cfRule type="duplicateValues" dxfId="12" priority="9"/>
  </conditionalFormatting>
  <conditionalFormatting sqref="H116:H117">
    <cfRule type="duplicateValues" dxfId="11" priority="7"/>
  </conditionalFormatting>
  <conditionalFormatting sqref="H119">
    <cfRule type="duplicateValues" dxfId="10" priority="5"/>
  </conditionalFormatting>
  <conditionalFormatting sqref="H120:H121">
    <cfRule type="duplicateValues" dxfId="9" priority="4"/>
  </conditionalFormatting>
  <conditionalFormatting sqref="H100">
    <cfRule type="duplicateValues" dxfId="8" priority="3"/>
  </conditionalFormatting>
  <conditionalFormatting sqref="H118">
    <cfRule type="duplicateValues" dxfId="7" priority="145"/>
  </conditionalFormatting>
  <conditionalFormatting sqref="H141">
    <cfRule type="duplicateValues" dxfId="6" priority="2"/>
  </conditionalFormatting>
  <conditionalFormatting sqref="G20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94"/>
  <sheetViews>
    <sheetView showGridLines="0" view="pageBreakPreview" topLeftCell="B1" zoomScale="80" zoomScaleNormal="100" zoomScaleSheetLayoutView="80" workbookViewId="0">
      <selection activeCell="J24" sqref="J24"/>
    </sheetView>
  </sheetViews>
  <sheetFormatPr baseColWidth="10" defaultColWidth="11.42578125" defaultRowHeight="12.75" x14ac:dyDescent="0.2"/>
  <cols>
    <col min="1" max="1" width="15.7109375" style="781" customWidth="1"/>
    <col min="2" max="2" width="21" style="811" customWidth="1"/>
    <col min="3" max="3" width="19.42578125" style="812" customWidth="1"/>
    <col min="4" max="4" width="13.28515625" style="812" customWidth="1"/>
    <col min="5" max="5" width="18.42578125" style="812" customWidth="1"/>
    <col min="6" max="6" width="15.28515625" style="812" customWidth="1"/>
    <col min="7" max="7" width="19.28515625" style="812" customWidth="1"/>
    <col min="8" max="8" width="19.140625" style="812" customWidth="1"/>
    <col min="9" max="9" width="19.5703125" style="812" customWidth="1"/>
    <col min="10" max="10" width="13" style="812" customWidth="1"/>
    <col min="11" max="11" width="18.85546875" style="812" customWidth="1"/>
    <col min="12" max="12" width="10.85546875" style="812" customWidth="1"/>
    <col min="13" max="13" width="18.85546875" style="812" customWidth="1"/>
    <col min="14" max="14" width="11.42578125" style="781"/>
    <col min="15" max="15" width="24.28515625" style="781" customWidth="1"/>
    <col min="16" max="16384" width="11.42578125" style="781"/>
  </cols>
  <sheetData>
    <row r="1" spans="1:15" ht="51.75" customHeight="1" x14ac:dyDescent="0.2">
      <c r="A1" s="1176" t="s">
        <v>982</v>
      </c>
      <c r="B1" s="1177"/>
      <c r="C1" s="1177"/>
      <c r="D1" s="1177"/>
      <c r="E1" s="1177"/>
      <c r="F1" s="1177"/>
      <c r="G1" s="1177"/>
      <c r="H1" s="1177"/>
      <c r="I1" s="1177"/>
      <c r="J1" s="1177"/>
      <c r="K1" s="1177"/>
      <c r="L1" s="1177"/>
      <c r="M1" s="1177"/>
      <c r="N1" s="1177"/>
    </row>
    <row r="2" spans="1:15" ht="103.5" customHeight="1" x14ac:dyDescent="0.2">
      <c r="A2" s="1178" t="s">
        <v>924</v>
      </c>
      <c r="B2" s="1179"/>
      <c r="C2" s="782" t="s">
        <v>939</v>
      </c>
      <c r="D2" s="782" t="s">
        <v>940</v>
      </c>
      <c r="E2" s="782" t="s">
        <v>941</v>
      </c>
      <c r="F2" s="782" t="s">
        <v>942</v>
      </c>
      <c r="G2" s="782" t="s">
        <v>943</v>
      </c>
      <c r="H2" s="782" t="s">
        <v>944</v>
      </c>
      <c r="I2" s="782" t="s">
        <v>945</v>
      </c>
      <c r="J2" s="782" t="s">
        <v>946</v>
      </c>
      <c r="K2" s="782" t="s">
        <v>947</v>
      </c>
      <c r="L2" s="782" t="s">
        <v>948</v>
      </c>
      <c r="M2" s="782" t="s">
        <v>949</v>
      </c>
      <c r="N2" s="782" t="s">
        <v>950</v>
      </c>
      <c r="O2" s="783" t="s">
        <v>951</v>
      </c>
    </row>
    <row r="3" spans="1:15" x14ac:dyDescent="0.2">
      <c r="A3" s="784">
        <v>304</v>
      </c>
      <c r="B3" s="785" t="s">
        <v>952</v>
      </c>
      <c r="C3" s="786">
        <f>+'POAI 2017 '!CT23</f>
        <v>2154647401</v>
      </c>
      <c r="D3" s="787">
        <v>1</v>
      </c>
      <c r="E3" s="786">
        <v>543010510</v>
      </c>
      <c r="F3" s="787">
        <f>E3/C3</f>
        <v>0.25201826978650044</v>
      </c>
      <c r="G3" s="786">
        <f>+'POAI 2017 '!CU23</f>
        <v>543010510</v>
      </c>
      <c r="H3" s="787">
        <f>G3/C3</f>
        <v>0.25201826978650044</v>
      </c>
      <c r="I3" s="786">
        <f>+'POAI 2017 '!CV23</f>
        <v>478535510</v>
      </c>
      <c r="J3" s="787">
        <f>I3/G3</f>
        <v>0.88126380831929019</v>
      </c>
      <c r="K3" s="786">
        <v>478535510</v>
      </c>
      <c r="L3" s="787">
        <f>K3/G3</f>
        <v>0.88126380831929019</v>
      </c>
      <c r="M3" s="788">
        <f t="shared" ref="M3:M15" si="0">C3-E3</f>
        <v>1611636891</v>
      </c>
      <c r="N3" s="789">
        <f>M3/C3</f>
        <v>0.74798173021349956</v>
      </c>
      <c r="O3" s="991">
        <f>+G3/C3</f>
        <v>0.25201826978650044</v>
      </c>
    </row>
    <row r="4" spans="1:15" x14ac:dyDescent="0.2">
      <c r="A4" s="784">
        <v>305</v>
      </c>
      <c r="B4" s="785" t="s">
        <v>953</v>
      </c>
      <c r="C4" s="786">
        <f>+'POAI 2017 '!CT66</f>
        <v>1556000000</v>
      </c>
      <c r="D4" s="787">
        <v>1</v>
      </c>
      <c r="E4" s="786">
        <v>1353559286.23</v>
      </c>
      <c r="F4" s="787">
        <f t="shared" ref="F4:F15" si="1">E4/C4</f>
        <v>0.86989671351542419</v>
      </c>
      <c r="G4" s="786">
        <f>+'POAI 2017 '!CU66</f>
        <v>1353559286.23</v>
      </c>
      <c r="H4" s="787">
        <f t="shared" ref="H4:H15" si="2">G4/C4</f>
        <v>0.86989671351542419</v>
      </c>
      <c r="I4" s="786">
        <f>+'POAI 2017 '!CV66</f>
        <v>1144541886.23</v>
      </c>
      <c r="J4" s="787">
        <f t="shared" ref="J4:J21" si="3">I4/G4</f>
        <v>0.84557942742045267</v>
      </c>
      <c r="K4" s="786">
        <v>1144541886.23</v>
      </c>
      <c r="L4" s="787">
        <f t="shared" ref="L4:L15" si="4">K4/G4</f>
        <v>0.84557942742045267</v>
      </c>
      <c r="M4" s="788">
        <f t="shared" si="0"/>
        <v>202440713.76999998</v>
      </c>
      <c r="N4" s="789">
        <f t="shared" ref="N4:N15" si="5">M4/C4</f>
        <v>0.13010328648457584</v>
      </c>
      <c r="O4" s="991">
        <f t="shared" ref="O4:O23" si="6">+G4/C4</f>
        <v>0.86989671351542419</v>
      </c>
    </row>
    <row r="5" spans="1:15" x14ac:dyDescent="0.2">
      <c r="A5" s="784">
        <v>307</v>
      </c>
      <c r="B5" s="785" t="s">
        <v>954</v>
      </c>
      <c r="C5" s="786">
        <f>+'POAI 2017 '!CT80</f>
        <v>2230734367</v>
      </c>
      <c r="D5" s="787">
        <v>1</v>
      </c>
      <c r="E5" s="786">
        <v>2025030046</v>
      </c>
      <c r="F5" s="787">
        <f t="shared" si="1"/>
        <v>0.90778627700229442</v>
      </c>
      <c r="G5" s="786">
        <f>+'POAI 2017 '!CU80</f>
        <v>2025030046</v>
      </c>
      <c r="H5" s="787">
        <f t="shared" si="2"/>
        <v>0.90778627700229442</v>
      </c>
      <c r="I5" s="786">
        <f>+'POAI 2017 '!CV80</f>
        <v>1877567416</v>
      </c>
      <c r="J5" s="787">
        <f t="shared" si="3"/>
        <v>0.92718002861672111</v>
      </c>
      <c r="K5" s="786">
        <v>1877567416</v>
      </c>
      <c r="L5" s="787">
        <f t="shared" si="4"/>
        <v>0.92718002861672111</v>
      </c>
      <c r="M5" s="788">
        <f t="shared" si="0"/>
        <v>205704321</v>
      </c>
      <c r="N5" s="789">
        <f t="shared" si="5"/>
        <v>9.2213722997705541E-2</v>
      </c>
      <c r="O5" s="991">
        <f t="shared" si="6"/>
        <v>0.90778627700229442</v>
      </c>
    </row>
    <row r="6" spans="1:15" s="793" customFormat="1" x14ac:dyDescent="0.2">
      <c r="A6" s="790">
        <v>308</v>
      </c>
      <c r="B6" s="791" t="s">
        <v>955</v>
      </c>
      <c r="C6" s="788">
        <f>+'POAI 2017 '!CT123</f>
        <v>15788210895.279999</v>
      </c>
      <c r="D6" s="787">
        <v>1</v>
      </c>
      <c r="E6" s="788">
        <v>10497926393.309999</v>
      </c>
      <c r="F6" s="787">
        <f t="shared" si="1"/>
        <v>0.66492184978656643</v>
      </c>
      <c r="G6" s="788">
        <f>+'POAI 2017 '!CU123</f>
        <v>10497926393.310001</v>
      </c>
      <c r="H6" s="787">
        <f t="shared" si="2"/>
        <v>0.66492184978656654</v>
      </c>
      <c r="I6" s="786">
        <f>+'POAI 2017 '!CV123</f>
        <v>9330780138.5100002</v>
      </c>
      <c r="J6" s="787">
        <f t="shared" si="3"/>
        <v>0.88882125754436736</v>
      </c>
      <c r="K6" s="786">
        <v>9255102746.5100002</v>
      </c>
      <c r="L6" s="787">
        <f t="shared" si="4"/>
        <v>0.88161246323921516</v>
      </c>
      <c r="M6" s="788">
        <f t="shared" si="0"/>
        <v>5290284501.9699993</v>
      </c>
      <c r="N6" s="792">
        <f t="shared" si="5"/>
        <v>0.33507815021343351</v>
      </c>
      <c r="O6" s="991">
        <f t="shared" si="6"/>
        <v>0.66492184978656654</v>
      </c>
    </row>
    <row r="7" spans="1:15" s="793" customFormat="1" x14ac:dyDescent="0.2">
      <c r="A7" s="790">
        <v>309</v>
      </c>
      <c r="B7" s="794" t="s">
        <v>956</v>
      </c>
      <c r="C7" s="788">
        <f>+'POAI 2017 '!CT200</f>
        <v>11349624591.1</v>
      </c>
      <c r="D7" s="787">
        <v>1</v>
      </c>
      <c r="E7" s="788">
        <v>6547449050</v>
      </c>
      <c r="F7" s="787">
        <f t="shared" si="1"/>
        <v>0.57688683863026557</v>
      </c>
      <c r="G7" s="788">
        <f>+'POAI 2017 '!CU200</f>
        <v>6547449050</v>
      </c>
      <c r="H7" s="787">
        <f t="shared" si="2"/>
        <v>0.57688683863026557</v>
      </c>
      <c r="I7" s="786">
        <f>+'POAI 2017 '!CV200</f>
        <v>6408630035</v>
      </c>
      <c r="J7" s="787">
        <f t="shared" si="3"/>
        <v>0.97879799996305428</v>
      </c>
      <c r="K7" s="786">
        <v>6408630035</v>
      </c>
      <c r="L7" s="787">
        <f t="shared" si="4"/>
        <v>0.97879799996305428</v>
      </c>
      <c r="M7" s="788">
        <f t="shared" si="0"/>
        <v>4802175541.1000004</v>
      </c>
      <c r="N7" s="792">
        <f t="shared" si="5"/>
        <v>0.42311316136973443</v>
      </c>
      <c r="O7" s="991">
        <f t="shared" si="6"/>
        <v>0.57688683863026557</v>
      </c>
    </row>
    <row r="8" spans="1:15" s="793" customFormat="1" x14ac:dyDescent="0.2">
      <c r="A8" s="790">
        <v>310</v>
      </c>
      <c r="B8" s="785" t="s">
        <v>957</v>
      </c>
      <c r="C8" s="786">
        <f>+'POAI 2017 '!CT232</f>
        <v>4853483592.2600002</v>
      </c>
      <c r="D8" s="787">
        <v>1</v>
      </c>
      <c r="E8" s="786">
        <v>2995355419.8000002</v>
      </c>
      <c r="F8" s="787">
        <f t="shared" si="1"/>
        <v>0.61715577334531135</v>
      </c>
      <c r="G8" s="786">
        <f>+'POAI 2017 '!CU232</f>
        <v>2995355419.8000002</v>
      </c>
      <c r="H8" s="787">
        <f t="shared" si="2"/>
        <v>0.61715577334531135</v>
      </c>
      <c r="I8" s="786">
        <f>+'POAI 2017 '!CV232</f>
        <v>2995355419.8000002</v>
      </c>
      <c r="J8" s="787">
        <f t="shared" si="3"/>
        <v>1</v>
      </c>
      <c r="K8" s="786">
        <v>2985335419.8000002</v>
      </c>
      <c r="L8" s="787">
        <f t="shared" si="4"/>
        <v>0.99665482101597513</v>
      </c>
      <c r="M8" s="788">
        <f t="shared" si="0"/>
        <v>1858128172.46</v>
      </c>
      <c r="N8" s="792">
        <f t="shared" si="5"/>
        <v>0.38284422665468865</v>
      </c>
      <c r="O8" s="991">
        <f t="shared" si="6"/>
        <v>0.61715577334531135</v>
      </c>
    </row>
    <row r="9" spans="1:15" s="793" customFormat="1" x14ac:dyDescent="0.2">
      <c r="A9" s="790">
        <v>311</v>
      </c>
      <c r="B9" s="785" t="s">
        <v>958</v>
      </c>
      <c r="C9" s="786">
        <f>+'POAI 2017 '!CT274</f>
        <v>2870109563</v>
      </c>
      <c r="D9" s="787">
        <v>1</v>
      </c>
      <c r="E9" s="786">
        <v>2567864543</v>
      </c>
      <c r="F9" s="787">
        <f t="shared" si="1"/>
        <v>0.89469216649552696</v>
      </c>
      <c r="G9" s="786">
        <f>+'POAI 2017 '!CU274</f>
        <v>2567864543</v>
      </c>
      <c r="H9" s="787">
        <f t="shared" si="2"/>
        <v>0.89469216649552696</v>
      </c>
      <c r="I9" s="786">
        <f>+'POAI 2017 '!CV274</f>
        <v>2537749243</v>
      </c>
      <c r="J9" s="787">
        <f t="shared" si="3"/>
        <v>0.98827223963892707</v>
      </c>
      <c r="K9" s="786">
        <v>2537749243</v>
      </c>
      <c r="L9" s="787">
        <f t="shared" si="4"/>
        <v>0.98827223963892707</v>
      </c>
      <c r="M9" s="788">
        <f t="shared" si="0"/>
        <v>302245020</v>
      </c>
      <c r="N9" s="792">
        <f t="shared" si="5"/>
        <v>0.10530783350447308</v>
      </c>
      <c r="O9" s="991">
        <f t="shared" si="6"/>
        <v>0.89469216649552696</v>
      </c>
    </row>
    <row r="10" spans="1:15" s="793" customFormat="1" x14ac:dyDescent="0.2">
      <c r="A10" s="790">
        <v>312</v>
      </c>
      <c r="B10" s="785" t="s">
        <v>959</v>
      </c>
      <c r="C10" s="786">
        <f>+'POAI 2017 '!CT348</f>
        <v>2998844406</v>
      </c>
      <c r="D10" s="787">
        <v>1</v>
      </c>
      <c r="E10" s="786">
        <v>2051530379</v>
      </c>
      <c r="F10" s="787">
        <f t="shared" si="1"/>
        <v>0.6841069763057257</v>
      </c>
      <c r="G10" s="786">
        <f>+'POAI 2017 '!CU348</f>
        <v>2051530379</v>
      </c>
      <c r="H10" s="787">
        <f t="shared" si="2"/>
        <v>0.6841069763057257</v>
      </c>
      <c r="I10" s="786">
        <f>+'POAI 2017 '!CV348</f>
        <v>2028672195</v>
      </c>
      <c r="J10" s="787">
        <f t="shared" si="3"/>
        <v>0.98885798414979265</v>
      </c>
      <c r="K10" s="786">
        <v>2028672195</v>
      </c>
      <c r="L10" s="787">
        <f t="shared" si="4"/>
        <v>0.98885798414979265</v>
      </c>
      <c r="M10" s="788">
        <f t="shared" si="0"/>
        <v>947314027</v>
      </c>
      <c r="N10" s="792">
        <f t="shared" si="5"/>
        <v>0.3158930236942743</v>
      </c>
      <c r="O10" s="991">
        <f t="shared" si="6"/>
        <v>0.6841069763057257</v>
      </c>
    </row>
    <row r="11" spans="1:15" s="799" customFormat="1" x14ac:dyDescent="0.2">
      <c r="A11" s="795">
        <v>313</v>
      </c>
      <c r="B11" s="796" t="s">
        <v>960</v>
      </c>
      <c r="C11" s="797">
        <f>+'POAI 2017 '!CT365</f>
        <v>2239039539</v>
      </c>
      <c r="D11" s="787">
        <v>1</v>
      </c>
      <c r="E11" s="990">
        <v>1447468237</v>
      </c>
      <c r="F11" s="787">
        <f t="shared" si="1"/>
        <v>0.64646836814970599</v>
      </c>
      <c r="G11" s="797">
        <f>+'POAI 2017 '!CU365</f>
        <v>1447468237</v>
      </c>
      <c r="H11" s="787">
        <f t="shared" si="2"/>
        <v>0.64646836814970599</v>
      </c>
      <c r="I11" s="797">
        <f>+'POAI 2017 '!CV365</f>
        <v>1404439937</v>
      </c>
      <c r="J11" s="787">
        <f t="shared" si="3"/>
        <v>0.97027340642086923</v>
      </c>
      <c r="K11" s="797">
        <v>1404439937</v>
      </c>
      <c r="L11" s="787">
        <f t="shared" si="4"/>
        <v>0.97027340642086923</v>
      </c>
      <c r="M11" s="798">
        <f t="shared" si="0"/>
        <v>791571302</v>
      </c>
      <c r="N11" s="792">
        <f t="shared" si="5"/>
        <v>0.35353163185029401</v>
      </c>
      <c r="O11" s="991">
        <f t="shared" si="6"/>
        <v>0.64646836814970599</v>
      </c>
    </row>
    <row r="12" spans="1:15" s="799" customFormat="1" x14ac:dyDescent="0.2">
      <c r="A12" s="795">
        <v>314</v>
      </c>
      <c r="B12" s="796" t="s">
        <v>961</v>
      </c>
      <c r="C12" s="800">
        <f>+'POAI 2017 '!CT471</f>
        <v>149405629639</v>
      </c>
      <c r="D12" s="787">
        <v>1</v>
      </c>
      <c r="E12" s="800">
        <v>142985797744.14001</v>
      </c>
      <c r="F12" s="787">
        <f t="shared" si="1"/>
        <v>0.95703085679989541</v>
      </c>
      <c r="G12" s="800">
        <f>+'POAI 2017 '!CU471</f>
        <v>142985797744.14001</v>
      </c>
      <c r="H12" s="787">
        <f>G12/C12</f>
        <v>0.95703085679989541</v>
      </c>
      <c r="I12" s="800">
        <f>+'POAI 2017 '!CV471</f>
        <v>142652335943.14001</v>
      </c>
      <c r="J12" s="787">
        <f t="shared" si="3"/>
        <v>0.99766786767454552</v>
      </c>
      <c r="K12" s="800">
        <v>142652335943.14001</v>
      </c>
      <c r="L12" s="787">
        <f t="shared" si="4"/>
        <v>0.99766786767454552</v>
      </c>
      <c r="M12" s="800">
        <f t="shared" si="0"/>
        <v>6419831894.8599854</v>
      </c>
      <c r="N12" s="792">
        <f t="shared" si="5"/>
        <v>4.2969143200104615E-2</v>
      </c>
      <c r="O12" s="991">
        <f t="shared" si="6"/>
        <v>0.95703085679989541</v>
      </c>
    </row>
    <row r="13" spans="1:15" s="793" customFormat="1" x14ac:dyDescent="0.2">
      <c r="A13" s="790">
        <v>316</v>
      </c>
      <c r="B13" s="785" t="s">
        <v>962</v>
      </c>
      <c r="C13" s="801">
        <f>+'POAI 2017 '!CT537</f>
        <v>7115001782.29</v>
      </c>
      <c r="D13" s="787">
        <v>1</v>
      </c>
      <c r="E13" s="801">
        <v>6715028800.8699999</v>
      </c>
      <c r="F13" s="787">
        <f t="shared" si="1"/>
        <v>0.94378455639806369</v>
      </c>
      <c r="G13" s="801">
        <f>+'POAI 2017 '!CU537</f>
        <v>6715028800.8699999</v>
      </c>
      <c r="H13" s="787">
        <f t="shared" si="2"/>
        <v>0.94378455639806369</v>
      </c>
      <c r="I13" s="801">
        <f>+'POAI 2017 '!CV537</f>
        <v>6305997825.8699999</v>
      </c>
      <c r="J13" s="787">
        <f t="shared" si="3"/>
        <v>0.93908723445132414</v>
      </c>
      <c r="K13" s="801">
        <v>6305997825.8699999</v>
      </c>
      <c r="L13" s="787">
        <f t="shared" si="4"/>
        <v>0.93908723445132414</v>
      </c>
      <c r="M13" s="788">
        <f t="shared" si="0"/>
        <v>399972981.42000008</v>
      </c>
      <c r="N13" s="792">
        <f t="shared" si="5"/>
        <v>5.6215443601936345E-2</v>
      </c>
      <c r="O13" s="991">
        <f t="shared" si="6"/>
        <v>0.94378455639806369</v>
      </c>
    </row>
    <row r="14" spans="1:15" s="793" customFormat="1" x14ac:dyDescent="0.2">
      <c r="A14" s="790">
        <v>317</v>
      </c>
      <c r="B14" s="794" t="s">
        <v>963</v>
      </c>
      <c r="C14" s="788">
        <f>+'POAI 2017 '!CT547</f>
        <v>100000000</v>
      </c>
      <c r="D14" s="787">
        <v>1</v>
      </c>
      <c r="E14" s="788">
        <v>90287997</v>
      </c>
      <c r="F14" s="787">
        <f t="shared" si="1"/>
        <v>0.90287996999999998</v>
      </c>
      <c r="G14" s="788">
        <f>+'POAI 2017 '!CU547</f>
        <v>90287997</v>
      </c>
      <c r="H14" s="787">
        <f t="shared" si="2"/>
        <v>0.90287996999999998</v>
      </c>
      <c r="I14" s="788">
        <f>+'POAI 2017 '!CV547</f>
        <v>90287997</v>
      </c>
      <c r="J14" s="787">
        <f t="shared" si="3"/>
        <v>1</v>
      </c>
      <c r="K14" s="788">
        <v>90287997</v>
      </c>
      <c r="L14" s="787">
        <f t="shared" si="4"/>
        <v>1</v>
      </c>
      <c r="M14" s="788">
        <f t="shared" si="0"/>
        <v>9712003</v>
      </c>
      <c r="N14" s="792">
        <f t="shared" si="5"/>
        <v>9.7120029999999996E-2</v>
      </c>
      <c r="O14" s="991">
        <f t="shared" si="6"/>
        <v>0.90287996999999998</v>
      </c>
    </row>
    <row r="15" spans="1:15" x14ac:dyDescent="0.2">
      <c r="A15" s="784">
        <v>318</v>
      </c>
      <c r="B15" s="785" t="s">
        <v>964</v>
      </c>
      <c r="C15" s="786">
        <f>+'POAI 2017 '!CT677</f>
        <v>47739530019.126907</v>
      </c>
      <c r="D15" s="787">
        <v>1</v>
      </c>
      <c r="E15" s="786">
        <v>44000629098.080002</v>
      </c>
      <c r="F15" s="787">
        <f t="shared" si="1"/>
        <v>0.92168123734044072</v>
      </c>
      <c r="G15" s="786">
        <f>+'POAI 2017 '!CU677</f>
        <v>44000629098.080002</v>
      </c>
      <c r="H15" s="787">
        <f t="shared" si="2"/>
        <v>0.92168123734044072</v>
      </c>
      <c r="I15" s="786">
        <f>+'POAI 2017 '!CV677</f>
        <v>42866454608.080002</v>
      </c>
      <c r="J15" s="787">
        <f t="shared" si="3"/>
        <v>0.97422367558718626</v>
      </c>
      <c r="K15" s="786">
        <v>42866454608.080002</v>
      </c>
      <c r="L15" s="787">
        <f t="shared" si="4"/>
        <v>0.97422367558718626</v>
      </c>
      <c r="M15" s="788">
        <f t="shared" si="0"/>
        <v>3738900921.0469055</v>
      </c>
      <c r="N15" s="789">
        <f t="shared" si="5"/>
        <v>7.8318762659559268E-2</v>
      </c>
      <c r="O15" s="991">
        <f t="shared" si="6"/>
        <v>0.92168123734044072</v>
      </c>
    </row>
    <row r="16" spans="1:15" s="793" customFormat="1" x14ac:dyDescent="0.2">
      <c r="A16" s="802" t="s">
        <v>965</v>
      </c>
      <c r="B16" s="803"/>
      <c r="C16" s="804">
        <f>SUM(C3:C15)</f>
        <v>250400855795.05695</v>
      </c>
      <c r="D16" s="805">
        <v>1</v>
      </c>
      <c r="E16" s="804">
        <f>SUM(E3:E15)</f>
        <v>223820937504.42999</v>
      </c>
      <c r="F16" s="805">
        <f>E16/C16</f>
        <v>0.89385052935928644</v>
      </c>
      <c r="G16" s="804">
        <f t="shared" ref="G16:M16" si="7">SUM(G3:G15)</f>
        <v>223820937504.42999</v>
      </c>
      <c r="H16" s="805">
        <f>G16/C16</f>
        <v>0.89385052935928644</v>
      </c>
      <c r="I16" s="804">
        <f t="shared" si="7"/>
        <v>220121348154.63</v>
      </c>
      <c r="J16" s="805">
        <f t="shared" si="3"/>
        <v>0.98347076287388546</v>
      </c>
      <c r="K16" s="804">
        <f t="shared" si="7"/>
        <v>220035650762.63</v>
      </c>
      <c r="L16" s="805">
        <f>K16/G16</f>
        <v>0.98308787915909313</v>
      </c>
      <c r="M16" s="804">
        <f t="shared" si="7"/>
        <v>26579918290.626892</v>
      </c>
      <c r="N16" s="805">
        <f>M16/C16</f>
        <v>0.10614947064071334</v>
      </c>
      <c r="O16" s="991">
        <f t="shared" si="6"/>
        <v>0.89385052935928644</v>
      </c>
    </row>
    <row r="17" spans="1:15" s="793" customFormat="1" ht="12" customHeight="1" x14ac:dyDescent="0.2">
      <c r="B17" s="806"/>
      <c r="C17" s="807"/>
      <c r="D17" s="807"/>
      <c r="E17" s="807"/>
      <c r="F17" s="807"/>
      <c r="G17" s="807"/>
      <c r="H17" s="807"/>
      <c r="I17" s="807"/>
      <c r="J17" s="807"/>
      <c r="K17" s="807"/>
      <c r="L17" s="807"/>
      <c r="M17" s="807"/>
    </row>
    <row r="18" spans="1:15" s="793" customFormat="1" x14ac:dyDescent="0.2">
      <c r="A18" s="670">
        <v>319</v>
      </c>
      <c r="B18" s="785" t="s">
        <v>966</v>
      </c>
      <c r="C18" s="786">
        <f>+'POAI 2017 '!CT722</f>
        <v>2443063429.8099999</v>
      </c>
      <c r="D18" s="787">
        <v>1</v>
      </c>
      <c r="E18" s="786">
        <v>2254802348.5599999</v>
      </c>
      <c r="F18" s="787">
        <f>E18/C18</f>
        <v>0.92294056758704734</v>
      </c>
      <c r="G18" s="786">
        <f>+'POAI 2017 '!CU722</f>
        <v>2254792348.5599999</v>
      </c>
      <c r="H18" s="787">
        <f>G18/C18</f>
        <v>0.92293647436544779</v>
      </c>
      <c r="I18" s="786">
        <f>+'POAI 2017 '!CV722</f>
        <v>2248267708.3699999</v>
      </c>
      <c r="J18" s="787">
        <f t="shared" si="3"/>
        <v>0.99710632325226445</v>
      </c>
      <c r="K18" s="786">
        <v>2247037708.5599999</v>
      </c>
      <c r="L18" s="836">
        <f>K18/G18</f>
        <v>0.99656081855832424</v>
      </c>
      <c r="M18" s="788">
        <f>C18-E18</f>
        <v>188261081.25</v>
      </c>
      <c r="N18" s="792">
        <f>M18/C18</f>
        <v>7.7059432412952655E-2</v>
      </c>
      <c r="O18" s="991">
        <f t="shared" si="6"/>
        <v>0.92293647436544779</v>
      </c>
    </row>
    <row r="19" spans="1:15" s="793" customFormat="1" x14ac:dyDescent="0.2">
      <c r="A19" s="670">
        <v>320</v>
      </c>
      <c r="B19" s="785" t="s">
        <v>967</v>
      </c>
      <c r="C19" s="786">
        <f>+'POAI 2017 '!CT739</f>
        <v>2767332381</v>
      </c>
      <c r="D19" s="787">
        <v>1</v>
      </c>
      <c r="E19" s="786">
        <v>2592456585.5100002</v>
      </c>
      <c r="F19" s="787">
        <f>E19/C19</f>
        <v>0.93680708660417333</v>
      </c>
      <c r="G19" s="786">
        <f>+'POAI 2017 '!CU739</f>
        <v>2592456585.5100002</v>
      </c>
      <c r="H19" s="787">
        <f>G19/C19</f>
        <v>0.93680708660417333</v>
      </c>
      <c r="I19" s="786">
        <f>+'POAI 2017 '!CV739</f>
        <v>2592456585.5100002</v>
      </c>
      <c r="J19" s="787">
        <f t="shared" si="3"/>
        <v>1</v>
      </c>
      <c r="K19" s="786">
        <v>2592456585.5100002</v>
      </c>
      <c r="L19" s="787">
        <f>K19/G19</f>
        <v>1</v>
      </c>
      <c r="M19" s="788">
        <f>C19-E19</f>
        <v>174875795.48999977</v>
      </c>
      <c r="N19" s="792">
        <f>M19/C19</f>
        <v>6.3192913395826653E-2</v>
      </c>
      <c r="O19" s="991">
        <f t="shared" si="6"/>
        <v>0.93680708660417333</v>
      </c>
    </row>
    <row r="20" spans="1:15" s="793" customFormat="1" x14ac:dyDescent="0.2">
      <c r="A20" s="670">
        <v>321</v>
      </c>
      <c r="B20" s="785" t="s">
        <v>968</v>
      </c>
      <c r="C20" s="786">
        <f>+'POAI 2017 '!CT751</f>
        <v>129551754</v>
      </c>
      <c r="D20" s="787">
        <v>1</v>
      </c>
      <c r="E20" s="786">
        <v>81246664</v>
      </c>
      <c r="F20" s="787">
        <f>E20/C20</f>
        <v>0.62713673486813615</v>
      </c>
      <c r="G20" s="786">
        <f>+'POAI 2017 '!CU751</f>
        <v>81246664</v>
      </c>
      <c r="H20" s="787">
        <f>G20/C20</f>
        <v>0.62713673486813615</v>
      </c>
      <c r="I20" s="786">
        <f>+'POAI 2017 '!CV751</f>
        <v>81246664</v>
      </c>
      <c r="J20" s="787">
        <f t="shared" si="3"/>
        <v>1</v>
      </c>
      <c r="K20" s="786">
        <v>81246664</v>
      </c>
      <c r="L20" s="787">
        <f>K20/G20</f>
        <v>1</v>
      </c>
      <c r="M20" s="788">
        <f>C20-E20</f>
        <v>48305090</v>
      </c>
      <c r="N20" s="792">
        <f>M20/C20</f>
        <v>0.37286326513186385</v>
      </c>
      <c r="O20" s="991">
        <f t="shared" si="6"/>
        <v>0.62713673486813615</v>
      </c>
    </row>
    <row r="21" spans="1:15" ht="15" customHeight="1" x14ac:dyDescent="0.2">
      <c r="A21" s="808" t="s">
        <v>965</v>
      </c>
      <c r="B21" s="809"/>
      <c r="C21" s="810">
        <f>SUM(C18:C20)</f>
        <v>5339947564.8099995</v>
      </c>
      <c r="D21" s="805">
        <v>1</v>
      </c>
      <c r="E21" s="810">
        <f t="shared" ref="E21:M21" si="8">SUM(E18:E20)</f>
        <v>4928505598.0699997</v>
      </c>
      <c r="F21" s="805">
        <f>E21/C21</f>
        <v>0.92295018598096679</v>
      </c>
      <c r="G21" s="810">
        <f t="shared" si="8"/>
        <v>4928495598.0699997</v>
      </c>
      <c r="H21" s="805">
        <f>G21/C21</f>
        <v>0.92294831330340232</v>
      </c>
      <c r="I21" s="810">
        <f t="shared" si="8"/>
        <v>4921970957.8800001</v>
      </c>
      <c r="J21" s="805">
        <f t="shared" si="3"/>
        <v>0.9986761395926671</v>
      </c>
      <c r="K21" s="810">
        <f t="shared" si="8"/>
        <v>4920740958.0699997</v>
      </c>
      <c r="L21" s="805">
        <f>K21/G21</f>
        <v>0.99842657057398276</v>
      </c>
      <c r="M21" s="810">
        <f t="shared" si="8"/>
        <v>411441966.73999977</v>
      </c>
      <c r="N21" s="805">
        <f>M21/C21</f>
        <v>7.7049814019033214E-2</v>
      </c>
      <c r="O21" s="991">
        <f t="shared" si="6"/>
        <v>0.92294831330340232</v>
      </c>
    </row>
    <row r="22" spans="1:15" ht="13.5" customHeight="1" x14ac:dyDescent="0.2">
      <c r="D22" s="813"/>
      <c r="F22" s="813"/>
    </row>
    <row r="23" spans="1:15" ht="15" customHeight="1" x14ac:dyDescent="0.2">
      <c r="A23" s="814" t="s">
        <v>926</v>
      </c>
      <c r="B23" s="815"/>
      <c r="C23" s="816">
        <f>C21+C16</f>
        <v>255740803359.86694</v>
      </c>
      <c r="D23" s="805">
        <v>1</v>
      </c>
      <c r="E23" s="816">
        <f>E21+E16</f>
        <v>228749443102.5</v>
      </c>
      <c r="F23" s="805">
        <f>E23/C23</f>
        <v>0.89445813924582884</v>
      </c>
      <c r="G23" s="816">
        <f>G21+G16</f>
        <v>228749433102.5</v>
      </c>
      <c r="H23" s="805">
        <f>G23/C23</f>
        <v>0.8944581001437385</v>
      </c>
      <c r="I23" s="816">
        <f>I21+I16</f>
        <v>225043319112.51001</v>
      </c>
      <c r="J23" s="805">
        <f>I23/G23</f>
        <v>0.98379836863539105</v>
      </c>
      <c r="K23" s="816">
        <f>K21+K16</f>
        <v>224956391720.70001</v>
      </c>
      <c r="L23" s="805">
        <f>K23/G23</f>
        <v>0.98341835723763138</v>
      </c>
      <c r="M23" s="816">
        <f>M21+M16</f>
        <v>26991360257.36689</v>
      </c>
      <c r="N23" s="805">
        <f>M23/C23</f>
        <v>0.10554186075417095</v>
      </c>
      <c r="O23" s="991">
        <f t="shared" si="6"/>
        <v>0.8944581001437385</v>
      </c>
    </row>
    <row r="24" spans="1:15" ht="15" x14ac:dyDescent="0.25">
      <c r="C24" s="817"/>
      <c r="D24"/>
      <c r="E24"/>
      <c r="F24"/>
      <c r="G24" s="817"/>
      <c r="H24"/>
      <c r="I24" s="817"/>
    </row>
    <row r="26" spans="1:15" x14ac:dyDescent="0.2">
      <c r="A26" s="1180" t="s">
        <v>924</v>
      </c>
      <c r="B26" s="1180"/>
      <c r="C26" s="1180"/>
      <c r="D26" s="1180"/>
      <c r="E26" s="1180"/>
    </row>
    <row r="27" spans="1:15" x14ac:dyDescent="0.2">
      <c r="A27" s="791">
        <v>304</v>
      </c>
      <c r="B27" s="1171" t="s">
        <v>952</v>
      </c>
      <c r="C27" s="1171"/>
      <c r="D27" s="1171"/>
      <c r="E27" s="1171"/>
    </row>
    <row r="28" spans="1:15" x14ac:dyDescent="0.2">
      <c r="A28" s="791">
        <v>305</v>
      </c>
      <c r="B28" s="1171" t="s">
        <v>953</v>
      </c>
      <c r="C28" s="1171"/>
      <c r="D28" s="1171"/>
      <c r="E28" s="1171"/>
    </row>
    <row r="29" spans="1:15" x14ac:dyDescent="0.2">
      <c r="A29" s="791">
        <v>307</v>
      </c>
      <c r="B29" s="1171" t="s">
        <v>954</v>
      </c>
      <c r="C29" s="1171"/>
      <c r="D29" s="1171"/>
      <c r="E29" s="1171"/>
    </row>
    <row r="30" spans="1:15" x14ac:dyDescent="0.2">
      <c r="A30" s="791">
        <v>308</v>
      </c>
      <c r="B30" s="1175" t="s">
        <v>955</v>
      </c>
      <c r="C30" s="1175"/>
      <c r="D30" s="1175"/>
      <c r="E30" s="1175"/>
    </row>
    <row r="31" spans="1:15" x14ac:dyDescent="0.2">
      <c r="A31" s="791">
        <v>309</v>
      </c>
      <c r="B31" s="1175" t="s">
        <v>956</v>
      </c>
      <c r="C31" s="1175"/>
      <c r="D31" s="1175"/>
      <c r="E31" s="1175"/>
    </row>
    <row r="32" spans="1:15" x14ac:dyDescent="0.2">
      <c r="A32" s="791">
        <v>310</v>
      </c>
      <c r="B32" s="1171" t="s">
        <v>957</v>
      </c>
      <c r="C32" s="1171"/>
      <c r="D32" s="1171"/>
      <c r="E32" s="1171"/>
    </row>
    <row r="33" spans="1:14" x14ac:dyDescent="0.2">
      <c r="A33" s="791">
        <v>311</v>
      </c>
      <c r="B33" s="1171" t="s">
        <v>958</v>
      </c>
      <c r="C33" s="1171"/>
      <c r="D33" s="1171"/>
      <c r="E33" s="1171"/>
    </row>
    <row r="34" spans="1:14" x14ac:dyDescent="0.2">
      <c r="A34" s="791">
        <v>312</v>
      </c>
      <c r="B34" s="1171" t="s">
        <v>959</v>
      </c>
      <c r="C34" s="1171"/>
      <c r="D34" s="1171"/>
      <c r="E34" s="1171"/>
    </row>
    <row r="35" spans="1:14" x14ac:dyDescent="0.2">
      <c r="A35" s="818">
        <v>313</v>
      </c>
      <c r="B35" s="1174" t="s">
        <v>960</v>
      </c>
      <c r="C35" s="1174"/>
      <c r="D35" s="1174"/>
      <c r="E35" s="1174"/>
    </row>
    <row r="36" spans="1:14" x14ac:dyDescent="0.2">
      <c r="A36" s="818">
        <v>314</v>
      </c>
      <c r="B36" s="1174" t="s">
        <v>961</v>
      </c>
      <c r="C36" s="1174"/>
      <c r="D36" s="1174"/>
      <c r="E36" s="1174"/>
    </row>
    <row r="37" spans="1:14" x14ac:dyDescent="0.2">
      <c r="A37" s="791">
        <v>316</v>
      </c>
      <c r="B37" s="1171" t="s">
        <v>962</v>
      </c>
      <c r="C37" s="1171"/>
      <c r="D37" s="1171"/>
      <c r="E37" s="1171"/>
    </row>
    <row r="38" spans="1:14" x14ac:dyDescent="0.2">
      <c r="A38" s="791">
        <v>317</v>
      </c>
      <c r="B38" s="1175" t="s">
        <v>963</v>
      </c>
      <c r="C38" s="1175"/>
      <c r="D38" s="1175"/>
      <c r="E38" s="1175"/>
    </row>
    <row r="39" spans="1:14" x14ac:dyDescent="0.2">
      <c r="A39" s="791">
        <v>318</v>
      </c>
      <c r="B39" s="1171" t="s">
        <v>964</v>
      </c>
      <c r="C39" s="1171"/>
      <c r="D39" s="1171"/>
      <c r="E39" s="1171"/>
    </row>
    <row r="40" spans="1:14" x14ac:dyDescent="0.2">
      <c r="A40" s="670">
        <v>319</v>
      </c>
      <c r="B40" s="1171" t="s">
        <v>966</v>
      </c>
      <c r="C40" s="1171"/>
      <c r="D40" s="1171"/>
      <c r="E40" s="1171"/>
    </row>
    <row r="41" spans="1:14" x14ac:dyDescent="0.2">
      <c r="A41" s="670">
        <v>320</v>
      </c>
      <c r="B41" s="1171" t="s">
        <v>967</v>
      </c>
      <c r="C41" s="1171"/>
      <c r="D41" s="1171"/>
      <c r="E41" s="1171"/>
    </row>
    <row r="42" spans="1:14" x14ac:dyDescent="0.2">
      <c r="A42" s="670">
        <v>321</v>
      </c>
      <c r="B42" s="1171" t="s">
        <v>968</v>
      </c>
      <c r="C42" s="1171"/>
      <c r="D42" s="1171"/>
      <c r="E42" s="1171"/>
    </row>
    <row r="48" spans="1:14" s="821" customFormat="1" ht="35.25" customHeight="1" x14ac:dyDescent="0.2">
      <c r="A48" s="1172" t="s">
        <v>924</v>
      </c>
      <c r="B48" s="1173"/>
      <c r="C48" s="819" t="s">
        <v>969</v>
      </c>
      <c r="D48" s="820" t="s">
        <v>940</v>
      </c>
      <c r="E48" s="819" t="s">
        <v>970</v>
      </c>
      <c r="F48" s="820" t="s">
        <v>942</v>
      </c>
      <c r="G48" s="819" t="s">
        <v>971</v>
      </c>
      <c r="H48" s="820" t="s">
        <v>944</v>
      </c>
      <c r="I48" s="819" t="s">
        <v>972</v>
      </c>
      <c r="J48" s="820" t="s">
        <v>946</v>
      </c>
      <c r="K48" s="819" t="s">
        <v>973</v>
      </c>
      <c r="L48" s="820" t="s">
        <v>948</v>
      </c>
      <c r="M48" s="819" t="s">
        <v>949</v>
      </c>
      <c r="N48" s="819" t="s">
        <v>950</v>
      </c>
    </row>
    <row r="49" spans="1:14" ht="18" customHeight="1" x14ac:dyDescent="0.2">
      <c r="A49" s="814" t="s">
        <v>926</v>
      </c>
      <c r="B49" s="815"/>
      <c r="C49" s="816">
        <f>C23/1000000</f>
        <v>255740.80335986696</v>
      </c>
      <c r="D49" s="822">
        <v>1</v>
      </c>
      <c r="E49" s="816">
        <f>E23/1000000</f>
        <v>228749.44310249999</v>
      </c>
      <c r="F49" s="822">
        <f>E49/C49</f>
        <v>0.89445813924582873</v>
      </c>
      <c r="G49" s="816">
        <f>G23/1000000</f>
        <v>228749.43310250001</v>
      </c>
      <c r="H49" s="822">
        <f>G49/C49</f>
        <v>0.8944581001437385</v>
      </c>
      <c r="I49" s="816">
        <f>I23/1000000</f>
        <v>225043.31911251001</v>
      </c>
      <c r="J49" s="805">
        <f>I49/G49</f>
        <v>0.98379836863539094</v>
      </c>
      <c r="K49" s="816">
        <f>K23/1000000</f>
        <v>224956.39172070002</v>
      </c>
      <c r="L49" s="822">
        <f>K49/G49</f>
        <v>0.98341835723763138</v>
      </c>
      <c r="M49" s="816">
        <f>M23/1000000</f>
        <v>26991.36025736689</v>
      </c>
      <c r="N49" s="822">
        <f>M49/C49</f>
        <v>0.10554186075417094</v>
      </c>
    </row>
    <row r="50" spans="1:14" ht="18.75" customHeight="1" x14ac:dyDescent="0.2"/>
    <row r="53" spans="1:14" x14ac:dyDescent="0.2">
      <c r="A53" s="823" t="s">
        <v>974</v>
      </c>
      <c r="B53" s="824" t="s">
        <v>975</v>
      </c>
      <c r="C53" s="824" t="s">
        <v>940</v>
      </c>
    </row>
    <row r="54" spans="1:14" ht="38.25" x14ac:dyDescent="0.2">
      <c r="A54" s="825" t="s">
        <v>976</v>
      </c>
      <c r="B54" s="826">
        <v>7</v>
      </c>
      <c r="C54" s="827">
        <f>+B54/B59</f>
        <v>0.53846153846153844</v>
      </c>
    </row>
    <row r="55" spans="1:14" ht="30.75" customHeight="1" x14ac:dyDescent="0.2">
      <c r="A55" s="825" t="s">
        <v>977</v>
      </c>
      <c r="B55" s="992"/>
      <c r="C55" s="827"/>
    </row>
    <row r="56" spans="1:14" ht="25.5" x14ac:dyDescent="0.2">
      <c r="A56" s="825" t="s">
        <v>978</v>
      </c>
      <c r="B56" s="828">
        <v>4</v>
      </c>
      <c r="C56" s="827">
        <f>+B56/B59</f>
        <v>0.30769230769230771</v>
      </c>
    </row>
    <row r="57" spans="1:14" ht="25.5" x14ac:dyDescent="0.2">
      <c r="A57" s="825" t="s">
        <v>979</v>
      </c>
      <c r="B57" s="829">
        <v>1</v>
      </c>
      <c r="C57" s="827">
        <f>+B57/B59</f>
        <v>7.6923076923076927E-2</v>
      </c>
    </row>
    <row r="58" spans="1:14" ht="25.5" x14ac:dyDescent="0.2">
      <c r="A58" s="825" t="s">
        <v>980</v>
      </c>
      <c r="B58" s="830">
        <v>1</v>
      </c>
      <c r="C58" s="827">
        <f>+B58/B59</f>
        <v>7.6923076923076927E-2</v>
      </c>
    </row>
    <row r="59" spans="1:14" ht="15.75" customHeight="1" x14ac:dyDescent="0.2">
      <c r="A59" s="831" t="s">
        <v>981</v>
      </c>
      <c r="B59" s="697">
        <f>SUM(B54:B58)</f>
        <v>13</v>
      </c>
      <c r="C59" s="832">
        <f>SUM(C54:C58)</f>
        <v>1</v>
      </c>
    </row>
    <row r="77" spans="1:15" s="812" customFormat="1" ht="38.25" x14ac:dyDescent="0.2">
      <c r="A77" s="833" t="s">
        <v>924</v>
      </c>
      <c r="B77" s="834"/>
      <c r="C77" s="835" t="s">
        <v>939</v>
      </c>
      <c r="D77" s="782" t="s">
        <v>940</v>
      </c>
      <c r="E77" s="835" t="s">
        <v>941</v>
      </c>
      <c r="F77" s="782" t="s">
        <v>942</v>
      </c>
      <c r="G77" s="835" t="s">
        <v>943</v>
      </c>
      <c r="H77" s="782" t="s">
        <v>944</v>
      </c>
      <c r="I77" s="835" t="s">
        <v>949</v>
      </c>
      <c r="J77" s="835" t="s">
        <v>950</v>
      </c>
      <c r="N77" s="781"/>
      <c r="O77" s="781"/>
    </row>
    <row r="78" spans="1:15" s="812" customFormat="1" x14ac:dyDescent="0.2">
      <c r="A78" s="784">
        <v>304</v>
      </c>
      <c r="B78" s="785" t="s">
        <v>952</v>
      </c>
      <c r="C78" s="786">
        <f t="shared" ref="C78:C90" si="9">C3</f>
        <v>2154647401</v>
      </c>
      <c r="D78" s="787">
        <v>1</v>
      </c>
      <c r="E78" s="786">
        <f t="shared" ref="E78:E90" si="10">E3</f>
        <v>543010510</v>
      </c>
      <c r="F78" s="787">
        <f>E78/C78</f>
        <v>0.25201826978650044</v>
      </c>
      <c r="G78" s="786">
        <f t="shared" ref="G78:G90" si="11">G3</f>
        <v>543010510</v>
      </c>
      <c r="H78" s="787">
        <f>G78/C78</f>
        <v>0.25201826978650044</v>
      </c>
      <c r="I78" s="788">
        <f t="shared" ref="I78:I90" si="12">M3</f>
        <v>1611636891</v>
      </c>
      <c r="J78" s="789">
        <f>I78/C78</f>
        <v>0.74798173021349956</v>
      </c>
      <c r="N78" s="781"/>
      <c r="O78" s="781"/>
    </row>
    <row r="79" spans="1:15" s="812" customFormat="1" x14ac:dyDescent="0.2">
      <c r="A79" s="784">
        <v>305</v>
      </c>
      <c r="B79" s="785" t="s">
        <v>953</v>
      </c>
      <c r="C79" s="786">
        <f t="shared" si="9"/>
        <v>1556000000</v>
      </c>
      <c r="D79" s="787">
        <v>1</v>
      </c>
      <c r="E79" s="786">
        <f t="shared" si="10"/>
        <v>1353559286.23</v>
      </c>
      <c r="F79" s="787">
        <f t="shared" ref="F79:F94" si="13">E79/C79</f>
        <v>0.86989671351542419</v>
      </c>
      <c r="G79" s="786">
        <f t="shared" si="11"/>
        <v>1353559286.23</v>
      </c>
      <c r="H79" s="787">
        <f t="shared" ref="H79:H94" si="14">G79/C79</f>
        <v>0.86989671351542419</v>
      </c>
      <c r="I79" s="788">
        <f t="shared" si="12"/>
        <v>202440713.76999998</v>
      </c>
      <c r="J79" s="789">
        <f t="shared" ref="J79:J90" si="15">I79/C79</f>
        <v>0.13010328648457584</v>
      </c>
      <c r="N79" s="781"/>
      <c r="O79" s="781"/>
    </row>
    <row r="80" spans="1:15" s="812" customFormat="1" x14ac:dyDescent="0.2">
      <c r="A80" s="784">
        <v>307</v>
      </c>
      <c r="B80" s="785" t="s">
        <v>954</v>
      </c>
      <c r="C80" s="786">
        <f t="shared" si="9"/>
        <v>2230734367</v>
      </c>
      <c r="D80" s="787">
        <v>1</v>
      </c>
      <c r="E80" s="786">
        <f t="shared" si="10"/>
        <v>2025030046</v>
      </c>
      <c r="F80" s="787">
        <f t="shared" si="13"/>
        <v>0.90778627700229442</v>
      </c>
      <c r="G80" s="786">
        <f t="shared" si="11"/>
        <v>2025030046</v>
      </c>
      <c r="H80" s="787">
        <f t="shared" si="14"/>
        <v>0.90778627700229442</v>
      </c>
      <c r="I80" s="788">
        <f t="shared" si="12"/>
        <v>205704321</v>
      </c>
      <c r="J80" s="789">
        <f t="shared" si="15"/>
        <v>9.2213722997705541E-2</v>
      </c>
      <c r="N80" s="781"/>
      <c r="O80" s="781"/>
    </row>
    <row r="81" spans="1:15" s="812" customFormat="1" x14ac:dyDescent="0.2">
      <c r="A81" s="790">
        <v>308</v>
      </c>
      <c r="B81" s="791" t="s">
        <v>955</v>
      </c>
      <c r="C81" s="786">
        <f t="shared" si="9"/>
        <v>15788210895.279999</v>
      </c>
      <c r="D81" s="787">
        <v>1</v>
      </c>
      <c r="E81" s="786">
        <f t="shared" si="10"/>
        <v>10497926393.309999</v>
      </c>
      <c r="F81" s="787">
        <f t="shared" si="13"/>
        <v>0.66492184978656643</v>
      </c>
      <c r="G81" s="786">
        <f t="shared" si="11"/>
        <v>10497926393.310001</v>
      </c>
      <c r="H81" s="787">
        <f t="shared" si="14"/>
        <v>0.66492184978656654</v>
      </c>
      <c r="I81" s="788">
        <f t="shared" si="12"/>
        <v>5290284501.9699993</v>
      </c>
      <c r="J81" s="789">
        <f t="shared" si="15"/>
        <v>0.33507815021343351</v>
      </c>
      <c r="N81" s="781"/>
      <c r="O81" s="781"/>
    </row>
    <row r="82" spans="1:15" s="812" customFormat="1" x14ac:dyDescent="0.2">
      <c r="A82" s="790">
        <v>309</v>
      </c>
      <c r="B82" s="794" t="s">
        <v>956</v>
      </c>
      <c r="C82" s="786">
        <f t="shared" si="9"/>
        <v>11349624591.1</v>
      </c>
      <c r="D82" s="787">
        <v>1</v>
      </c>
      <c r="E82" s="786">
        <f t="shared" si="10"/>
        <v>6547449050</v>
      </c>
      <c r="F82" s="787">
        <f t="shared" si="13"/>
        <v>0.57688683863026557</v>
      </c>
      <c r="G82" s="786">
        <f t="shared" si="11"/>
        <v>6547449050</v>
      </c>
      <c r="H82" s="787">
        <f t="shared" si="14"/>
        <v>0.57688683863026557</v>
      </c>
      <c r="I82" s="788">
        <f t="shared" si="12"/>
        <v>4802175541.1000004</v>
      </c>
      <c r="J82" s="789">
        <f t="shared" si="15"/>
        <v>0.42311316136973443</v>
      </c>
      <c r="N82" s="781"/>
      <c r="O82" s="781"/>
    </row>
    <row r="83" spans="1:15" s="812" customFormat="1" x14ac:dyDescent="0.2">
      <c r="A83" s="790">
        <v>310</v>
      </c>
      <c r="B83" s="785" t="s">
        <v>957</v>
      </c>
      <c r="C83" s="786">
        <f t="shared" si="9"/>
        <v>4853483592.2600002</v>
      </c>
      <c r="D83" s="787">
        <v>1</v>
      </c>
      <c r="E83" s="786">
        <f t="shared" si="10"/>
        <v>2995355419.8000002</v>
      </c>
      <c r="F83" s="787">
        <f t="shared" si="13"/>
        <v>0.61715577334531135</v>
      </c>
      <c r="G83" s="786">
        <f t="shared" si="11"/>
        <v>2995355419.8000002</v>
      </c>
      <c r="H83" s="787">
        <f t="shared" si="14"/>
        <v>0.61715577334531135</v>
      </c>
      <c r="I83" s="788">
        <f t="shared" si="12"/>
        <v>1858128172.46</v>
      </c>
      <c r="J83" s="789">
        <f t="shared" si="15"/>
        <v>0.38284422665468865</v>
      </c>
      <c r="N83" s="781"/>
      <c r="O83" s="781"/>
    </row>
    <row r="84" spans="1:15" s="812" customFormat="1" x14ac:dyDescent="0.2">
      <c r="A84" s="790">
        <v>311</v>
      </c>
      <c r="B84" s="785" t="s">
        <v>958</v>
      </c>
      <c r="C84" s="786">
        <f t="shared" si="9"/>
        <v>2870109563</v>
      </c>
      <c r="D84" s="787">
        <v>1</v>
      </c>
      <c r="E84" s="786">
        <f t="shared" si="10"/>
        <v>2567864543</v>
      </c>
      <c r="F84" s="787">
        <f t="shared" si="13"/>
        <v>0.89469216649552696</v>
      </c>
      <c r="G84" s="786">
        <f t="shared" si="11"/>
        <v>2567864543</v>
      </c>
      <c r="H84" s="787">
        <f t="shared" si="14"/>
        <v>0.89469216649552696</v>
      </c>
      <c r="I84" s="788">
        <f t="shared" si="12"/>
        <v>302245020</v>
      </c>
      <c r="J84" s="789">
        <f t="shared" si="15"/>
        <v>0.10530783350447308</v>
      </c>
      <c r="N84" s="781"/>
      <c r="O84" s="781"/>
    </row>
    <row r="85" spans="1:15" s="812" customFormat="1" x14ac:dyDescent="0.2">
      <c r="A85" s="790">
        <v>312</v>
      </c>
      <c r="B85" s="785" t="s">
        <v>959</v>
      </c>
      <c r="C85" s="786">
        <f t="shared" si="9"/>
        <v>2998844406</v>
      </c>
      <c r="D85" s="787">
        <v>1</v>
      </c>
      <c r="E85" s="786">
        <f t="shared" si="10"/>
        <v>2051530379</v>
      </c>
      <c r="F85" s="787">
        <f t="shared" si="13"/>
        <v>0.6841069763057257</v>
      </c>
      <c r="G85" s="786">
        <f t="shared" si="11"/>
        <v>2051530379</v>
      </c>
      <c r="H85" s="787">
        <f t="shared" si="14"/>
        <v>0.6841069763057257</v>
      </c>
      <c r="I85" s="788">
        <f t="shared" si="12"/>
        <v>947314027</v>
      </c>
      <c r="J85" s="789">
        <f t="shared" si="15"/>
        <v>0.3158930236942743</v>
      </c>
      <c r="N85" s="781"/>
      <c r="O85" s="781"/>
    </row>
    <row r="86" spans="1:15" s="812" customFormat="1" x14ac:dyDescent="0.2">
      <c r="A86" s="795">
        <v>313</v>
      </c>
      <c r="B86" s="796" t="s">
        <v>960</v>
      </c>
      <c r="C86" s="786">
        <f t="shared" si="9"/>
        <v>2239039539</v>
      </c>
      <c r="D86" s="787">
        <v>1</v>
      </c>
      <c r="E86" s="786">
        <f t="shared" si="10"/>
        <v>1447468237</v>
      </c>
      <c r="F86" s="787">
        <f t="shared" si="13"/>
        <v>0.64646836814970599</v>
      </c>
      <c r="G86" s="786">
        <f t="shared" si="11"/>
        <v>1447468237</v>
      </c>
      <c r="H86" s="787">
        <f t="shared" si="14"/>
        <v>0.64646836814970599</v>
      </c>
      <c r="I86" s="788">
        <f t="shared" si="12"/>
        <v>791571302</v>
      </c>
      <c r="J86" s="789">
        <f t="shared" si="15"/>
        <v>0.35353163185029401</v>
      </c>
      <c r="N86" s="781"/>
      <c r="O86" s="781"/>
    </row>
    <row r="87" spans="1:15" s="812" customFormat="1" x14ac:dyDescent="0.2">
      <c r="A87" s="795">
        <v>314</v>
      </c>
      <c r="B87" s="796" t="s">
        <v>961</v>
      </c>
      <c r="C87" s="786">
        <f t="shared" si="9"/>
        <v>149405629639</v>
      </c>
      <c r="D87" s="787">
        <v>1</v>
      </c>
      <c r="E87" s="786">
        <f t="shared" si="10"/>
        <v>142985797744.14001</v>
      </c>
      <c r="F87" s="787">
        <f t="shared" si="13"/>
        <v>0.95703085679989541</v>
      </c>
      <c r="G87" s="786">
        <f t="shared" si="11"/>
        <v>142985797744.14001</v>
      </c>
      <c r="H87" s="787">
        <f>G87/C87</f>
        <v>0.95703085679989541</v>
      </c>
      <c r="I87" s="788">
        <f t="shared" si="12"/>
        <v>6419831894.8599854</v>
      </c>
      <c r="J87" s="789">
        <f t="shared" si="15"/>
        <v>4.2969143200104615E-2</v>
      </c>
      <c r="N87" s="781"/>
      <c r="O87" s="781"/>
    </row>
    <row r="88" spans="1:15" s="812" customFormat="1" x14ac:dyDescent="0.2">
      <c r="A88" s="790">
        <v>316</v>
      </c>
      <c r="B88" s="785" t="s">
        <v>962</v>
      </c>
      <c r="C88" s="786">
        <f t="shared" si="9"/>
        <v>7115001782.29</v>
      </c>
      <c r="D88" s="787">
        <v>1</v>
      </c>
      <c r="E88" s="786">
        <f t="shared" si="10"/>
        <v>6715028800.8699999</v>
      </c>
      <c r="F88" s="787">
        <f t="shared" si="13"/>
        <v>0.94378455639806369</v>
      </c>
      <c r="G88" s="786">
        <f t="shared" si="11"/>
        <v>6715028800.8699999</v>
      </c>
      <c r="H88" s="787">
        <f t="shared" si="14"/>
        <v>0.94378455639806369</v>
      </c>
      <c r="I88" s="788">
        <f t="shared" si="12"/>
        <v>399972981.42000008</v>
      </c>
      <c r="J88" s="789">
        <f t="shared" si="15"/>
        <v>5.6215443601936345E-2</v>
      </c>
      <c r="N88" s="781"/>
      <c r="O88" s="781"/>
    </row>
    <row r="89" spans="1:15" s="812" customFormat="1" x14ac:dyDescent="0.2">
      <c r="A89" s="790">
        <v>317</v>
      </c>
      <c r="B89" s="794" t="s">
        <v>963</v>
      </c>
      <c r="C89" s="786">
        <f t="shared" si="9"/>
        <v>100000000</v>
      </c>
      <c r="D89" s="787">
        <v>1</v>
      </c>
      <c r="E89" s="786">
        <f t="shared" si="10"/>
        <v>90287997</v>
      </c>
      <c r="F89" s="787">
        <f t="shared" si="13"/>
        <v>0.90287996999999998</v>
      </c>
      <c r="G89" s="786">
        <f t="shared" si="11"/>
        <v>90287997</v>
      </c>
      <c r="H89" s="787">
        <f t="shared" si="14"/>
        <v>0.90287996999999998</v>
      </c>
      <c r="I89" s="788">
        <f t="shared" si="12"/>
        <v>9712003</v>
      </c>
      <c r="J89" s="789">
        <f t="shared" si="15"/>
        <v>9.7120029999999996E-2</v>
      </c>
      <c r="N89" s="781"/>
      <c r="O89" s="781"/>
    </row>
    <row r="90" spans="1:15" s="812" customFormat="1" x14ac:dyDescent="0.2">
      <c r="A90" s="784">
        <v>318</v>
      </c>
      <c r="B90" s="785" t="s">
        <v>964</v>
      </c>
      <c r="C90" s="786">
        <f t="shared" si="9"/>
        <v>47739530019.126907</v>
      </c>
      <c r="D90" s="787">
        <v>1</v>
      </c>
      <c r="E90" s="786">
        <f t="shared" si="10"/>
        <v>44000629098.080002</v>
      </c>
      <c r="F90" s="787">
        <f t="shared" si="13"/>
        <v>0.92168123734044072</v>
      </c>
      <c r="G90" s="786">
        <f t="shared" si="11"/>
        <v>44000629098.080002</v>
      </c>
      <c r="H90" s="787">
        <f t="shared" si="14"/>
        <v>0.92168123734044072</v>
      </c>
      <c r="I90" s="788">
        <f t="shared" si="12"/>
        <v>3738900921.0469055</v>
      </c>
      <c r="J90" s="789">
        <f t="shared" si="15"/>
        <v>7.8318762659559268E-2</v>
      </c>
      <c r="N90" s="781"/>
      <c r="O90" s="781"/>
    </row>
    <row r="91" spans="1:15" s="812" customFormat="1" x14ac:dyDescent="0.2">
      <c r="A91" s="671">
        <v>319</v>
      </c>
      <c r="B91" s="785" t="s">
        <v>966</v>
      </c>
      <c r="C91" s="786">
        <f>C18</f>
        <v>2443063429.8099999</v>
      </c>
      <c r="D91" s="787">
        <v>1</v>
      </c>
      <c r="E91" s="786">
        <f>E18</f>
        <v>2254802348.5599999</v>
      </c>
      <c r="F91" s="787">
        <f t="shared" si="13"/>
        <v>0.92294056758704734</v>
      </c>
      <c r="G91" s="786">
        <f>G18</f>
        <v>2254792348.5599999</v>
      </c>
      <c r="H91" s="787">
        <f t="shared" si="14"/>
        <v>0.92293647436544779</v>
      </c>
      <c r="I91" s="788">
        <f>M18</f>
        <v>188261081.25</v>
      </c>
      <c r="J91" s="789">
        <v>0.60782751475098651</v>
      </c>
      <c r="N91" s="781"/>
      <c r="O91" s="781"/>
    </row>
    <row r="92" spans="1:15" s="812" customFormat="1" x14ac:dyDescent="0.2">
      <c r="A92" s="671">
        <v>320</v>
      </c>
      <c r="B92" s="785" t="s">
        <v>967</v>
      </c>
      <c r="C92" s="786">
        <f>C19</f>
        <v>2767332381</v>
      </c>
      <c r="D92" s="787">
        <v>1</v>
      </c>
      <c r="E92" s="786">
        <f t="shared" ref="E92:G93" si="16">E19</f>
        <v>2592456585.5100002</v>
      </c>
      <c r="F92" s="787">
        <f t="shared" si="13"/>
        <v>0.93680708660417333</v>
      </c>
      <c r="G92" s="786">
        <f t="shared" si="16"/>
        <v>2592456585.5100002</v>
      </c>
      <c r="H92" s="787">
        <f t="shared" si="14"/>
        <v>0.93680708660417333</v>
      </c>
      <c r="I92" s="788">
        <f>M19</f>
        <v>174875795.48999977</v>
      </c>
      <c r="J92" s="789">
        <v>0.33815453226221776</v>
      </c>
      <c r="N92" s="781"/>
      <c r="O92" s="781"/>
    </row>
    <row r="93" spans="1:15" s="812" customFormat="1" x14ac:dyDescent="0.2">
      <c r="A93" s="671">
        <v>321</v>
      </c>
      <c r="B93" s="785" t="s">
        <v>968</v>
      </c>
      <c r="C93" s="786">
        <f>C20</f>
        <v>129551754</v>
      </c>
      <c r="D93" s="787">
        <v>1</v>
      </c>
      <c r="E93" s="786">
        <f t="shared" si="16"/>
        <v>81246664</v>
      </c>
      <c r="F93" s="787">
        <f t="shared" si="13"/>
        <v>0.62713673486813615</v>
      </c>
      <c r="G93" s="786">
        <f t="shared" si="16"/>
        <v>81246664</v>
      </c>
      <c r="H93" s="787">
        <f t="shared" si="14"/>
        <v>0.62713673486813615</v>
      </c>
      <c r="I93" s="788">
        <f>M20</f>
        <v>48305090</v>
      </c>
      <c r="J93" s="789">
        <v>0.77281670088928844</v>
      </c>
      <c r="N93" s="781"/>
      <c r="O93" s="781"/>
    </row>
    <row r="94" spans="1:15" x14ac:dyDescent="0.2">
      <c r="A94" s="815"/>
      <c r="B94" s="815" t="s">
        <v>926</v>
      </c>
      <c r="C94" s="816">
        <f>SUM(C78:C93)</f>
        <v>255740803359.86694</v>
      </c>
      <c r="D94" s="822">
        <v>1</v>
      </c>
      <c r="E94" s="816">
        <f>SUM(E78:E93)</f>
        <v>228749443102.5</v>
      </c>
      <c r="F94" s="822">
        <f t="shared" si="13"/>
        <v>0.89445813924582884</v>
      </c>
      <c r="G94" s="816">
        <f>SUM(G78:G93)</f>
        <v>228749433102.5</v>
      </c>
      <c r="H94" s="805">
        <f t="shared" si="14"/>
        <v>0.8944581001437385</v>
      </c>
      <c r="I94" s="816">
        <f>SUM(I78:I93)</f>
        <v>26991360257.36689</v>
      </c>
      <c r="J94" s="822">
        <f>I94/C94</f>
        <v>0.10554186075417095</v>
      </c>
    </row>
  </sheetData>
  <sheetProtection password="CBEB" sheet="1" objects="1" scenarios="1"/>
  <mergeCells count="20">
    <mergeCell ref="B35:E35"/>
    <mergeCell ref="A1:N1"/>
    <mergeCell ref="A2:B2"/>
    <mergeCell ref="A26:E26"/>
    <mergeCell ref="B27:E27"/>
    <mergeCell ref="B28:E28"/>
    <mergeCell ref="B29:E29"/>
    <mergeCell ref="B30:E30"/>
    <mergeCell ref="B31:E31"/>
    <mergeCell ref="B32:E32"/>
    <mergeCell ref="B33:E33"/>
    <mergeCell ref="B34:E34"/>
    <mergeCell ref="B42:E42"/>
    <mergeCell ref="A48:B48"/>
    <mergeCell ref="B36:E36"/>
    <mergeCell ref="B37:E37"/>
    <mergeCell ref="B38:E38"/>
    <mergeCell ref="B39:E39"/>
    <mergeCell ref="B40:E40"/>
    <mergeCell ref="B41:E41"/>
  </mergeCells>
  <conditionalFormatting sqref="O3:O16 O23 O18:O21">
    <cfRule type="cellIs" dxfId="4" priority="1" operator="between">
      <formula>0</formula>
      <formula>0.39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greaterThanOrEqual">
      <formula>0.8</formula>
    </cfRule>
  </conditionalFormatting>
  <pageMargins left="0.7" right="0.7" top="0.75" bottom="0.75" header="0.3" footer="0.3"/>
  <pageSetup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POAI 2017 </vt:lpstr>
      <vt:lpstr>UNIDAD EJECUTORA</vt:lpstr>
      <vt:lpstr>'UNIDAD EJECUTORA'!Área_de_impresión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AUXPLANEACION03</cp:lastModifiedBy>
  <cp:lastPrinted>2017-12-01T15:21:54Z</cp:lastPrinted>
  <dcterms:created xsi:type="dcterms:W3CDTF">2016-11-06T23:03:57Z</dcterms:created>
  <dcterms:modified xsi:type="dcterms:W3CDTF">2018-05-23T00:08:57Z</dcterms:modified>
</cp:coreProperties>
</file>